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47375885-F889-4EC0-9FFC-C19E3D195B5B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Table'!$A$1:$CJ$276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Q275" i="1" l="1"/>
  <c r="BI275" i="1"/>
  <c r="BA275" i="1"/>
  <c r="AS275" i="1"/>
  <c r="AK275" i="1"/>
  <c r="AC275" i="1"/>
  <c r="U275" i="1"/>
  <c r="M275" i="1"/>
  <c r="BT274" i="1"/>
  <c r="BT275" i="1" s="1"/>
  <c r="BS274" i="1"/>
  <c r="BS275" i="1" s="1"/>
  <c r="BR274" i="1"/>
  <c r="BR275" i="1" s="1"/>
  <c r="BQ274" i="1"/>
  <c r="BP274" i="1"/>
  <c r="BP275" i="1" s="1"/>
  <c r="BO274" i="1"/>
  <c r="BO275" i="1" s="1"/>
  <c r="BN274" i="1"/>
  <c r="BN275" i="1" s="1"/>
  <c r="BM274" i="1"/>
  <c r="BM275" i="1" s="1"/>
  <c r="BL274" i="1"/>
  <c r="BL275" i="1" s="1"/>
  <c r="BK274" i="1"/>
  <c r="BK275" i="1" s="1"/>
  <c r="BJ274" i="1"/>
  <c r="BJ275" i="1" s="1"/>
  <c r="BI274" i="1"/>
  <c r="BH274" i="1"/>
  <c r="BH275" i="1" s="1"/>
  <c r="BG274" i="1"/>
  <c r="BG275" i="1" s="1"/>
  <c r="BF274" i="1"/>
  <c r="BF275" i="1" s="1"/>
  <c r="BE274" i="1"/>
  <c r="BE275" i="1" s="1"/>
  <c r="BD274" i="1"/>
  <c r="BD275" i="1" s="1"/>
  <c r="BC274" i="1"/>
  <c r="BC275" i="1" s="1"/>
  <c r="BB274" i="1"/>
  <c r="BB275" i="1" s="1"/>
  <c r="BA274" i="1"/>
  <c r="AZ274" i="1"/>
  <c r="AZ275" i="1" s="1"/>
  <c r="AY274" i="1"/>
  <c r="AY275" i="1" s="1"/>
  <c r="AX274" i="1"/>
  <c r="AX275" i="1" s="1"/>
  <c r="AW274" i="1"/>
  <c r="AW275" i="1" s="1"/>
  <c r="AV274" i="1"/>
  <c r="AV275" i="1" s="1"/>
  <c r="AU274" i="1"/>
  <c r="AU275" i="1" s="1"/>
  <c r="AT274" i="1"/>
  <c r="AT275" i="1" s="1"/>
  <c r="AS274" i="1"/>
  <c r="AR274" i="1"/>
  <c r="AR275" i="1" s="1"/>
  <c r="AQ274" i="1"/>
  <c r="AQ275" i="1" s="1"/>
  <c r="AP274" i="1"/>
  <c r="AP275" i="1" s="1"/>
  <c r="AO274" i="1"/>
  <c r="AO275" i="1" s="1"/>
  <c r="AN274" i="1"/>
  <c r="AN275" i="1" s="1"/>
  <c r="AM274" i="1"/>
  <c r="AM275" i="1" s="1"/>
  <c r="AL274" i="1"/>
  <c r="AL275" i="1" s="1"/>
  <c r="AK274" i="1"/>
  <c r="AJ274" i="1"/>
  <c r="AJ275" i="1" s="1"/>
  <c r="AI274" i="1"/>
  <c r="AI275" i="1" s="1"/>
  <c r="AH274" i="1"/>
  <c r="AH275" i="1" s="1"/>
  <c r="AG274" i="1"/>
  <c r="AG275" i="1" s="1"/>
  <c r="AF274" i="1"/>
  <c r="AF275" i="1" s="1"/>
  <c r="AE274" i="1"/>
  <c r="AE275" i="1" s="1"/>
  <c r="AD274" i="1"/>
  <c r="AD275" i="1" s="1"/>
  <c r="AC274" i="1"/>
  <c r="AB274" i="1"/>
  <c r="AB275" i="1" s="1"/>
  <c r="AA274" i="1"/>
  <c r="AA275" i="1" s="1"/>
  <c r="Z274" i="1"/>
  <c r="Z275" i="1" s="1"/>
  <c r="Y274" i="1"/>
  <c r="Y275" i="1" s="1"/>
  <c r="X274" i="1"/>
  <c r="X275" i="1" s="1"/>
  <c r="W274" i="1"/>
  <c r="W275" i="1" s="1"/>
  <c r="V274" i="1"/>
  <c r="V275" i="1" s="1"/>
  <c r="U274" i="1"/>
  <c r="T274" i="1"/>
  <c r="T275" i="1" s="1"/>
  <c r="S274" i="1"/>
  <c r="S275" i="1" s="1"/>
  <c r="R274" i="1"/>
  <c r="R275" i="1" s="1"/>
  <c r="Q274" i="1"/>
  <c r="Q275" i="1" s="1"/>
  <c r="P274" i="1"/>
  <c r="P275" i="1" s="1"/>
  <c r="O274" i="1"/>
  <c r="O275" i="1" s="1"/>
  <c r="N274" i="1"/>
  <c r="N275" i="1" s="1"/>
  <c r="M274" i="1"/>
  <c r="L274" i="1"/>
  <c r="L275" i="1" s="1"/>
  <c r="K274" i="1"/>
  <c r="K275" i="1" s="1"/>
  <c r="J274" i="1"/>
  <c r="J275" i="1" s="1"/>
  <c r="I274" i="1"/>
  <c r="I275" i="1" s="1"/>
  <c r="H274" i="1"/>
  <c r="H275" i="1" s="1"/>
  <c r="D275" i="1"/>
  <c r="D274" i="1"/>
  <c r="BW264" i="1"/>
  <c r="AX264" i="1" s="1"/>
  <c r="BK264" i="1"/>
  <c r="BE264" i="1"/>
  <c r="BG264" i="1" s="1"/>
  <c r="BA264" i="1"/>
  <c r="AL264" i="1"/>
  <c r="AR264" i="1" s="1"/>
  <c r="AG264" i="1"/>
  <c r="AI264" i="1" s="1"/>
  <c r="AA264" i="1"/>
  <c r="AE264" i="1" s="1"/>
  <c r="V264" i="1"/>
  <c r="Q264" i="1"/>
  <c r="S264" i="1" s="1"/>
  <c r="N264" i="1"/>
  <c r="J264" i="1"/>
  <c r="H264" i="1"/>
  <c r="AV264" i="1" s="1"/>
  <c r="U274" i="2"/>
  <c r="T274" i="2"/>
  <c r="S274" i="2"/>
  <c r="R274" i="2"/>
  <c r="Q274" i="2"/>
  <c r="P274" i="2"/>
  <c r="O274" i="2"/>
  <c r="N274" i="2"/>
  <c r="M274" i="2"/>
  <c r="L274" i="2"/>
  <c r="K274" i="2"/>
  <c r="J274" i="2"/>
  <c r="I274" i="2"/>
  <c r="H274" i="2"/>
  <c r="G274" i="2"/>
  <c r="E274" i="2"/>
  <c r="S265" i="2"/>
  <c r="W265" i="2"/>
  <c r="Q265" i="2"/>
  <c r="K265" i="2"/>
  <c r="M265" i="2" s="1"/>
  <c r="I20" i="3"/>
  <c r="BW263" i="1"/>
  <c r="AX263" i="1" s="1"/>
  <c r="BE263" i="1"/>
  <c r="BP263" i="1" s="1"/>
  <c r="BR263" i="1" s="1"/>
  <c r="BA263" i="1"/>
  <c r="BK263" i="1" s="1"/>
  <c r="AL263" i="1"/>
  <c r="AR263" i="1" s="1"/>
  <c r="AG263" i="1"/>
  <c r="AI263" i="1" s="1"/>
  <c r="AE263" i="1"/>
  <c r="AA263" i="1"/>
  <c r="V263" i="1"/>
  <c r="Q263" i="1"/>
  <c r="S263" i="1" s="1"/>
  <c r="N263" i="1"/>
  <c r="J263" i="1"/>
  <c r="H263" i="1"/>
  <c r="AV263" i="1" s="1"/>
  <c r="W264" i="2"/>
  <c r="S264" i="2"/>
  <c r="K264" i="2"/>
  <c r="U264" i="2" s="1"/>
  <c r="BW262" i="1"/>
  <c r="BN262" i="1"/>
  <c r="BE262" i="1"/>
  <c r="BG262" i="1" s="1"/>
  <c r="BA262" i="1"/>
  <c r="BK262" i="1" s="1"/>
  <c r="AX262" i="1"/>
  <c r="AR262" i="1"/>
  <c r="AL262" i="1"/>
  <c r="AG262" i="1"/>
  <c r="AI262" i="1" s="1"/>
  <c r="AA262" i="1"/>
  <c r="AE262" i="1" s="1"/>
  <c r="V262" i="1"/>
  <c r="Q262" i="1"/>
  <c r="N262" i="1"/>
  <c r="J262" i="1"/>
  <c r="H262" i="1"/>
  <c r="AV262" i="1" s="1"/>
  <c r="W263" i="2"/>
  <c r="S263" i="2"/>
  <c r="K263" i="2"/>
  <c r="M263" i="2" s="1"/>
  <c r="BU275" i="1"/>
  <c r="BU274" i="1"/>
  <c r="BW261" i="1"/>
  <c r="AX261" i="1" s="1"/>
  <c r="BE261" i="1"/>
  <c r="BA261" i="1"/>
  <c r="BK261" i="1" s="1"/>
  <c r="AL261" i="1"/>
  <c r="AR261" i="1" s="1"/>
  <c r="AG261" i="1"/>
  <c r="AI261" i="1" s="1"/>
  <c r="AA261" i="1"/>
  <c r="AC261" i="1" s="1"/>
  <c r="V261" i="1"/>
  <c r="Q261" i="1"/>
  <c r="N261" i="1"/>
  <c r="J261" i="1"/>
  <c r="H261" i="1"/>
  <c r="AV261" i="1" s="1"/>
  <c r="S262" i="2"/>
  <c r="W262" i="2"/>
  <c r="K262" i="2"/>
  <c r="Q262" i="2" s="1"/>
  <c r="AH264" i="1" l="1"/>
  <c r="O264" i="1"/>
  <c r="BM264" i="1"/>
  <c r="BN264" i="1"/>
  <c r="BP264" i="1"/>
  <c r="BR264" i="1" s="1"/>
  <c r="AC264" i="1"/>
  <c r="U265" i="2"/>
  <c r="BM263" i="1"/>
  <c r="AC263" i="1"/>
  <c r="BG263" i="1"/>
  <c r="O263" i="1"/>
  <c r="BN263" i="1"/>
  <c r="Q264" i="2"/>
  <c r="M264" i="2"/>
  <c r="AH262" i="1"/>
  <c r="BP262" i="1"/>
  <c r="BM262" i="1"/>
  <c r="AC262" i="1"/>
  <c r="O262" i="1"/>
  <c r="S262" i="1"/>
  <c r="U263" i="2"/>
  <c r="Q263" i="2"/>
  <c r="BG261" i="1"/>
  <c r="AE261" i="1"/>
  <c r="BM261" i="1"/>
  <c r="O261" i="1"/>
  <c r="BN261" i="1"/>
  <c r="BP261" i="1"/>
  <c r="BR261" i="1" s="1"/>
  <c r="S261" i="1"/>
  <c r="U262" i="2"/>
  <c r="M262" i="2"/>
  <c r="BW260" i="1"/>
  <c r="BN260" i="1" s="1"/>
  <c r="BE260" i="1"/>
  <c r="BA260" i="1"/>
  <c r="BK260" i="1" s="1"/>
  <c r="AX260" i="1"/>
  <c r="AL260" i="1"/>
  <c r="AR260" i="1" s="1"/>
  <c r="AG260" i="1"/>
  <c r="AI260" i="1" s="1"/>
  <c r="AA260" i="1"/>
  <c r="AE260" i="1" s="1"/>
  <c r="V260" i="1"/>
  <c r="Q260" i="1"/>
  <c r="S260" i="1" s="1"/>
  <c r="N260" i="1"/>
  <c r="J260" i="1"/>
  <c r="H260" i="1"/>
  <c r="O260" i="1" s="1"/>
  <c r="S261" i="2"/>
  <c r="W261" i="2"/>
  <c r="K261" i="2"/>
  <c r="Q261" i="2" s="1"/>
  <c r="BW259" i="1"/>
  <c r="AX259" i="1" s="1"/>
  <c r="BE259" i="1"/>
  <c r="BP259" i="1" s="1"/>
  <c r="BR259" i="1" s="1"/>
  <c r="BA259" i="1"/>
  <c r="BK259" i="1" s="1"/>
  <c r="AL259" i="1"/>
  <c r="AR259" i="1" s="1"/>
  <c r="AG259" i="1"/>
  <c r="AI259" i="1" s="1"/>
  <c r="AA259" i="1"/>
  <c r="AE259" i="1" s="1"/>
  <c r="V259" i="1"/>
  <c r="Q259" i="1"/>
  <c r="N259" i="1"/>
  <c r="J259" i="1"/>
  <c r="H259" i="1"/>
  <c r="O259" i="1" s="1"/>
  <c r="B259" i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W260" i="2"/>
  <c r="S260" i="2"/>
  <c r="K260" i="2"/>
  <c r="C260" i="2"/>
  <c r="C261" i="2" s="1"/>
  <c r="C262" i="2" s="1"/>
  <c r="C263" i="2" s="1"/>
  <c r="C264" i="2" s="1"/>
  <c r="C265" i="2" s="1"/>
  <c r="C266" i="2" s="1"/>
  <c r="C267" i="2" s="1"/>
  <c r="C268" i="2" s="1"/>
  <c r="C269" i="2" s="1"/>
  <c r="C270" i="2" s="1"/>
  <c r="C271" i="2" s="1"/>
  <c r="BE258" i="1"/>
  <c r="BA258" i="1"/>
  <c r="AL258" i="1"/>
  <c r="AR258" i="1" s="1"/>
  <c r="AG258" i="1"/>
  <c r="AI258" i="1" s="1"/>
  <c r="Q258" i="1"/>
  <c r="N258" i="1"/>
  <c r="S259" i="2"/>
  <c r="V274" i="2"/>
  <c r="K259" i="2"/>
  <c r="Q259" i="2" s="1"/>
  <c r="U213" i="3"/>
  <c r="U214" i="3" s="1"/>
  <c r="U215" i="3" s="1"/>
  <c r="U216" i="3" s="1"/>
  <c r="U217" i="3" s="1"/>
  <c r="U218" i="3" s="1"/>
  <c r="U219" i="3" s="1"/>
  <c r="U220" i="3" s="1"/>
  <c r="U221" i="3" s="1"/>
  <c r="U222" i="3" s="1"/>
  <c r="U223" i="3" s="1"/>
  <c r="U224" i="3" s="1"/>
  <c r="AH261" i="1" l="1"/>
  <c r="AH263" i="1"/>
  <c r="BR262" i="1"/>
  <c r="BG260" i="1"/>
  <c r="BP260" i="1"/>
  <c r="BR260" i="1" s="1"/>
  <c r="AV260" i="1"/>
  <c r="BM260" i="1"/>
  <c r="AC260" i="1"/>
  <c r="U261" i="2"/>
  <c r="M261" i="2"/>
  <c r="S259" i="1"/>
  <c r="AH259" i="1"/>
  <c r="AV259" i="1"/>
  <c r="BM259" i="1"/>
  <c r="BG259" i="1"/>
  <c r="BN259" i="1"/>
  <c r="AC259" i="1"/>
  <c r="Q260" i="2"/>
  <c r="U260" i="2"/>
  <c r="M260" i="2"/>
  <c r="BK258" i="1"/>
  <c r="S258" i="1"/>
  <c r="BG258" i="1"/>
  <c r="U259" i="2"/>
  <c r="M259" i="2"/>
  <c r="BE257" i="1"/>
  <c r="BA257" i="1"/>
  <c r="BK257" i="1" s="1"/>
  <c r="AL257" i="1"/>
  <c r="AR257" i="1" s="1"/>
  <c r="AG257" i="1"/>
  <c r="AI257" i="1" s="1"/>
  <c r="S257" i="1"/>
  <c r="Q257" i="1"/>
  <c r="N257" i="1"/>
  <c r="S258" i="2"/>
  <c r="K258" i="2"/>
  <c r="Q258" i="2" s="1"/>
  <c r="BE256" i="1"/>
  <c r="BA256" i="1"/>
  <c r="AL256" i="1"/>
  <c r="AR256" i="1" s="1"/>
  <c r="AG256" i="1"/>
  <c r="AI256" i="1" s="1"/>
  <c r="Q256" i="1"/>
  <c r="N256" i="1"/>
  <c r="S257" i="2"/>
  <c r="S256" i="2"/>
  <c r="K257" i="2"/>
  <c r="Q257" i="2" s="1"/>
  <c r="BE255" i="1"/>
  <c r="BA255" i="1"/>
  <c r="BK255" i="1" s="1"/>
  <c r="AL255" i="1"/>
  <c r="AR255" i="1" s="1"/>
  <c r="AG255" i="1"/>
  <c r="AI255" i="1" s="1"/>
  <c r="Q255" i="1"/>
  <c r="N255" i="1"/>
  <c r="K256" i="2"/>
  <c r="AH260" i="1" l="1"/>
  <c r="AH258" i="1"/>
  <c r="BM258" i="1"/>
  <c r="BG257" i="1"/>
  <c r="AH257" i="1"/>
  <c r="BM257" i="1"/>
  <c r="U258" i="2"/>
  <c r="M258" i="2"/>
  <c r="BK256" i="1"/>
  <c r="AH256" i="1"/>
  <c r="BG256" i="1"/>
  <c r="S256" i="1"/>
  <c r="U256" i="2"/>
  <c r="U257" i="2"/>
  <c r="M257" i="2"/>
  <c r="BM255" i="1"/>
  <c r="BG255" i="1"/>
  <c r="S255" i="1"/>
  <c r="M256" i="2"/>
  <c r="Q256" i="2"/>
  <c r="BE254" i="1"/>
  <c r="BA254" i="1"/>
  <c r="BK254" i="1" s="1"/>
  <c r="AL254" i="1"/>
  <c r="AR254" i="1" s="1"/>
  <c r="AG254" i="1"/>
  <c r="AI254" i="1" s="1"/>
  <c r="Q254" i="1"/>
  <c r="S254" i="1" s="1"/>
  <c r="N254" i="1"/>
  <c r="S255" i="2"/>
  <c r="K255" i="2"/>
  <c r="M255" i="2" s="1"/>
  <c r="S254" i="2"/>
  <c r="U254" i="2" s="1"/>
  <c r="M254" i="2"/>
  <c r="K254" i="2"/>
  <c r="Q254" i="2" s="1"/>
  <c r="BM256" i="1" l="1"/>
  <c r="AH255" i="1"/>
  <c r="BG254" i="1"/>
  <c r="BM254" i="1"/>
  <c r="U255" i="2"/>
  <c r="Q255" i="2"/>
  <c r="AA208" i="3"/>
  <c r="AH254" i="1" l="1"/>
  <c r="BE253" i="1"/>
  <c r="BA253" i="1"/>
  <c r="BK253" i="1" s="1"/>
  <c r="AL253" i="1"/>
  <c r="AG253" i="1"/>
  <c r="AI253" i="1" s="1"/>
  <c r="Q253" i="1"/>
  <c r="N253" i="1"/>
  <c r="S253" i="2"/>
  <c r="K253" i="2"/>
  <c r="Q253" i="2" s="1"/>
  <c r="BM253" i="1" l="1"/>
  <c r="BG253" i="1"/>
  <c r="AR253" i="1"/>
  <c r="S253" i="1"/>
  <c r="U253" i="2"/>
  <c r="M253" i="2"/>
  <c r="AH253" i="1"/>
  <c r="BE252" i="1"/>
  <c r="BA252" i="1"/>
  <c r="BK252" i="1" s="1"/>
  <c r="AL252" i="1"/>
  <c r="AG252" i="1"/>
  <c r="AI252" i="1" s="1"/>
  <c r="Q252" i="1"/>
  <c r="N252" i="1"/>
  <c r="S252" i="2"/>
  <c r="K252" i="2"/>
  <c r="Q252" i="2" s="1"/>
  <c r="BG252" i="1" l="1"/>
  <c r="AR252" i="1"/>
  <c r="BM252" i="1"/>
  <c r="S252" i="1"/>
  <c r="U252" i="2"/>
  <c r="M252" i="2"/>
  <c r="AH252" i="1"/>
  <c r="BK251" i="1"/>
  <c r="BE251" i="1"/>
  <c r="BA251" i="1"/>
  <c r="AL251" i="1"/>
  <c r="AR251" i="1" s="1"/>
  <c r="AG251" i="1"/>
  <c r="AI251" i="1" s="1"/>
  <c r="Q251" i="1"/>
  <c r="S251" i="1" s="1"/>
  <c r="N251" i="1"/>
  <c r="S251" i="2"/>
  <c r="BE250" i="1"/>
  <c r="BG250" i="1" s="1"/>
  <c r="BA250" i="1"/>
  <c r="BK250" i="1" s="1"/>
  <c r="AL250" i="1"/>
  <c r="AR250" i="1" s="1"/>
  <c r="AG250" i="1"/>
  <c r="AI250" i="1" s="1"/>
  <c r="Q250" i="1"/>
  <c r="S250" i="1" s="1"/>
  <c r="N250" i="1"/>
  <c r="K251" i="2"/>
  <c r="M251" i="2" s="1"/>
  <c r="AH251" i="1" l="1"/>
  <c r="BM251" i="1"/>
  <c r="BG251" i="1"/>
  <c r="BM250" i="1"/>
  <c r="U251" i="2"/>
  <c r="Q251" i="2"/>
  <c r="AH250" i="1"/>
  <c r="AH249" i="1"/>
  <c r="BE249" i="1"/>
  <c r="BA249" i="1"/>
  <c r="BK249" i="1" s="1"/>
  <c r="AL249" i="1"/>
  <c r="AR249" i="1" s="1"/>
  <c r="AG249" i="1"/>
  <c r="AI249" i="1" s="1"/>
  <c r="Q249" i="1"/>
  <c r="BM249" i="1" s="1"/>
  <c r="N249" i="1"/>
  <c r="S250" i="2"/>
  <c r="K250" i="2"/>
  <c r="Q250" i="2" s="1"/>
  <c r="BE248" i="1"/>
  <c r="BA248" i="1"/>
  <c r="BK248" i="1" s="1"/>
  <c r="AL248" i="1"/>
  <c r="AR248" i="1" s="1"/>
  <c r="AG248" i="1"/>
  <c r="AI248" i="1" s="1"/>
  <c r="Q248" i="1"/>
  <c r="N248" i="1"/>
  <c r="S249" i="2"/>
  <c r="K249" i="2"/>
  <c r="M249" i="2" s="1"/>
  <c r="BG249" i="1" l="1"/>
  <c r="S249" i="1"/>
  <c r="U250" i="2"/>
  <c r="M250" i="2"/>
  <c r="BG248" i="1"/>
  <c r="BM248" i="1"/>
  <c r="S248" i="1"/>
  <c r="U249" i="2"/>
  <c r="Q249" i="2"/>
  <c r="AH248" i="1"/>
  <c r="BK247" i="1"/>
  <c r="BE247" i="1"/>
  <c r="BA247" i="1"/>
  <c r="AL247" i="1"/>
  <c r="AR247" i="1" s="1"/>
  <c r="AG247" i="1"/>
  <c r="AI247" i="1" s="1"/>
  <c r="Q247" i="1"/>
  <c r="N247" i="1"/>
  <c r="S248" i="2"/>
  <c r="K248" i="2"/>
  <c r="M248" i="2" s="1"/>
  <c r="BM247" i="1" l="1"/>
  <c r="BG247" i="1"/>
  <c r="S247" i="1"/>
  <c r="U248" i="2"/>
  <c r="Q248" i="2"/>
  <c r="AH247" i="1"/>
  <c r="BE246" i="1"/>
  <c r="BA246" i="1"/>
  <c r="BK246" i="1" s="1"/>
  <c r="AL246" i="1"/>
  <c r="AR246" i="1" s="1"/>
  <c r="AG246" i="1"/>
  <c r="AI246" i="1" s="1"/>
  <c r="Q246" i="1"/>
  <c r="N246" i="1"/>
  <c r="S247" i="2"/>
  <c r="K247" i="2"/>
  <c r="Q247" i="2" s="1"/>
  <c r="BE245" i="1"/>
  <c r="BA245" i="1"/>
  <c r="BK245" i="1" s="1"/>
  <c r="AL245" i="1"/>
  <c r="AR245" i="1" s="1"/>
  <c r="AG245" i="1"/>
  <c r="AI245" i="1" s="1"/>
  <c r="Q245" i="1"/>
  <c r="N245" i="1"/>
  <c r="S246" i="2"/>
  <c r="K246" i="2"/>
  <c r="U246" i="2" s="1"/>
  <c r="AH246" i="1" l="1"/>
  <c r="BM246" i="1"/>
  <c r="BG246" i="1"/>
  <c r="S246" i="1"/>
  <c r="U247" i="2"/>
  <c r="M247" i="2"/>
  <c r="BM245" i="1"/>
  <c r="BG245" i="1"/>
  <c r="S245" i="1"/>
  <c r="M246" i="2"/>
  <c r="Q246" i="2"/>
  <c r="AR295" i="1"/>
  <c r="S245" i="2"/>
  <c r="AH245" i="1" l="1"/>
  <c r="BE244" i="1"/>
  <c r="BA244" i="1"/>
  <c r="BK244" i="1" s="1"/>
  <c r="AL244" i="1"/>
  <c r="AR244" i="1" s="1"/>
  <c r="AG244" i="1"/>
  <c r="AI244" i="1" s="1"/>
  <c r="Q244" i="1"/>
  <c r="S244" i="1" s="1"/>
  <c r="N244" i="1"/>
  <c r="K245" i="2"/>
  <c r="Q245" i="2" s="1"/>
  <c r="BG244" i="1" l="1"/>
  <c r="BM244" i="1"/>
  <c r="U245" i="2"/>
  <c r="M245" i="2"/>
  <c r="N235" i="1"/>
  <c r="AI280" i="1"/>
  <c r="AA277" i="1"/>
  <c r="AA278" i="1"/>
  <c r="W278" i="1"/>
  <c r="W277" i="1"/>
  <c r="AH244" i="1"/>
  <c r="BE243" i="1"/>
  <c r="BA243" i="1"/>
  <c r="BK243" i="1" s="1"/>
  <c r="AL243" i="1"/>
  <c r="AR243" i="1" s="1"/>
  <c r="AG243" i="1"/>
  <c r="AI243" i="1" s="1"/>
  <c r="Q243" i="1"/>
  <c r="N243" i="1"/>
  <c r="S244" i="2"/>
  <c r="K244" i="2"/>
  <c r="Q244" i="2" s="1"/>
  <c r="BG243" i="1" l="1"/>
  <c r="BM243" i="1"/>
  <c r="U244" i="2"/>
  <c r="M244" i="2"/>
  <c r="BE242" i="1" l="1"/>
  <c r="BA242" i="1"/>
  <c r="BK242" i="1" s="1"/>
  <c r="AL242" i="1"/>
  <c r="AR242" i="1" s="1"/>
  <c r="AG242" i="1"/>
  <c r="AI242" i="1" s="1"/>
  <c r="Q242" i="1"/>
  <c r="N242" i="1"/>
  <c r="S243" i="2"/>
  <c r="K243" i="2"/>
  <c r="Q243" i="2" s="1"/>
  <c r="AH243" i="1"/>
  <c r="BE241" i="1"/>
  <c r="BA241" i="1"/>
  <c r="BK241" i="1" s="1"/>
  <c r="AL241" i="1"/>
  <c r="AR241" i="1" s="1"/>
  <c r="AG241" i="1"/>
  <c r="AI241" i="1" s="1"/>
  <c r="Q241" i="1"/>
  <c r="N241" i="1"/>
  <c r="S242" i="2"/>
  <c r="K242" i="2"/>
  <c r="Q242" i="2" s="1"/>
  <c r="AH242" i="1" l="1"/>
  <c r="BG242" i="1"/>
  <c r="BM242" i="1"/>
  <c r="U243" i="2"/>
  <c r="M243" i="2"/>
  <c r="AH241" i="1"/>
  <c r="BG241" i="1"/>
  <c r="BM241" i="1"/>
  <c r="U242" i="2"/>
  <c r="M242" i="2"/>
  <c r="BE240" i="1"/>
  <c r="BA240" i="1"/>
  <c r="BK240" i="1" s="1"/>
  <c r="AL240" i="1"/>
  <c r="AG240" i="1"/>
  <c r="AI240" i="1" s="1"/>
  <c r="Q240" i="1"/>
  <c r="N240" i="1"/>
  <c r="S241" i="2"/>
  <c r="K241" i="2"/>
  <c r="Q241" i="2" s="1"/>
  <c r="BE239" i="1"/>
  <c r="BA239" i="1"/>
  <c r="BK239" i="1" s="1"/>
  <c r="AL239" i="1"/>
  <c r="AR239" i="1" s="1"/>
  <c r="AG239" i="1"/>
  <c r="AI239" i="1" s="1"/>
  <c r="Q239" i="1"/>
  <c r="N239" i="1"/>
  <c r="S240" i="2"/>
  <c r="K240" i="2"/>
  <c r="Q240" i="2" s="1"/>
  <c r="G275" i="1"/>
  <c r="G274" i="1"/>
  <c r="F274" i="1"/>
  <c r="F275" i="1" s="1"/>
  <c r="E274" i="1"/>
  <c r="E275" i="1" s="1"/>
  <c r="BE238" i="1"/>
  <c r="BA238" i="1"/>
  <c r="BK238" i="1" s="1"/>
  <c r="AL238" i="1"/>
  <c r="AR238" i="1" s="1"/>
  <c r="AG238" i="1"/>
  <c r="AI238" i="1" s="1"/>
  <c r="Q238" i="1"/>
  <c r="N238" i="1"/>
  <c r="S239" i="2"/>
  <c r="K239" i="2"/>
  <c r="Q239" i="2" s="1"/>
  <c r="AR240" i="1" l="1"/>
  <c r="AH240" i="1"/>
  <c r="BM240" i="1"/>
  <c r="BG240" i="1"/>
  <c r="U241" i="2"/>
  <c r="M241" i="2"/>
  <c r="BM239" i="1"/>
  <c r="AH239" i="1"/>
  <c r="BG239" i="1"/>
  <c r="U240" i="2"/>
  <c r="M240" i="2"/>
  <c r="BG238" i="1"/>
  <c r="BM238" i="1"/>
  <c r="U239" i="2"/>
  <c r="M239" i="2"/>
  <c r="AH238" i="1"/>
  <c r="BE237" i="1" l="1"/>
  <c r="BA237" i="1"/>
  <c r="BK237" i="1" s="1"/>
  <c r="AL237" i="1"/>
  <c r="AR237" i="1" s="1"/>
  <c r="AG237" i="1"/>
  <c r="AI237" i="1" s="1"/>
  <c r="Q237" i="1"/>
  <c r="N237" i="1"/>
  <c r="S238" i="2"/>
  <c r="K238" i="2"/>
  <c r="Q238" i="2" s="1"/>
  <c r="BM237" i="1" l="1"/>
  <c r="BG237" i="1"/>
  <c r="U238" i="2"/>
  <c r="M238" i="2"/>
  <c r="AR298" i="1"/>
  <c r="Q236" i="1" l="1"/>
  <c r="S243" i="1" s="1"/>
  <c r="Q235" i="1"/>
  <c r="Q234" i="1"/>
  <c r="Q233" i="1"/>
  <c r="Q232" i="1"/>
  <c r="Q231" i="1"/>
  <c r="Q230" i="1"/>
  <c r="Q229" i="1"/>
  <c r="S229" i="1" s="1"/>
  <c r="Q228" i="1"/>
  <c r="Q227" i="1"/>
  <c r="Q226" i="1"/>
  <c r="Q225" i="1"/>
  <c r="Q224" i="1"/>
  <c r="Q223" i="1"/>
  <c r="Q222" i="1"/>
  <c r="Q221" i="1"/>
  <c r="S221" i="1" s="1"/>
  <c r="Q220" i="1"/>
  <c r="Q219" i="1"/>
  <c r="Q218" i="1"/>
  <c r="Q217" i="1"/>
  <c r="Q216" i="1"/>
  <c r="Q215" i="1"/>
  <c r="Q214" i="1"/>
  <c r="Q213" i="1"/>
  <c r="S213" i="1" s="1"/>
  <c r="Q212" i="1"/>
  <c r="Q211" i="1"/>
  <c r="Q210" i="1"/>
  <c r="Q209" i="1"/>
  <c r="Q208" i="1"/>
  <c r="Q207" i="1"/>
  <c r="Q206" i="1"/>
  <c r="Q205" i="1"/>
  <c r="S205" i="1" s="1"/>
  <c r="Q204" i="1"/>
  <c r="Q203" i="1"/>
  <c r="Q202" i="1"/>
  <c r="Q201" i="1"/>
  <c r="Q200" i="1"/>
  <c r="Q199" i="1"/>
  <c r="Q198" i="1"/>
  <c r="S198" i="1" s="1"/>
  <c r="Q197" i="1"/>
  <c r="S197" i="1" s="1"/>
  <c r="Q196" i="1"/>
  <c r="Q195" i="1"/>
  <c r="Q194" i="1"/>
  <c r="Q193" i="1"/>
  <c r="S193" i="1" s="1"/>
  <c r="Q192" i="1"/>
  <c r="S192" i="1" s="1"/>
  <c r="Q191" i="1"/>
  <c r="S191" i="1" s="1"/>
  <c r="Q190" i="1"/>
  <c r="S190" i="1" s="1"/>
  <c r="Q189" i="1"/>
  <c r="Q188" i="1"/>
  <c r="Q187" i="1"/>
  <c r="S207" i="1" l="1"/>
  <c r="S215" i="1"/>
  <c r="S223" i="1"/>
  <c r="S206" i="1"/>
  <c r="S214" i="1"/>
  <c r="S222" i="1"/>
  <c r="S199" i="1"/>
  <c r="S200" i="1"/>
  <c r="S208" i="1"/>
  <c r="S216" i="1"/>
  <c r="S224" i="1"/>
  <c r="S194" i="1"/>
  <c r="S202" i="1"/>
  <c r="S210" i="1"/>
  <c r="S218" i="1"/>
  <c r="S226" i="1"/>
  <c r="S230" i="1"/>
  <c r="S237" i="1"/>
  <c r="S231" i="1"/>
  <c r="S238" i="1"/>
  <c r="S232" i="1"/>
  <c r="S239" i="1"/>
  <c r="S201" i="1"/>
  <c r="S209" i="1"/>
  <c r="S217" i="1"/>
  <c r="S225" i="1"/>
  <c r="S233" i="1"/>
  <c r="S240" i="1"/>
  <c r="S234" i="1"/>
  <c r="S241" i="1"/>
  <c r="S195" i="1"/>
  <c r="S203" i="1"/>
  <c r="S211" i="1"/>
  <c r="S219" i="1"/>
  <c r="S227" i="1"/>
  <c r="S235" i="1"/>
  <c r="S242" i="1"/>
  <c r="S196" i="1"/>
  <c r="S204" i="1"/>
  <c r="S212" i="1"/>
  <c r="S220" i="1"/>
  <c r="S228" i="1"/>
  <c r="S236" i="1"/>
  <c r="AH237" i="1"/>
  <c r="BK236" i="1"/>
  <c r="BM236" i="1" s="1"/>
  <c r="BE236" i="1"/>
  <c r="BA236" i="1"/>
  <c r="AL236" i="1"/>
  <c r="AR236" i="1" s="1"/>
  <c r="AG236" i="1"/>
  <c r="N236" i="1"/>
  <c r="S237" i="2"/>
  <c r="K237" i="2"/>
  <c r="Q237" i="2" s="1"/>
  <c r="AH236" i="1" l="1"/>
  <c r="BG236" i="1"/>
  <c r="U237" i="2"/>
  <c r="M237" i="2"/>
  <c r="BE235" i="1"/>
  <c r="BA235" i="1"/>
  <c r="AL235" i="1"/>
  <c r="AR235" i="1" s="1"/>
  <c r="AH235" i="1"/>
  <c r="AG235" i="1"/>
  <c r="S236" i="2"/>
  <c r="U236" i="2"/>
  <c r="K236" i="2"/>
  <c r="Q236" i="2" s="1"/>
  <c r="BE234" i="1"/>
  <c r="BA234" i="1"/>
  <c r="AL234" i="1"/>
  <c r="AR234" i="1" s="1"/>
  <c r="AG234" i="1"/>
  <c r="N234" i="1"/>
  <c r="S235" i="2"/>
  <c r="K235" i="2"/>
  <c r="M235" i="2" s="1"/>
  <c r="BG235" i="1" l="1"/>
  <c r="M236" i="2"/>
  <c r="BG234" i="1"/>
  <c r="U235" i="2"/>
  <c r="Q235" i="2"/>
  <c r="AH234" i="1" l="1"/>
  <c r="BE233" i="1"/>
  <c r="BA233" i="1"/>
  <c r="AL233" i="1"/>
  <c r="AR233" i="1" s="1"/>
  <c r="AG233" i="1"/>
  <c r="N233" i="1"/>
  <c r="S234" i="2"/>
  <c r="K234" i="2"/>
  <c r="M234" i="2" s="1"/>
  <c r="BG233" i="1" l="1"/>
  <c r="Q234" i="2"/>
  <c r="U234" i="2"/>
  <c r="AH233" i="1"/>
  <c r="BE232" i="1"/>
  <c r="BG232" i="1" s="1"/>
  <c r="BA232" i="1"/>
  <c r="AL232" i="1"/>
  <c r="AR232" i="1" s="1"/>
  <c r="AG232" i="1"/>
  <c r="N232" i="1"/>
  <c r="S233" i="2"/>
  <c r="K233" i="2"/>
  <c r="Q233" i="2" s="1"/>
  <c r="U233" i="2" l="1"/>
  <c r="M233" i="2"/>
  <c r="AH232" i="1"/>
  <c r="BE231" i="1"/>
  <c r="BG231" i="1" s="1"/>
  <c r="BA231" i="1"/>
  <c r="AL231" i="1"/>
  <c r="AR231" i="1" s="1"/>
  <c r="AG231" i="1"/>
  <c r="N231" i="1"/>
  <c r="S232" i="2"/>
  <c r="K232" i="2"/>
  <c r="Q232" i="2" s="1"/>
  <c r="U232" i="2" l="1"/>
  <c r="M232" i="2"/>
  <c r="AP295" i="1" l="1"/>
  <c r="AR294" i="1"/>
  <c r="AV294" i="1" s="1"/>
  <c r="AP294" i="1"/>
  <c r="AR293" i="1"/>
  <c r="AV293" i="1" s="1"/>
  <c r="AP293" i="1"/>
  <c r="AV295" i="1" l="1"/>
  <c r="BA295" i="1" s="1"/>
  <c r="BA296" i="1" s="1"/>
  <c r="AH231" i="1"/>
  <c r="BE230" i="1"/>
  <c r="BA230" i="1"/>
  <c r="AL230" i="1"/>
  <c r="AR230" i="1" s="1"/>
  <c r="AG230" i="1"/>
  <c r="N230" i="1"/>
  <c r="S231" i="2"/>
  <c r="K231" i="2"/>
  <c r="Q231" i="2" s="1"/>
  <c r="BG230" i="1" l="1"/>
  <c r="U231" i="2"/>
  <c r="M231" i="2"/>
  <c r="S230" i="2"/>
  <c r="BE229" i="1" l="1"/>
  <c r="BA229" i="1"/>
  <c r="BK235" i="1" s="1"/>
  <c r="BM235" i="1" s="1"/>
  <c r="AL229" i="1"/>
  <c r="AG229" i="1"/>
  <c r="AI236" i="1" s="1"/>
  <c r="N229" i="1"/>
  <c r="K230" i="2"/>
  <c r="Q230" i="2" s="1"/>
  <c r="AR229" i="1" l="1"/>
  <c r="BG229" i="1"/>
  <c r="U230" i="2"/>
  <c r="M230" i="2"/>
  <c r="BE228" i="1"/>
  <c r="BA228" i="1"/>
  <c r="BK234" i="1" s="1"/>
  <c r="BM234" i="1" s="1"/>
  <c r="AL228" i="1"/>
  <c r="AR228" i="1" s="1"/>
  <c r="AG228" i="1"/>
  <c r="AI235" i="1" s="1"/>
  <c r="N228" i="1"/>
  <c r="S229" i="2"/>
  <c r="K229" i="2"/>
  <c r="M229" i="2" s="1"/>
  <c r="BE227" i="1"/>
  <c r="BA227" i="1"/>
  <c r="AL227" i="1"/>
  <c r="AR227" i="1" s="1"/>
  <c r="AG227" i="1"/>
  <c r="AI234" i="1" s="1"/>
  <c r="N227" i="1"/>
  <c r="S228" i="2"/>
  <c r="K228" i="2"/>
  <c r="Q228" i="2" s="1"/>
  <c r="BE226" i="1"/>
  <c r="BA226" i="1"/>
  <c r="AL226" i="1"/>
  <c r="AR226" i="1" s="1"/>
  <c r="AG226" i="1"/>
  <c r="AI233" i="1" s="1"/>
  <c r="N226" i="1"/>
  <c r="S227" i="2"/>
  <c r="K227" i="2"/>
  <c r="Q227" i="2" s="1"/>
  <c r="BK233" i="1" l="1"/>
  <c r="BM233" i="1" s="1"/>
  <c r="BK232" i="1"/>
  <c r="BM232" i="1" s="1"/>
  <c r="BG228" i="1"/>
  <c r="U229" i="2"/>
  <c r="Q229" i="2"/>
  <c r="BG227" i="1"/>
  <c r="U228" i="2"/>
  <c r="M228" i="2"/>
  <c r="BG226" i="1"/>
  <c r="U227" i="2"/>
  <c r="M227" i="2"/>
  <c r="BE225" i="1"/>
  <c r="BA225" i="1"/>
  <c r="BK231" i="1" s="1"/>
  <c r="BM231" i="1" s="1"/>
  <c r="AL225" i="1"/>
  <c r="AR225" i="1" s="1"/>
  <c r="AG225" i="1"/>
  <c r="AI232" i="1" s="1"/>
  <c r="N225" i="1"/>
  <c r="S226" i="2"/>
  <c r="K226" i="2"/>
  <c r="M226" i="2" s="1"/>
  <c r="BG225" i="1" l="1"/>
  <c r="Q226" i="2"/>
  <c r="U226" i="2"/>
  <c r="BE224" i="1"/>
  <c r="BA224" i="1"/>
  <c r="BK230" i="1" s="1"/>
  <c r="AL224" i="1"/>
  <c r="AR224" i="1" s="1"/>
  <c r="AG224" i="1"/>
  <c r="AI231" i="1" s="1"/>
  <c r="N224" i="1"/>
  <c r="S225" i="2"/>
  <c r="K225" i="2"/>
  <c r="M225" i="2" s="1"/>
  <c r="BM230" i="1" l="1"/>
  <c r="BG224" i="1"/>
  <c r="U225" i="2"/>
  <c r="Q225" i="2"/>
  <c r="S224" i="2"/>
  <c r="K224" i="2"/>
  <c r="Q224" i="2" s="1"/>
  <c r="BE223" i="1"/>
  <c r="BA223" i="1"/>
  <c r="BK229" i="1" s="1"/>
  <c r="BM229" i="1" s="1"/>
  <c r="AL223" i="1"/>
  <c r="AR223" i="1" s="1"/>
  <c r="AG223" i="1"/>
  <c r="AI230" i="1" s="1"/>
  <c r="N223" i="1"/>
  <c r="U224" i="2" l="1"/>
  <c r="M224" i="2"/>
  <c r="BG223" i="1"/>
  <c r="BE222" i="1" l="1"/>
  <c r="BA222" i="1"/>
  <c r="AL222" i="1"/>
  <c r="AR222" i="1" s="1"/>
  <c r="AG222" i="1"/>
  <c r="N222" i="1"/>
  <c r="S223" i="2"/>
  <c r="K223" i="2"/>
  <c r="Q223" i="2" s="1"/>
  <c r="BK228" i="1" l="1"/>
  <c r="BM228" i="1" s="1"/>
  <c r="AI229" i="1"/>
  <c r="BG222" i="1"/>
  <c r="U223" i="2"/>
  <c r="M223" i="2"/>
  <c r="BE221" i="1" l="1"/>
  <c r="BA221" i="1"/>
  <c r="BK227" i="1" s="1"/>
  <c r="BM227" i="1" s="1"/>
  <c r="AL221" i="1"/>
  <c r="AR221" i="1" s="1"/>
  <c r="AG221" i="1"/>
  <c r="N221" i="1"/>
  <c r="S222" i="2"/>
  <c r="K222" i="2"/>
  <c r="M222" i="2" s="1"/>
  <c r="AI228" i="1" l="1"/>
  <c r="BG221" i="1"/>
  <c r="U222" i="2"/>
  <c r="Q222" i="2"/>
  <c r="BE220" i="1" l="1"/>
  <c r="BA220" i="1"/>
  <c r="AL220" i="1"/>
  <c r="AR220" i="1" s="1"/>
  <c r="AG220" i="1"/>
  <c r="N220" i="1"/>
  <c r="S221" i="2"/>
  <c r="U221" i="2"/>
  <c r="K221" i="2"/>
  <c r="M221" i="2" s="1"/>
  <c r="BK226" i="1" l="1"/>
  <c r="BM226" i="1" s="1"/>
  <c r="AI227" i="1"/>
  <c r="BG220" i="1"/>
  <c r="Q221" i="2"/>
  <c r="BE219" i="1"/>
  <c r="BA219" i="1"/>
  <c r="AL219" i="1"/>
  <c r="AR219" i="1" s="1"/>
  <c r="AG219" i="1"/>
  <c r="AI226" i="1" s="1"/>
  <c r="N219" i="1"/>
  <c r="S220" i="2"/>
  <c r="K220" i="2"/>
  <c r="Q220" i="2" s="1"/>
  <c r="BK225" i="1" l="1"/>
  <c r="BM225" i="1" s="1"/>
  <c r="BG219" i="1"/>
  <c r="U220" i="2"/>
  <c r="M220" i="2"/>
  <c r="BE218" i="1" l="1"/>
  <c r="BA218" i="1"/>
  <c r="BK224" i="1" s="1"/>
  <c r="BM224" i="1" s="1"/>
  <c r="AL218" i="1"/>
  <c r="AR218" i="1" s="1"/>
  <c r="AG218" i="1"/>
  <c r="AI225" i="1" s="1"/>
  <c r="N218" i="1"/>
  <c r="S219" i="2"/>
  <c r="K219" i="2"/>
  <c r="Q219" i="2" s="1"/>
  <c r="BG218" i="1" l="1"/>
  <c r="U219" i="2"/>
  <c r="M219" i="2"/>
  <c r="BE217" i="1" l="1"/>
  <c r="BA217" i="1"/>
  <c r="BK223" i="1" s="1"/>
  <c r="BM223" i="1" s="1"/>
  <c r="AL217" i="1"/>
  <c r="AR217" i="1" s="1"/>
  <c r="AG217" i="1"/>
  <c r="AI224" i="1" s="1"/>
  <c r="N217" i="1"/>
  <c r="S218" i="2"/>
  <c r="K218" i="2"/>
  <c r="Q218" i="2" s="1"/>
  <c r="BG217" i="1" l="1"/>
  <c r="U218" i="2"/>
  <c r="M218" i="2"/>
  <c r="BE216" i="1"/>
  <c r="S217" i="2"/>
  <c r="BA339" i="1"/>
  <c r="N214" i="1"/>
  <c r="N204" i="1"/>
  <c r="BA338" i="1" s="1"/>
  <c r="BC338" i="1" s="1"/>
  <c r="BE338" i="1" s="1"/>
  <c r="N174" i="1"/>
  <c r="BA337" i="1" s="1"/>
  <c r="N112" i="1"/>
  <c r="BA216" i="1"/>
  <c r="BK222" i="1" s="1"/>
  <c r="BM222" i="1" s="1"/>
  <c r="AL216" i="1"/>
  <c r="AR216" i="1" s="1"/>
  <c r="AG216" i="1"/>
  <c r="AI223" i="1" s="1"/>
  <c r="N216" i="1"/>
  <c r="K217" i="2"/>
  <c r="M217" i="2" s="1"/>
  <c r="BC339" i="1" l="1"/>
  <c r="BE339" i="1" s="1"/>
  <c r="BG216" i="1"/>
  <c r="U217" i="2"/>
  <c r="Q217" i="2"/>
  <c r="BE215" i="1" l="1"/>
  <c r="BA215" i="1"/>
  <c r="BK221" i="1" s="1"/>
  <c r="BM221" i="1" s="1"/>
  <c r="AL215" i="1"/>
  <c r="AR215" i="1" s="1"/>
  <c r="AG215" i="1"/>
  <c r="AI222" i="1" s="1"/>
  <c r="N215" i="1"/>
  <c r="S216" i="2"/>
  <c r="K216" i="2"/>
  <c r="M216" i="2" s="1"/>
  <c r="BG215" i="1" l="1"/>
  <c r="U216" i="2"/>
  <c r="Q216" i="2"/>
  <c r="BE214" i="1" l="1"/>
  <c r="BA214" i="1"/>
  <c r="BK220" i="1" s="1"/>
  <c r="BM220" i="1" s="1"/>
  <c r="AL214" i="1"/>
  <c r="AR214" i="1" s="1"/>
  <c r="AG214" i="1"/>
  <c r="AI221" i="1" s="1"/>
  <c r="S215" i="2"/>
  <c r="K215" i="2"/>
  <c r="BE213" i="1"/>
  <c r="BA213" i="1"/>
  <c r="AL213" i="1"/>
  <c r="AR213" i="1" s="1"/>
  <c r="AG213" i="1"/>
  <c r="AI220" i="1" s="1"/>
  <c r="N213" i="1"/>
  <c r="S214" i="2"/>
  <c r="K214" i="2"/>
  <c r="BK219" i="1" l="1"/>
  <c r="BM219" i="1" s="1"/>
  <c r="M215" i="2"/>
  <c r="BG214" i="1"/>
  <c r="Q215" i="2"/>
  <c r="U215" i="2"/>
  <c r="BG213" i="1"/>
  <c r="U214" i="2"/>
  <c r="S213" i="2" l="1"/>
  <c r="BE212" i="1" l="1"/>
  <c r="BA212" i="1"/>
  <c r="BK218" i="1" s="1"/>
  <c r="BM218" i="1" s="1"/>
  <c r="AL212" i="1"/>
  <c r="AR212" i="1" s="1"/>
  <c r="AG212" i="1"/>
  <c r="AI219" i="1" s="1"/>
  <c r="N212" i="1"/>
  <c r="K213" i="2"/>
  <c r="Q214" i="2" l="1"/>
  <c r="M214" i="2"/>
  <c r="BG212" i="1"/>
  <c r="U213" i="2"/>
  <c r="BE211" i="1" l="1"/>
  <c r="BA211" i="1"/>
  <c r="BK217" i="1" s="1"/>
  <c r="BM217" i="1" s="1"/>
  <c r="AL211" i="1"/>
  <c r="AR211" i="1" s="1"/>
  <c r="AG211" i="1"/>
  <c r="AI218" i="1" s="1"/>
  <c r="N211" i="1"/>
  <c r="S212" i="2"/>
  <c r="K212" i="2"/>
  <c r="BE210" i="1"/>
  <c r="BA210" i="1"/>
  <c r="AL210" i="1"/>
  <c r="AR210" i="1" s="1"/>
  <c r="AG210" i="1"/>
  <c r="AI217" i="1" s="1"/>
  <c r="N210" i="1"/>
  <c r="S211" i="2"/>
  <c r="K211" i="2"/>
  <c r="Q212" i="2" l="1"/>
  <c r="Q213" i="2"/>
  <c r="M213" i="2"/>
  <c r="BK216" i="1"/>
  <c r="BM216" i="1" s="1"/>
  <c r="BG211" i="1"/>
  <c r="U212" i="2"/>
  <c r="M212" i="2"/>
  <c r="BG210" i="1"/>
  <c r="U211" i="2"/>
  <c r="K210" i="2" l="1"/>
  <c r="BE209" i="1"/>
  <c r="BA209" i="1"/>
  <c r="BK215" i="1" s="1"/>
  <c r="BM215" i="1" s="1"/>
  <c r="AL209" i="1"/>
  <c r="AR209" i="1" s="1"/>
  <c r="AG209" i="1"/>
  <c r="AI216" i="1" s="1"/>
  <c r="N209" i="1"/>
  <c r="M211" i="2" l="1"/>
  <c r="Q211" i="2"/>
  <c r="U210" i="2"/>
  <c r="BG209" i="1"/>
  <c r="S209" i="2" l="1"/>
  <c r="BE208" i="1" l="1"/>
  <c r="BA208" i="1"/>
  <c r="BK214" i="1" s="1"/>
  <c r="AL208" i="1"/>
  <c r="AG208" i="1"/>
  <c r="AI215" i="1" s="1"/>
  <c r="N208" i="1"/>
  <c r="K209" i="2"/>
  <c r="S208" i="2"/>
  <c r="Q210" i="2" l="1"/>
  <c r="M210" i="2"/>
  <c r="BM214" i="1"/>
  <c r="AR208" i="1"/>
  <c r="BG208" i="1"/>
  <c r="U209" i="2"/>
  <c r="M209" i="2"/>
  <c r="K208" i="2"/>
  <c r="BE207" i="1"/>
  <c r="BA207" i="1"/>
  <c r="BK213" i="1" s="1"/>
  <c r="AL207" i="1"/>
  <c r="AR207" i="1" s="1"/>
  <c r="AG207" i="1"/>
  <c r="AI214" i="1" s="1"/>
  <c r="N207" i="1"/>
  <c r="S207" i="2"/>
  <c r="BE206" i="1"/>
  <c r="BA206" i="1"/>
  <c r="AL206" i="1"/>
  <c r="AR206" i="1" s="1"/>
  <c r="AG206" i="1"/>
  <c r="AI213" i="1" s="1"/>
  <c r="N206" i="1"/>
  <c r="K207" i="2"/>
  <c r="Q208" i="2" l="1"/>
  <c r="Q209" i="2"/>
  <c r="BK212" i="1"/>
  <c r="BM212" i="1" s="1"/>
  <c r="BM213" i="1"/>
  <c r="BG207" i="1"/>
  <c r="U208" i="2"/>
  <c r="M208" i="2"/>
  <c r="BG206" i="1"/>
  <c r="U207" i="2"/>
  <c r="BE205" i="1" l="1"/>
  <c r="BA205" i="1"/>
  <c r="BK211" i="1" s="1"/>
  <c r="BM211" i="1" s="1"/>
  <c r="AL205" i="1"/>
  <c r="AR205" i="1" s="1"/>
  <c r="AG205" i="1"/>
  <c r="AI212" i="1" s="1"/>
  <c r="N205" i="1"/>
  <c r="S206" i="2"/>
  <c r="K206" i="2"/>
  <c r="S205" i="2"/>
  <c r="D307" i="1"/>
  <c r="H307" i="1" s="1"/>
  <c r="Q207" i="2" l="1"/>
  <c r="M207" i="2"/>
  <c r="BG205" i="1"/>
  <c r="U206" i="2"/>
  <c r="BE204" i="1"/>
  <c r="BA204" i="1"/>
  <c r="BK210" i="1" s="1"/>
  <c r="BM210" i="1" s="1"/>
  <c r="AL204" i="1"/>
  <c r="AR204" i="1" s="1"/>
  <c r="AG204" i="1"/>
  <c r="AI211" i="1" s="1"/>
  <c r="K205" i="2"/>
  <c r="M206" i="2" l="1"/>
  <c r="Q206" i="2"/>
  <c r="BG204" i="1"/>
  <c r="U205" i="2"/>
  <c r="S204" i="2" l="1"/>
  <c r="BE203" i="1" l="1"/>
  <c r="BA203" i="1"/>
  <c r="AL203" i="1"/>
  <c r="AR203" i="1" s="1"/>
  <c r="AG203" i="1"/>
  <c r="AI210" i="1" s="1"/>
  <c r="N203" i="1"/>
  <c r="K204" i="2"/>
  <c r="M205" i="2" l="1"/>
  <c r="Q205" i="2"/>
  <c r="BK209" i="1"/>
  <c r="BG203" i="1"/>
  <c r="U204" i="2"/>
  <c r="BM209" i="1" l="1"/>
  <c r="BE202" i="1"/>
  <c r="BA202" i="1"/>
  <c r="AL202" i="1"/>
  <c r="AR202" i="1" s="1"/>
  <c r="AG202" i="1"/>
  <c r="N202" i="1"/>
  <c r="S203" i="2"/>
  <c r="K203" i="2"/>
  <c r="S202" i="2"/>
  <c r="BE201" i="1"/>
  <c r="BA201" i="1"/>
  <c r="AL201" i="1"/>
  <c r="AR201" i="1" s="1"/>
  <c r="AG201" i="1"/>
  <c r="N201" i="1"/>
  <c r="AP326" i="1" s="1"/>
  <c r="K202" i="2"/>
  <c r="M203" i="2" l="1"/>
  <c r="Q204" i="2"/>
  <c r="M204" i="2"/>
  <c r="AI209" i="1"/>
  <c r="BK207" i="1"/>
  <c r="BM207" i="1" s="1"/>
  <c r="BK208" i="1"/>
  <c r="BM208" i="1" s="1"/>
  <c r="AI208" i="1"/>
  <c r="BG202" i="1"/>
  <c r="U203" i="2"/>
  <c r="Q203" i="2"/>
  <c r="BG201" i="1"/>
  <c r="U202" i="2"/>
  <c r="BE200" i="1" l="1"/>
  <c r="BA200" i="1"/>
  <c r="AL200" i="1"/>
  <c r="AR200" i="1" s="1"/>
  <c r="AG200" i="1"/>
  <c r="N200" i="1"/>
  <c r="S201" i="2"/>
  <c r="K201" i="2"/>
  <c r="Q202" i="2" l="1"/>
  <c r="M202" i="2"/>
  <c r="U201" i="2"/>
  <c r="BG200" i="1"/>
  <c r="AI207" i="1"/>
  <c r="BK206" i="1"/>
  <c r="BM206" i="1" s="1"/>
  <c r="S200" i="2" l="1"/>
  <c r="BE199" i="1" l="1"/>
  <c r="BA199" i="1"/>
  <c r="AL199" i="1"/>
  <c r="AR199" i="1" s="1"/>
  <c r="AG199" i="1"/>
  <c r="N199" i="1"/>
  <c r="K200" i="2"/>
  <c r="S199" i="2"/>
  <c r="Q201" i="2" l="1"/>
  <c r="M201" i="2"/>
  <c r="AI206" i="1"/>
  <c r="BK205" i="1"/>
  <c r="BM205" i="1" s="1"/>
  <c r="U200" i="2"/>
  <c r="BG199" i="1"/>
  <c r="BE198" i="1" l="1"/>
  <c r="BA198" i="1"/>
  <c r="AL198" i="1"/>
  <c r="AR198" i="1" s="1"/>
  <c r="AG198" i="1"/>
  <c r="N198" i="1"/>
  <c r="K199" i="2"/>
  <c r="Q200" i="2" l="1"/>
  <c r="M200" i="2"/>
  <c r="BK204" i="1"/>
  <c r="BM204" i="1" s="1"/>
  <c r="AI205" i="1"/>
  <c r="BG198" i="1"/>
  <c r="U199" i="2"/>
  <c r="BE197" i="1"/>
  <c r="BA197" i="1"/>
  <c r="AL197" i="1"/>
  <c r="AR197" i="1" s="1"/>
  <c r="AG197" i="1"/>
  <c r="N197" i="1"/>
  <c r="S198" i="2"/>
  <c r="K198" i="2"/>
  <c r="U198" i="2" s="1"/>
  <c r="M199" i="2" l="1"/>
  <c r="Q199" i="2"/>
  <c r="BG197" i="1"/>
  <c r="BK203" i="1"/>
  <c r="BM203" i="1" s="1"/>
  <c r="AI204" i="1"/>
  <c r="Q198" i="2"/>
  <c r="S197" i="2"/>
  <c r="K197" i="2"/>
  <c r="AG196" i="1"/>
  <c r="BE196" i="1"/>
  <c r="BA196" i="1"/>
  <c r="AL196" i="1"/>
  <c r="N196" i="1"/>
  <c r="M198" i="2" l="1"/>
  <c r="BK202" i="1"/>
  <c r="BM202" i="1" s="1"/>
  <c r="AI203" i="1"/>
  <c r="U197" i="2"/>
  <c r="AR196" i="1"/>
  <c r="BG196" i="1"/>
  <c r="BE195" i="1"/>
  <c r="BA195" i="1"/>
  <c r="AL195" i="1"/>
  <c r="AR195" i="1" s="1"/>
  <c r="AG195" i="1"/>
  <c r="N195" i="1"/>
  <c r="BE194" i="1"/>
  <c r="BA194" i="1"/>
  <c r="AL194" i="1"/>
  <c r="AR194" i="1" s="1"/>
  <c r="AG194" i="1"/>
  <c r="N194" i="1"/>
  <c r="S196" i="2"/>
  <c r="K196" i="2"/>
  <c r="M197" i="2" s="1"/>
  <c r="Q197" i="2" l="1"/>
  <c r="AI202" i="1"/>
  <c r="AI201" i="1"/>
  <c r="BK200" i="1"/>
  <c r="BM200" i="1" s="1"/>
  <c r="BK201" i="1"/>
  <c r="BM201" i="1" s="1"/>
  <c r="BG195" i="1"/>
  <c r="BG194" i="1"/>
  <c r="U196" i="2"/>
  <c r="S195" i="2"/>
  <c r="K195" i="2"/>
  <c r="Q195" i="2" s="1"/>
  <c r="BE193" i="1"/>
  <c r="BA193" i="1"/>
  <c r="BK199" i="1" s="1"/>
  <c r="BM199" i="1" s="1"/>
  <c r="AL193" i="1"/>
  <c r="AR193" i="1" s="1"/>
  <c r="AG193" i="1"/>
  <c r="AI200" i="1" s="1"/>
  <c r="N193" i="1"/>
  <c r="S194" i="2"/>
  <c r="K194" i="2"/>
  <c r="M194" i="2" s="1"/>
  <c r="BE192" i="1"/>
  <c r="BA192" i="1"/>
  <c r="AL192" i="1"/>
  <c r="AR192" i="1" s="1"/>
  <c r="AG192" i="1"/>
  <c r="AI199" i="1" s="1"/>
  <c r="N192" i="1"/>
  <c r="S193" i="2"/>
  <c r="K193" i="2"/>
  <c r="Q196" i="2" l="1"/>
  <c r="M196" i="2"/>
  <c r="BK198" i="1"/>
  <c r="BM198" i="1" s="1"/>
  <c r="U195" i="2"/>
  <c r="M195" i="2"/>
  <c r="BG193" i="1"/>
  <c r="U194" i="2"/>
  <c r="Q194" i="2"/>
  <c r="BG192" i="1"/>
  <c r="U193" i="2"/>
  <c r="S192" i="2" l="1"/>
  <c r="BE191" i="1" l="1"/>
  <c r="BA191" i="1"/>
  <c r="AL191" i="1"/>
  <c r="AR191" i="1" s="1"/>
  <c r="AG191" i="1"/>
  <c r="N191" i="1"/>
  <c r="AI198" i="1" l="1"/>
  <c r="BK197" i="1"/>
  <c r="BM197" i="1" s="1"/>
  <c r="BG191" i="1"/>
  <c r="K192" i="2"/>
  <c r="BE190" i="1"/>
  <c r="BA190" i="1"/>
  <c r="AL190" i="1"/>
  <c r="AR190" i="1" s="1"/>
  <c r="AG190" i="1"/>
  <c r="N190" i="1"/>
  <c r="S191" i="2"/>
  <c r="K191" i="2"/>
  <c r="S190" i="2"/>
  <c r="M192" i="2" l="1"/>
  <c r="Q193" i="2"/>
  <c r="M193" i="2"/>
  <c r="AI197" i="1"/>
  <c r="BK196" i="1"/>
  <c r="BM196" i="1" s="1"/>
  <c r="U192" i="2"/>
  <c r="Q192" i="2"/>
  <c r="BG190" i="1"/>
  <c r="U191" i="2"/>
  <c r="BE189" i="1" l="1"/>
  <c r="BA189" i="1"/>
  <c r="BK195" i="1" s="1"/>
  <c r="BM195" i="1" s="1"/>
  <c r="AL189" i="1"/>
  <c r="AR189" i="1" s="1"/>
  <c r="AG189" i="1"/>
  <c r="AI196" i="1" s="1"/>
  <c r="N189" i="1"/>
  <c r="K190" i="2"/>
  <c r="S189" i="2"/>
  <c r="Q191" i="2" l="1"/>
  <c r="M191" i="2"/>
  <c r="BG189" i="1"/>
  <c r="U190" i="2"/>
  <c r="BE188" i="1" l="1"/>
  <c r="BA188" i="1"/>
  <c r="BK194" i="1" s="1"/>
  <c r="AL188" i="1"/>
  <c r="AG188" i="1"/>
  <c r="AI195" i="1" s="1"/>
  <c r="N188" i="1"/>
  <c r="K189" i="2"/>
  <c r="Q190" i="2" l="1"/>
  <c r="M190" i="2"/>
  <c r="BM194" i="1"/>
  <c r="BK279" i="1"/>
  <c r="AR188" i="1"/>
  <c r="BG188" i="1"/>
  <c r="U189" i="2"/>
  <c r="BE187" i="1"/>
  <c r="BA187" i="1"/>
  <c r="BK193" i="1" s="1"/>
  <c r="BM193" i="1" s="1"/>
  <c r="AL187" i="1"/>
  <c r="AR187" i="1" s="1"/>
  <c r="AG187" i="1"/>
  <c r="AI194" i="1" s="1"/>
  <c r="S188" i="2"/>
  <c r="K188" i="2"/>
  <c r="N187" i="1"/>
  <c r="BE186" i="1"/>
  <c r="BA186" i="1"/>
  <c r="AL186" i="1"/>
  <c r="AR186" i="1" s="1"/>
  <c r="AG186" i="1"/>
  <c r="AI193" i="1" s="1"/>
  <c r="Q186" i="1"/>
  <c r="N186" i="1"/>
  <c r="S187" i="2"/>
  <c r="K187" i="2"/>
  <c r="BE185" i="1"/>
  <c r="BA185" i="1"/>
  <c r="AL185" i="1"/>
  <c r="AR185" i="1" s="1"/>
  <c r="AG185" i="1"/>
  <c r="AI192" i="1" s="1"/>
  <c r="Q185" i="1"/>
  <c r="N185" i="1"/>
  <c r="S186" i="2"/>
  <c r="K186" i="2"/>
  <c r="Q187" i="2" l="1"/>
  <c r="M188" i="2"/>
  <c r="M189" i="2"/>
  <c r="Q189" i="2"/>
  <c r="BK191" i="1"/>
  <c r="BM191" i="1" s="1"/>
  <c r="BK192" i="1"/>
  <c r="BM192" i="1" s="1"/>
  <c r="BG187" i="1"/>
  <c r="U188" i="2"/>
  <c r="Q188" i="2"/>
  <c r="BG186" i="1"/>
  <c r="U187" i="2"/>
  <c r="M187" i="2"/>
  <c r="BG185" i="1"/>
  <c r="U186" i="2"/>
  <c r="BE184" i="1" l="1"/>
  <c r="BA184" i="1"/>
  <c r="BK190" i="1" s="1"/>
  <c r="BM190" i="1" s="1"/>
  <c r="AL184" i="1"/>
  <c r="AG184" i="1"/>
  <c r="AI191" i="1" s="1"/>
  <c r="Q184" i="1"/>
  <c r="N184" i="1"/>
  <c r="S185" i="2"/>
  <c r="K185" i="2"/>
  <c r="Q186" i="2" l="1"/>
  <c r="M186" i="2"/>
  <c r="BG184" i="1"/>
  <c r="AR184" i="1"/>
  <c r="U185" i="2"/>
  <c r="BE183" i="1" l="1"/>
  <c r="BA183" i="1"/>
  <c r="BK189" i="1" s="1"/>
  <c r="BM189" i="1" s="1"/>
  <c r="AL183" i="1"/>
  <c r="AR183" i="1" s="1"/>
  <c r="AG183" i="1"/>
  <c r="AI190" i="1" s="1"/>
  <c r="Q183" i="1"/>
  <c r="N183" i="1"/>
  <c r="S184" i="2"/>
  <c r="K184" i="2"/>
  <c r="M185" i="2" l="1"/>
  <c r="Q185" i="2"/>
  <c r="BG183" i="1"/>
  <c r="U184" i="2"/>
  <c r="S183" i="2"/>
  <c r="BE182" i="1" l="1"/>
  <c r="BA182" i="1"/>
  <c r="BK188" i="1" s="1"/>
  <c r="BM188" i="1" s="1"/>
  <c r="AL182" i="1"/>
  <c r="AR182" i="1" s="1"/>
  <c r="AG182" i="1"/>
  <c r="AI189" i="1" s="1"/>
  <c r="Q182" i="1"/>
  <c r="S189" i="1" s="1"/>
  <c r="N182" i="1"/>
  <c r="K183" i="2"/>
  <c r="BE181" i="1"/>
  <c r="BA181" i="1"/>
  <c r="AL181" i="1"/>
  <c r="AR181" i="1" s="1"/>
  <c r="AG181" i="1"/>
  <c r="AI188" i="1" s="1"/>
  <c r="Q181" i="1"/>
  <c r="S188" i="1" s="1"/>
  <c r="N181" i="1"/>
  <c r="S182" i="2"/>
  <c r="K182" i="2"/>
  <c r="M182" i="2" s="1"/>
  <c r="BE180" i="1"/>
  <c r="BA180" i="1"/>
  <c r="AL180" i="1"/>
  <c r="AR180" i="1" s="1"/>
  <c r="AG180" i="1"/>
  <c r="Q180" i="1"/>
  <c r="S187" i="1" s="1"/>
  <c r="N180" i="1"/>
  <c r="S181" i="2"/>
  <c r="K181" i="2"/>
  <c r="M181" i="2" s="1"/>
  <c r="S180" i="2"/>
  <c r="U180" i="2" s="1"/>
  <c r="K180" i="2"/>
  <c r="BE179" i="1"/>
  <c r="BA179" i="1"/>
  <c r="AL179" i="1"/>
  <c r="AR179" i="1" s="1"/>
  <c r="AG179" i="1"/>
  <c r="Q179" i="1"/>
  <c r="N179" i="1"/>
  <c r="S179" i="2"/>
  <c r="BE178" i="1"/>
  <c r="BA178" i="1"/>
  <c r="AL178" i="1"/>
  <c r="AR178" i="1" s="1"/>
  <c r="AG178" i="1"/>
  <c r="Q178" i="1"/>
  <c r="S185" i="1" s="1"/>
  <c r="N178" i="1"/>
  <c r="K179" i="2"/>
  <c r="S178" i="2"/>
  <c r="BE177" i="1"/>
  <c r="BA177" i="1"/>
  <c r="AL177" i="1"/>
  <c r="AR177" i="1" s="1"/>
  <c r="AG177" i="1"/>
  <c r="Q177" i="1"/>
  <c r="N177" i="1"/>
  <c r="K178" i="2"/>
  <c r="Q179" i="2" l="1"/>
  <c r="M183" i="2"/>
  <c r="Q184" i="2"/>
  <c r="M184" i="2"/>
  <c r="U182" i="2"/>
  <c r="S186" i="1"/>
  <c r="AI186" i="1"/>
  <c r="AI185" i="1"/>
  <c r="AI187" i="1"/>
  <c r="BK183" i="1"/>
  <c r="BM183" i="1" s="1"/>
  <c r="BK184" i="1"/>
  <c r="BM184" i="1" s="1"/>
  <c r="BK185" i="1"/>
  <c r="BM185" i="1" s="1"/>
  <c r="BK186" i="1"/>
  <c r="BM186" i="1" s="1"/>
  <c r="BK187" i="1"/>
  <c r="AI184" i="1"/>
  <c r="S184" i="1"/>
  <c r="U183" i="2"/>
  <c r="BG182" i="1"/>
  <c r="Q183" i="2"/>
  <c r="BG181" i="1"/>
  <c r="Q182" i="2"/>
  <c r="BG180" i="1"/>
  <c r="U181" i="2"/>
  <c r="Q181" i="2"/>
  <c r="M180" i="2"/>
  <c r="Q180" i="2"/>
  <c r="BG179" i="1"/>
  <c r="BG178" i="1"/>
  <c r="U179" i="2"/>
  <c r="M179" i="2"/>
  <c r="BG177" i="1"/>
  <c r="U178" i="2"/>
  <c r="BE176" i="1"/>
  <c r="BA176" i="1"/>
  <c r="AL176" i="1"/>
  <c r="AR176" i="1" s="1"/>
  <c r="AG176" i="1"/>
  <c r="Q176" i="1"/>
  <c r="S183" i="1" s="1"/>
  <c r="N176" i="1"/>
  <c r="S176" i="2"/>
  <c r="S177" i="2"/>
  <c r="K177" i="2"/>
  <c r="Q178" i="2" s="1"/>
  <c r="M178" i="2" l="1"/>
  <c r="BK277" i="1"/>
  <c r="BK280" i="1"/>
  <c r="AI183" i="1"/>
  <c r="BM187" i="1"/>
  <c r="BK182" i="1"/>
  <c r="BM182" i="1" s="1"/>
  <c r="BG176" i="1"/>
  <c r="U177" i="2"/>
  <c r="BE175" i="1"/>
  <c r="BA175" i="1"/>
  <c r="AL175" i="1"/>
  <c r="AR175" i="1" s="1"/>
  <c r="AG175" i="1"/>
  <c r="Q175" i="1"/>
  <c r="S182" i="1" s="1"/>
  <c r="N175" i="1"/>
  <c r="K176" i="2"/>
  <c r="M177" i="2" s="1"/>
  <c r="Q177" i="2" l="1"/>
  <c r="AI182" i="1"/>
  <c r="BK181" i="1"/>
  <c r="BM181" i="1" s="1"/>
  <c r="U176" i="2"/>
  <c r="BG175" i="1"/>
  <c r="S175" i="2" l="1"/>
  <c r="BE174" i="1" l="1"/>
  <c r="BA174" i="1"/>
  <c r="AL174" i="1"/>
  <c r="AR174" i="1" s="1"/>
  <c r="AG174" i="1"/>
  <c r="Q174" i="1"/>
  <c r="S181" i="1" s="1"/>
  <c r="K175" i="2"/>
  <c r="Q176" i="2" l="1"/>
  <c r="M176" i="2"/>
  <c r="AI181" i="1"/>
  <c r="BK180" i="1"/>
  <c r="BG174" i="1"/>
  <c r="U175" i="2"/>
  <c r="S174" i="2"/>
  <c r="BE173" i="1"/>
  <c r="BA173" i="1"/>
  <c r="AL173" i="1"/>
  <c r="AR173" i="1" s="1"/>
  <c r="AG173" i="1"/>
  <c r="Q173" i="1"/>
  <c r="N173" i="1"/>
  <c r="K174" i="2"/>
  <c r="Q174" i="2" s="1"/>
  <c r="S173" i="2"/>
  <c r="BE172" i="1"/>
  <c r="BA172" i="1"/>
  <c r="AL172" i="1"/>
  <c r="AG172" i="1"/>
  <c r="Q172" i="1"/>
  <c r="S179" i="1" s="1"/>
  <c r="N172" i="1"/>
  <c r="K173" i="2"/>
  <c r="M175" i="2" l="1"/>
  <c r="Q175" i="2"/>
  <c r="BK179" i="1"/>
  <c r="BM179" i="1" s="1"/>
  <c r="BM180" i="1"/>
  <c r="AI179" i="1"/>
  <c r="BK178" i="1"/>
  <c r="BM178" i="1" s="1"/>
  <c r="AI180" i="1"/>
  <c r="S180" i="1"/>
  <c r="BG173" i="1"/>
  <c r="U174" i="2"/>
  <c r="M174" i="2"/>
  <c r="BG172" i="1"/>
  <c r="AR172" i="1"/>
  <c r="U173" i="2"/>
  <c r="M173" i="2"/>
  <c r="BE171" i="1"/>
  <c r="BA171" i="1"/>
  <c r="AL171" i="1"/>
  <c r="AR171" i="1" s="1"/>
  <c r="AG171" i="1"/>
  <c r="AI178" i="1" s="1"/>
  <c r="Q171" i="1"/>
  <c r="S178" i="1" s="1"/>
  <c r="N171" i="1"/>
  <c r="S172" i="2"/>
  <c r="K172" i="2"/>
  <c r="Q173" i="2" l="1"/>
  <c r="BG171" i="1"/>
  <c r="BK177" i="1"/>
  <c r="BM177" i="1" s="1"/>
  <c r="U172" i="2"/>
  <c r="S170" i="2" l="1"/>
  <c r="K170" i="2"/>
  <c r="S171" i="2"/>
  <c r="U171" i="2" s="1"/>
  <c r="K171" i="2"/>
  <c r="Q172" i="2" l="1"/>
  <c r="M172" i="2"/>
  <c r="U170" i="2"/>
  <c r="Q171" i="2"/>
  <c r="M171" i="2"/>
  <c r="BE170" i="1" l="1"/>
  <c r="BA170" i="1"/>
  <c r="BK176" i="1" s="1"/>
  <c r="BM176" i="1" s="1"/>
  <c r="AL170" i="1"/>
  <c r="AG170" i="1"/>
  <c r="AI177" i="1" s="1"/>
  <c r="Q170" i="1"/>
  <c r="S177" i="1" s="1"/>
  <c r="N170" i="1"/>
  <c r="AR170" i="1" l="1"/>
  <c r="BG170" i="1"/>
  <c r="S169" i="2" l="1"/>
  <c r="BE169" i="1" l="1"/>
  <c r="BA169" i="1"/>
  <c r="BK175" i="1" s="1"/>
  <c r="BM175" i="1" s="1"/>
  <c r="AL169" i="1"/>
  <c r="AR169" i="1" s="1"/>
  <c r="AG169" i="1"/>
  <c r="AI176" i="1" s="1"/>
  <c r="Q169" i="1"/>
  <c r="S176" i="1" s="1"/>
  <c r="N169" i="1"/>
  <c r="K169" i="2"/>
  <c r="M170" i="2" l="1"/>
  <c r="Q170" i="2"/>
  <c r="U169" i="2"/>
  <c r="BG169" i="1"/>
  <c r="S168" i="2" l="1"/>
  <c r="BE168" i="1" l="1"/>
  <c r="BA168" i="1"/>
  <c r="BK174" i="1" s="1"/>
  <c r="BM174" i="1" s="1"/>
  <c r="AL168" i="1"/>
  <c r="AR168" i="1" s="1"/>
  <c r="AG168" i="1"/>
  <c r="AI175" i="1" s="1"/>
  <c r="Q168" i="1"/>
  <c r="S175" i="1" s="1"/>
  <c r="N168" i="1"/>
  <c r="K168" i="2"/>
  <c r="M169" i="2" l="1"/>
  <c r="Q169" i="2"/>
  <c r="BG168" i="1"/>
  <c r="U168" i="2"/>
  <c r="S167" i="2"/>
  <c r="BE167" i="1" l="1"/>
  <c r="BA167" i="1"/>
  <c r="BK173" i="1" s="1"/>
  <c r="BM173" i="1" s="1"/>
  <c r="AL167" i="1"/>
  <c r="AG167" i="1"/>
  <c r="AI174" i="1" s="1"/>
  <c r="Q167" i="1"/>
  <c r="S174" i="1" s="1"/>
  <c r="N167" i="1"/>
  <c r="K167" i="2"/>
  <c r="Q168" i="2" l="1"/>
  <c r="M168" i="2"/>
  <c r="AR167" i="1"/>
  <c r="BG167" i="1"/>
  <c r="U167" i="2"/>
  <c r="N110" i="1" l="1"/>
  <c r="N103" i="1"/>
  <c r="S166" i="2"/>
  <c r="BE166" i="1" l="1"/>
  <c r="BA166" i="1"/>
  <c r="BK172" i="1" s="1"/>
  <c r="BM172" i="1" s="1"/>
  <c r="AL166" i="1"/>
  <c r="AR166" i="1" s="1"/>
  <c r="AG166" i="1"/>
  <c r="AI173" i="1" s="1"/>
  <c r="Q166" i="1"/>
  <c r="S173" i="1" s="1"/>
  <c r="N166" i="1"/>
  <c r="K166" i="2"/>
  <c r="S165" i="2"/>
  <c r="BE165" i="1"/>
  <c r="BA165" i="1"/>
  <c r="AL165" i="1"/>
  <c r="AR165" i="1" s="1"/>
  <c r="AG165" i="1"/>
  <c r="AI172" i="1" s="1"/>
  <c r="Q165" i="1"/>
  <c r="S172" i="1" s="1"/>
  <c r="N165" i="1"/>
  <c r="BK171" i="1" l="1"/>
  <c r="BM171" i="1" s="1"/>
  <c r="M167" i="2"/>
  <c r="Q167" i="2"/>
  <c r="BG165" i="1"/>
  <c r="BG166" i="1"/>
  <c r="U166" i="2"/>
  <c r="Q166" i="2"/>
  <c r="BE164" i="1"/>
  <c r="BA164" i="1"/>
  <c r="BK170" i="1" s="1"/>
  <c r="BM170" i="1" s="1"/>
  <c r="AL164" i="1"/>
  <c r="AR164" i="1" s="1"/>
  <c r="AG164" i="1"/>
  <c r="AI171" i="1" s="1"/>
  <c r="Q164" i="1"/>
  <c r="S171" i="1" s="1"/>
  <c r="N164" i="1"/>
  <c r="K165" i="2"/>
  <c r="M166" i="2" l="1"/>
  <c r="BG164" i="1"/>
  <c r="U165" i="2"/>
  <c r="BE163" i="1" l="1"/>
  <c r="BA163" i="1"/>
  <c r="BK169" i="1" s="1"/>
  <c r="BM169" i="1" s="1"/>
  <c r="AL163" i="1"/>
  <c r="AG163" i="1"/>
  <c r="AI170" i="1" s="1"/>
  <c r="Q163" i="1"/>
  <c r="S170" i="1" s="1"/>
  <c r="N163" i="1"/>
  <c r="S164" i="2"/>
  <c r="K164" i="2"/>
  <c r="M165" i="2" l="1"/>
  <c r="Q165" i="2"/>
  <c r="BG163" i="1"/>
  <c r="AR163" i="1"/>
  <c r="U164" i="2"/>
  <c r="BE162" i="1"/>
  <c r="BA162" i="1"/>
  <c r="AL162" i="1"/>
  <c r="AG162" i="1"/>
  <c r="AI169" i="1" s="1"/>
  <c r="Q162" i="1"/>
  <c r="S169" i="1" s="1"/>
  <c r="N162" i="1"/>
  <c r="S163" i="2"/>
  <c r="S162" i="2"/>
  <c r="K163" i="2"/>
  <c r="M164" i="2" l="1"/>
  <c r="Q164" i="2"/>
  <c r="BK168" i="1"/>
  <c r="BG162" i="1"/>
  <c r="AR162" i="1"/>
  <c r="U163" i="2"/>
  <c r="BM168" i="1" l="1"/>
  <c r="BE161" i="1"/>
  <c r="BA161" i="1"/>
  <c r="AL161" i="1"/>
  <c r="AR161" i="1" s="1"/>
  <c r="AG161" i="1"/>
  <c r="Q161" i="1"/>
  <c r="S168" i="1" s="1"/>
  <c r="N161" i="1"/>
  <c r="K162" i="2"/>
  <c r="M163" i="2" l="1"/>
  <c r="Q163" i="2"/>
  <c r="AI168" i="1"/>
  <c r="BK167" i="1"/>
  <c r="BM167" i="1" s="1"/>
  <c r="BG161" i="1"/>
  <c r="U162" i="2"/>
  <c r="S161" i="2"/>
  <c r="BE160" i="1" l="1"/>
  <c r="BA160" i="1"/>
  <c r="AL160" i="1"/>
  <c r="AR160" i="1" s="1"/>
  <c r="AG160" i="1"/>
  <c r="Q160" i="1"/>
  <c r="N160" i="1"/>
  <c r="K161" i="2"/>
  <c r="S160" i="2"/>
  <c r="BE159" i="1"/>
  <c r="BA159" i="1"/>
  <c r="AL159" i="1"/>
  <c r="AR159" i="1" s="1"/>
  <c r="AG159" i="1"/>
  <c r="Q159" i="1"/>
  <c r="N159" i="1"/>
  <c r="K160" i="2"/>
  <c r="M160" i="2" s="1"/>
  <c r="S159" i="2"/>
  <c r="BE158" i="1"/>
  <c r="BA158" i="1"/>
  <c r="AL158" i="1"/>
  <c r="AR158" i="1" s="1"/>
  <c r="AG158" i="1"/>
  <c r="Q158" i="1"/>
  <c r="K159" i="2"/>
  <c r="Q161" i="2" l="1"/>
  <c r="Q162" i="2"/>
  <c r="M162" i="2"/>
  <c r="S165" i="1"/>
  <c r="S166" i="1"/>
  <c r="AI158" i="1"/>
  <c r="AI165" i="1"/>
  <c r="BK165" i="1"/>
  <c r="BM165" i="1" s="1"/>
  <c r="S167" i="1"/>
  <c r="AI166" i="1"/>
  <c r="AI167" i="1"/>
  <c r="BK164" i="1"/>
  <c r="BM164" i="1" s="1"/>
  <c r="BK166" i="1"/>
  <c r="BG160" i="1"/>
  <c r="U161" i="2"/>
  <c r="M161" i="2"/>
  <c r="AP327" i="1"/>
  <c r="AP328" i="1" s="1"/>
  <c r="U160" i="2"/>
  <c r="BG159" i="1"/>
  <c r="Q160" i="2"/>
  <c r="BG158" i="1"/>
  <c r="U159" i="2"/>
  <c r="BM166" i="1" l="1"/>
  <c r="BE157" i="1"/>
  <c r="BA157" i="1"/>
  <c r="AL157" i="1"/>
  <c r="AR157" i="1" s="1"/>
  <c r="AG157" i="1"/>
  <c r="AI164" i="1" s="1"/>
  <c r="Q157" i="1"/>
  <c r="S164" i="1" s="1"/>
  <c r="S158" i="2"/>
  <c r="K158" i="2"/>
  <c r="Q159" i="2" l="1"/>
  <c r="M159" i="2"/>
  <c r="BK163" i="1"/>
  <c r="BM163" i="1" s="1"/>
  <c r="BG157" i="1"/>
  <c r="AI157" i="1"/>
  <c r="U158" i="2"/>
  <c r="BE156" i="1"/>
  <c r="BA156" i="1"/>
  <c r="AL156" i="1"/>
  <c r="AG156" i="1"/>
  <c r="Q156" i="1"/>
  <c r="S163" i="1" s="1"/>
  <c r="S157" i="2"/>
  <c r="K157" i="2"/>
  <c r="M158" i="2" s="1"/>
  <c r="Q158" i="2" l="1"/>
  <c r="AI156" i="1"/>
  <c r="AI163" i="1"/>
  <c r="BK162" i="1"/>
  <c r="BM162" i="1" s="1"/>
  <c r="AR156" i="1"/>
  <c r="BG156" i="1"/>
  <c r="U157" i="2"/>
  <c r="N138" i="1" l="1"/>
  <c r="N145" i="1"/>
  <c r="N152" i="1"/>
  <c r="BE155" i="1"/>
  <c r="BA155" i="1"/>
  <c r="AL155" i="1"/>
  <c r="AR155" i="1" s="1"/>
  <c r="AG155" i="1"/>
  <c r="Q155" i="1"/>
  <c r="S162" i="1" s="1"/>
  <c r="S156" i="2"/>
  <c r="K156" i="2"/>
  <c r="M157" i="2" l="1"/>
  <c r="Q157" i="2"/>
  <c r="AI155" i="1"/>
  <c r="AI162" i="1"/>
  <c r="BK161" i="1"/>
  <c r="BM161" i="1" s="1"/>
  <c r="BG155" i="1"/>
  <c r="U156" i="2"/>
  <c r="S155" i="2" l="1"/>
  <c r="BE154" i="1" l="1"/>
  <c r="BA154" i="1"/>
  <c r="AL154" i="1"/>
  <c r="AG154" i="1"/>
  <c r="Q154" i="1"/>
  <c r="S161" i="1" s="1"/>
  <c r="K155" i="2"/>
  <c r="H322" i="1"/>
  <c r="H323" i="1"/>
  <c r="J323" i="1" s="1"/>
  <c r="H324" i="1"/>
  <c r="J324" i="1" s="1"/>
  <c r="S154" i="2"/>
  <c r="M156" i="2" l="1"/>
  <c r="Q156" i="2"/>
  <c r="O324" i="1"/>
  <c r="AI154" i="1"/>
  <c r="AI161" i="1"/>
  <c r="BK160" i="1"/>
  <c r="BM160" i="1" s="1"/>
  <c r="AR154" i="1"/>
  <c r="BG154" i="1"/>
  <c r="U155" i="2"/>
  <c r="M155" i="2"/>
  <c r="J322" i="1"/>
  <c r="J329" i="1" s="1"/>
  <c r="BE153" i="1"/>
  <c r="BA153" i="1"/>
  <c r="BK159" i="1" s="1"/>
  <c r="BM159" i="1" s="1"/>
  <c r="AL153" i="1"/>
  <c r="AR153" i="1" s="1"/>
  <c r="AG153" i="1"/>
  <c r="AI160" i="1" s="1"/>
  <c r="Q153" i="1"/>
  <c r="S160" i="1" s="1"/>
  <c r="K154" i="2"/>
  <c r="Q155" i="2" l="1"/>
  <c r="O325" i="1"/>
  <c r="AA324" i="1"/>
  <c r="BG153" i="1"/>
  <c r="AI153" i="1"/>
  <c r="U154" i="2"/>
  <c r="S153" i="2"/>
  <c r="AG112" i="1" l="1"/>
  <c r="N131" i="1"/>
  <c r="K153" i="2"/>
  <c r="K152" i="2"/>
  <c r="S152" i="2"/>
  <c r="U152" i="2"/>
  <c r="M153" i="2" l="1"/>
  <c r="M154" i="2"/>
  <c r="Q154" i="2"/>
  <c r="U153" i="2"/>
  <c r="Q153" i="2"/>
  <c r="BE152" i="1" l="1"/>
  <c r="BA152" i="1"/>
  <c r="BK158" i="1" s="1"/>
  <c r="BM158" i="1" s="1"/>
  <c r="AL152" i="1"/>
  <c r="AG152" i="1"/>
  <c r="AI159" i="1" s="1"/>
  <c r="Q152" i="1"/>
  <c r="S159" i="1" s="1"/>
  <c r="BE151" i="1"/>
  <c r="BA151" i="1"/>
  <c r="BK157" i="1" s="1"/>
  <c r="BM157" i="1" s="1"/>
  <c r="AL151" i="1"/>
  <c r="AR151" i="1" s="1"/>
  <c r="Q151" i="1"/>
  <c r="S158" i="1" s="1"/>
  <c r="AR152" i="1" l="1"/>
  <c r="BG152" i="1"/>
  <c r="BG151" i="1"/>
  <c r="S151" i="2"/>
  <c r="K151" i="2"/>
  <c r="BC149" i="1"/>
  <c r="BA150" i="1" s="1"/>
  <c r="BK156" i="1" s="1"/>
  <c r="BM156" i="1" s="1"/>
  <c r="AP149" i="1"/>
  <c r="AL150" i="1" s="1"/>
  <c r="BE150" i="1"/>
  <c r="Q150" i="1"/>
  <c r="S157" i="1" s="1"/>
  <c r="S150" i="2"/>
  <c r="M152" i="2" l="1"/>
  <c r="Q152" i="2"/>
  <c r="U151" i="2"/>
  <c r="BG150" i="1"/>
  <c r="AR150" i="1"/>
  <c r="BE149" i="1"/>
  <c r="BA149" i="1"/>
  <c r="BK155" i="1" s="1"/>
  <c r="BM155" i="1" s="1"/>
  <c r="AL149" i="1"/>
  <c r="Q149" i="1"/>
  <c r="S156" i="1" s="1"/>
  <c r="K150" i="2"/>
  <c r="Q151" i="2" l="1"/>
  <c r="M151" i="2"/>
  <c r="BG149" i="1"/>
  <c r="AR149" i="1"/>
  <c r="U150" i="2"/>
  <c r="S149" i="2"/>
  <c r="BE148" i="1" l="1"/>
  <c r="BA148" i="1"/>
  <c r="BK154" i="1" s="1"/>
  <c r="BM154" i="1" s="1"/>
  <c r="AL148" i="1"/>
  <c r="Q148" i="1"/>
  <c r="S155" i="1" s="1"/>
  <c r="K149" i="2"/>
  <c r="Q150" i="2" l="1"/>
  <c r="M150" i="2"/>
  <c r="AR148" i="1"/>
  <c r="BG148" i="1"/>
  <c r="U149" i="2"/>
  <c r="S148" i="2"/>
  <c r="BE147" i="1" l="1"/>
  <c r="BA147" i="1"/>
  <c r="BK153" i="1" s="1"/>
  <c r="AL147" i="1"/>
  <c r="AR147" i="1" s="1"/>
  <c r="Q147" i="1"/>
  <c r="S154" i="1" s="1"/>
  <c r="K148" i="2"/>
  <c r="F261" i="3"/>
  <c r="F260" i="3"/>
  <c r="S147" i="2"/>
  <c r="Q149" i="2" l="1"/>
  <c r="M149" i="2"/>
  <c r="BM153" i="1"/>
  <c r="BG147" i="1"/>
  <c r="U148" i="2"/>
  <c r="BE146" i="1" l="1"/>
  <c r="BA146" i="1"/>
  <c r="BK152" i="1" s="1"/>
  <c r="BM152" i="1" s="1"/>
  <c r="AL146" i="1"/>
  <c r="Q146" i="1"/>
  <c r="S153" i="1" s="1"/>
  <c r="K147" i="2"/>
  <c r="Q148" i="2" l="1"/>
  <c r="M148" i="2"/>
  <c r="AR146" i="1"/>
  <c r="BG146" i="1"/>
  <c r="U147" i="2"/>
  <c r="BE145" i="1"/>
  <c r="BA145" i="1"/>
  <c r="BK151" i="1" s="1"/>
  <c r="BM151" i="1" s="1"/>
  <c r="AL145" i="1"/>
  <c r="AR145" i="1" s="1"/>
  <c r="AG145" i="1"/>
  <c r="AI152" i="1" s="1"/>
  <c r="Q145" i="1"/>
  <c r="S152" i="1" s="1"/>
  <c r="S146" i="2"/>
  <c r="K146" i="2"/>
  <c r="Q146" i="2" s="1"/>
  <c r="BE144" i="1"/>
  <c r="BA144" i="1"/>
  <c r="AL144" i="1"/>
  <c r="Q144" i="1"/>
  <c r="S151" i="1" s="1"/>
  <c r="S145" i="2"/>
  <c r="K145" i="2"/>
  <c r="M145" i="2" s="1"/>
  <c r="BE143" i="1"/>
  <c r="BA143" i="1"/>
  <c r="AL143" i="1"/>
  <c r="AR143" i="1" s="1"/>
  <c r="Q143" i="1"/>
  <c r="S150" i="1" s="1"/>
  <c r="S144" i="2"/>
  <c r="K144" i="2"/>
  <c r="M147" i="2" l="1"/>
  <c r="Q147" i="2"/>
  <c r="BK150" i="1"/>
  <c r="BM150" i="1" s="1"/>
  <c r="BK149" i="1"/>
  <c r="BG145" i="1"/>
  <c r="U146" i="2"/>
  <c r="M146" i="2"/>
  <c r="BG144" i="1"/>
  <c r="AR144" i="1"/>
  <c r="Q145" i="2"/>
  <c r="U145" i="2"/>
  <c r="BG143" i="1"/>
  <c r="U144" i="2"/>
  <c r="M144" i="2"/>
  <c r="BE142" i="1"/>
  <c r="BA142" i="1"/>
  <c r="BK148" i="1" s="1"/>
  <c r="BM148" i="1" s="1"/>
  <c r="AL142" i="1"/>
  <c r="AR142" i="1" s="1"/>
  <c r="Q142" i="1"/>
  <c r="S149" i="1" s="1"/>
  <c r="S143" i="2"/>
  <c r="K143" i="2"/>
  <c r="BE141" i="1"/>
  <c r="BA141" i="1"/>
  <c r="AL141" i="1"/>
  <c r="AR141" i="1" s="1"/>
  <c r="Q141" i="1"/>
  <c r="S148" i="1" s="1"/>
  <c r="S142" i="2"/>
  <c r="K142" i="2"/>
  <c r="BK147" i="1" l="1"/>
  <c r="BM147" i="1" s="1"/>
  <c r="BM149" i="1"/>
  <c r="BG141" i="1"/>
  <c r="Q143" i="2"/>
  <c r="Q144" i="2"/>
  <c r="BG142" i="1"/>
  <c r="U143" i="2"/>
  <c r="M143" i="2"/>
  <c r="U142" i="2"/>
  <c r="S141" i="2"/>
  <c r="BE140" i="1" l="1"/>
  <c r="BA140" i="1"/>
  <c r="BK146" i="1" s="1"/>
  <c r="BM146" i="1" s="1"/>
  <c r="AL140" i="1"/>
  <c r="Q140" i="1"/>
  <c r="S147" i="1" s="1"/>
  <c r="K141" i="2"/>
  <c r="S140" i="2"/>
  <c r="W114" i="1"/>
  <c r="AG300" i="1" l="1"/>
  <c r="AR292" i="1" s="1"/>
  <c r="AG143" i="1"/>
  <c r="M142" i="2"/>
  <c r="Q142" i="2"/>
  <c r="AR140" i="1"/>
  <c r="BG140" i="1"/>
  <c r="U141" i="2"/>
  <c r="BE139" i="1" l="1"/>
  <c r="BA139" i="1"/>
  <c r="BK145" i="1" s="1"/>
  <c r="AL139" i="1"/>
  <c r="Q139" i="1"/>
  <c r="S146" i="1" s="1"/>
  <c r="K140" i="2"/>
  <c r="BM145" i="1" l="1"/>
  <c r="Q141" i="2"/>
  <c r="M141" i="2"/>
  <c r="AR139" i="1"/>
  <c r="BG139" i="1"/>
  <c r="U140" i="2"/>
  <c r="S139" i="2" l="1"/>
  <c r="AG299" i="1" l="1"/>
  <c r="V110" i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l="1"/>
  <c r="V151" i="1" s="1"/>
  <c r="V152" i="1" s="1"/>
  <c r="BE138" i="1"/>
  <c r="BA138" i="1"/>
  <c r="BK144" i="1" s="1"/>
  <c r="AL138" i="1"/>
  <c r="AG138" i="1"/>
  <c r="AI145" i="1" s="1"/>
  <c r="Q138" i="1"/>
  <c r="S145" i="1" s="1"/>
  <c r="K139" i="2"/>
  <c r="BE137" i="1"/>
  <c r="BA137" i="1"/>
  <c r="AL137" i="1"/>
  <c r="AR137" i="1" s="1"/>
  <c r="Q137" i="1"/>
  <c r="S144" i="1" s="1"/>
  <c r="V153" i="1" l="1"/>
  <c r="V154" i="1" s="1"/>
  <c r="BM144" i="1"/>
  <c r="BK143" i="1"/>
  <c r="BM143" i="1" s="1"/>
  <c r="Q140" i="2"/>
  <c r="M140" i="2"/>
  <c r="AR138" i="1"/>
  <c r="BG138" i="1"/>
  <c r="U139" i="2"/>
  <c r="BG137" i="1"/>
  <c r="V155" i="1" l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S138" i="2"/>
  <c r="K138" i="2"/>
  <c r="BE136" i="1"/>
  <c r="BA136" i="1"/>
  <c r="BK142" i="1" s="1"/>
  <c r="BM142" i="1" s="1"/>
  <c r="AL136" i="1"/>
  <c r="AR136" i="1" s="1"/>
  <c r="Q136" i="1"/>
  <c r="S143" i="1" s="1"/>
  <c r="U138" i="2" l="1"/>
  <c r="V168" i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Q138" i="2"/>
  <c r="M139" i="2"/>
  <c r="Q139" i="2"/>
  <c r="M138" i="2"/>
  <c r="BG136" i="1"/>
  <c r="BE135" i="1"/>
  <c r="BA135" i="1"/>
  <c r="BK141" i="1" s="1"/>
  <c r="BM141" i="1" s="1"/>
  <c r="AL135" i="1"/>
  <c r="AR135" i="1" s="1"/>
  <c r="Q135" i="1"/>
  <c r="S142" i="1" s="1"/>
  <c r="S136" i="2"/>
  <c r="K136" i="2"/>
  <c r="V209" i="1" l="1"/>
  <c r="V210" i="1" s="1"/>
  <c r="V211" i="1" s="1"/>
  <c r="V212" i="1" s="1"/>
  <c r="V213" i="1" s="1"/>
  <c r="BG135" i="1"/>
  <c r="U136" i="2"/>
  <c r="S135" i="2"/>
  <c r="V214" i="1" l="1"/>
  <c r="V215" i="1" s="1"/>
  <c r="V216" i="1" s="1"/>
  <c r="V217" i="1" s="1"/>
  <c r="V218" i="1" s="1"/>
  <c r="V219" i="1" s="1"/>
  <c r="V220" i="1" s="1"/>
  <c r="BE134" i="1"/>
  <c r="BA134" i="1"/>
  <c r="BK140" i="1" s="1"/>
  <c r="BM140" i="1" s="1"/>
  <c r="AL134" i="1"/>
  <c r="AR134" i="1" s="1"/>
  <c r="Q134" i="1"/>
  <c r="S141" i="1" s="1"/>
  <c r="K135" i="2"/>
  <c r="S134" i="2"/>
  <c r="BE133" i="1"/>
  <c r="BA133" i="1"/>
  <c r="AL133" i="1"/>
  <c r="AR133" i="1" s="1"/>
  <c r="Q133" i="1"/>
  <c r="S140" i="1" s="1"/>
  <c r="K134" i="2"/>
  <c r="V221" i="1" l="1"/>
  <c r="V222" i="1" s="1"/>
  <c r="V223" i="1" s="1"/>
  <c r="V224" i="1" s="1"/>
  <c r="V225" i="1" s="1"/>
  <c r="V226" i="1" s="1"/>
  <c r="V227" i="1" s="1"/>
  <c r="V228" i="1" s="1"/>
  <c r="V229" i="1" s="1"/>
  <c r="Q135" i="2"/>
  <c r="M136" i="2"/>
  <c r="Q136" i="2"/>
  <c r="BK139" i="1"/>
  <c r="BG134" i="1"/>
  <c r="U135" i="2"/>
  <c r="M135" i="2"/>
  <c r="BG133" i="1"/>
  <c r="U134" i="2"/>
  <c r="D304" i="1"/>
  <c r="S133" i="2"/>
  <c r="V230" i="1" l="1"/>
  <c r="V231" i="1" s="1"/>
  <c r="V232" i="1" s="1"/>
  <c r="BM139" i="1"/>
  <c r="W24" i="1"/>
  <c r="W25" i="1"/>
  <c r="BE132" i="1"/>
  <c r="BA132" i="1"/>
  <c r="BK138" i="1" s="1"/>
  <c r="AL132" i="1"/>
  <c r="AR132" i="1" s="1"/>
  <c r="Q132" i="1"/>
  <c r="S139" i="1" s="1"/>
  <c r="K133" i="2"/>
  <c r="V233" i="1" l="1"/>
  <c r="V234" i="1" s="1"/>
  <c r="V235" i="1" s="1"/>
  <c r="V236" i="1" s="1"/>
  <c r="V237" i="1" s="1"/>
  <c r="V238" i="1" s="1"/>
  <c r="V239" i="1" s="1"/>
  <c r="V240" i="1" s="1"/>
  <c r="M134" i="2"/>
  <c r="Q134" i="2"/>
  <c r="BM138" i="1"/>
  <c r="BG132" i="1"/>
  <c r="U133" i="2"/>
  <c r="V241" i="1" l="1"/>
  <c r="S132" i="2"/>
  <c r="K132" i="2"/>
  <c r="BE131" i="1"/>
  <c r="BA131" i="1"/>
  <c r="AL131" i="1"/>
  <c r="AR131" i="1" s="1"/>
  <c r="AG131" i="1"/>
  <c r="AI138" i="1" s="1"/>
  <c r="Q131" i="1"/>
  <c r="S138" i="1" s="1"/>
  <c r="BE130" i="1"/>
  <c r="BA130" i="1"/>
  <c r="AL130" i="1"/>
  <c r="AR130" i="1" s="1"/>
  <c r="Q130" i="1"/>
  <c r="K131" i="2"/>
  <c r="Q131" i="2" s="1"/>
  <c r="K130" i="2"/>
  <c r="U130" i="2" s="1"/>
  <c r="S129" i="2"/>
  <c r="V242" i="1" l="1"/>
  <c r="V243" i="1" s="1"/>
  <c r="V244" i="1" s="1"/>
  <c r="V245" i="1" s="1"/>
  <c r="S137" i="1"/>
  <c r="Q133" i="2"/>
  <c r="M133" i="2"/>
  <c r="U132" i="2"/>
  <c r="U131" i="2"/>
  <c r="M132" i="2"/>
  <c r="M131" i="2"/>
  <c r="Q132" i="2"/>
  <c r="BG131" i="1"/>
  <c r="BG130" i="1"/>
  <c r="V246" i="1" l="1"/>
  <c r="V247" i="1" s="1"/>
  <c r="V248" i="1" s="1"/>
  <c r="V249" i="1" s="1"/>
  <c r="V250" i="1" s="1"/>
  <c r="BE129" i="1"/>
  <c r="BA129" i="1"/>
  <c r="AL129" i="1"/>
  <c r="AR129" i="1" s="1"/>
  <c r="Q129" i="1"/>
  <c r="K129" i="2"/>
  <c r="V251" i="1" l="1"/>
  <c r="V252" i="1" s="1"/>
  <c r="V253" i="1" s="1"/>
  <c r="V254" i="1" s="1"/>
  <c r="V255" i="1" s="1"/>
  <c r="V256" i="1" s="1"/>
  <c r="V257" i="1" s="1"/>
  <c r="S136" i="1"/>
  <c r="Q130" i="2"/>
  <c r="M130" i="2"/>
  <c r="BG129" i="1"/>
  <c r="U129" i="2"/>
  <c r="BE128" i="1"/>
  <c r="BA128" i="1"/>
  <c r="AL128" i="1"/>
  <c r="AR128" i="1" s="1"/>
  <c r="Q128" i="1"/>
  <c r="S135" i="1" s="1"/>
  <c r="S128" i="2"/>
  <c r="V258" i="1" l="1"/>
  <c r="BG128" i="1"/>
  <c r="BE127" i="1" l="1"/>
  <c r="BA127" i="1"/>
  <c r="AL127" i="1"/>
  <c r="AR127" i="1" s="1"/>
  <c r="Q127" i="1"/>
  <c r="S134" i="1" s="1"/>
  <c r="K128" i="2"/>
  <c r="Q129" i="2" l="1"/>
  <c r="M129" i="2"/>
  <c r="BG127" i="1"/>
  <c r="U128" i="2"/>
  <c r="S127" i="2"/>
  <c r="BE126" i="1"/>
  <c r="BA126" i="1"/>
  <c r="AL126" i="1"/>
  <c r="AR126" i="1" s="1"/>
  <c r="Q126" i="1"/>
  <c r="S133" i="1" s="1"/>
  <c r="K127" i="2"/>
  <c r="M128" i="2" s="1"/>
  <c r="S126" i="2"/>
  <c r="Q128" i="2" l="1"/>
  <c r="BG126" i="1"/>
  <c r="U127" i="2"/>
  <c r="BE125" i="1" l="1"/>
  <c r="BA125" i="1"/>
  <c r="BK131" i="1" s="1"/>
  <c r="BM131" i="1" s="1"/>
  <c r="AL125" i="1"/>
  <c r="AR125" i="1" s="1"/>
  <c r="Q125" i="1"/>
  <c r="S132" i="1" s="1"/>
  <c r="K126" i="2"/>
  <c r="M127" i="2" l="1"/>
  <c r="Q127" i="2"/>
  <c r="BG125" i="1"/>
  <c r="U126" i="2"/>
  <c r="S125" i="2" l="1"/>
  <c r="AH114" i="1"/>
  <c r="AR291" i="1" s="1"/>
  <c r="AH113" i="1"/>
  <c r="AP291" i="1" s="1"/>
  <c r="BE124" i="1"/>
  <c r="BA124" i="1"/>
  <c r="AL124" i="1"/>
  <c r="AG124" i="1"/>
  <c r="AI131" i="1" s="1"/>
  <c r="K125" i="2"/>
  <c r="S124" i="2"/>
  <c r="AV291" i="1" l="1"/>
  <c r="AH115" i="1"/>
  <c r="Q126" i="2"/>
  <c r="M126" i="2"/>
  <c r="BG124" i="1"/>
  <c r="AR124" i="1"/>
  <c r="U125" i="2"/>
  <c r="BE123" i="1" l="1"/>
  <c r="BA123" i="1"/>
  <c r="AL123" i="1"/>
  <c r="AR123" i="1" s="1"/>
  <c r="K124" i="2"/>
  <c r="M125" i="2" l="1"/>
  <c r="Q125" i="2"/>
  <c r="BG123" i="1"/>
  <c r="U124" i="2"/>
  <c r="S123" i="2"/>
  <c r="BE122" i="1" l="1"/>
  <c r="BA122" i="1"/>
  <c r="AL122" i="1"/>
  <c r="AR122" i="1" s="1"/>
  <c r="K123" i="2"/>
  <c r="M124" i="2" l="1"/>
  <c r="Q124" i="2"/>
  <c r="BG122" i="1"/>
  <c r="U123" i="2"/>
  <c r="S122" i="2"/>
  <c r="D311" i="1"/>
  <c r="BE121" i="1"/>
  <c r="BA121" i="1"/>
  <c r="AL121" i="1"/>
  <c r="AR121" i="1" s="1"/>
  <c r="K122" i="2"/>
  <c r="M123" i="2" s="1"/>
  <c r="Q123" i="2" l="1"/>
  <c r="BG121" i="1"/>
  <c r="U122" i="2"/>
  <c r="E121" i="2" l="1"/>
  <c r="S121" i="2"/>
  <c r="BE120" i="1" l="1"/>
  <c r="BA120" i="1"/>
  <c r="AL120" i="1"/>
  <c r="AR120" i="1" s="1"/>
  <c r="K121" i="2"/>
  <c r="M122" i="2" l="1"/>
  <c r="Q122" i="2"/>
  <c r="BG120" i="1"/>
  <c r="U121" i="2"/>
  <c r="D118" i="1" l="1"/>
  <c r="N124" i="1" s="1"/>
  <c r="D116" i="1"/>
  <c r="AH145" i="1" s="1"/>
  <c r="D115" i="1"/>
  <c r="D114" i="1"/>
  <c r="N143" i="1" l="1"/>
  <c r="BA336" i="1" s="1"/>
  <c r="AG298" i="1"/>
  <c r="AP292" i="1" s="1"/>
  <c r="N117" i="1"/>
  <c r="AH138" i="1"/>
  <c r="AH131" i="1"/>
  <c r="Q124" i="1"/>
  <c r="S131" i="1" s="1"/>
  <c r="Q123" i="1"/>
  <c r="S130" i="1" s="1"/>
  <c r="AH124" i="1"/>
  <c r="Q120" i="1"/>
  <c r="Q121" i="1"/>
  <c r="Q122" i="1"/>
  <c r="S129" i="1" s="1"/>
  <c r="S120" i="2"/>
  <c r="BG339" i="1" l="1"/>
  <c r="BC337" i="1"/>
  <c r="BE337" i="1" s="1"/>
  <c r="AV292" i="1"/>
  <c r="S127" i="1"/>
  <c r="S128" i="1"/>
  <c r="BE119" i="1"/>
  <c r="BA119" i="1"/>
  <c r="AL119" i="1"/>
  <c r="AR119" i="1" s="1"/>
  <c r="Q119" i="1"/>
  <c r="S126" i="1" s="1"/>
  <c r="K120" i="2"/>
  <c r="Q121" i="2" l="1"/>
  <c r="M121" i="2"/>
  <c r="BG119" i="1"/>
  <c r="U120" i="2"/>
  <c r="S119" i="2"/>
  <c r="BE118" i="1" l="1"/>
  <c r="BA118" i="1"/>
  <c r="AL118" i="1"/>
  <c r="AR118" i="1" s="1"/>
  <c r="Q118" i="1"/>
  <c r="S125" i="1" s="1"/>
  <c r="K119" i="2"/>
  <c r="Q120" i="2" l="1"/>
  <c r="M120" i="2"/>
  <c r="BK124" i="1"/>
  <c r="BM124" i="1" s="1"/>
  <c r="BG118" i="1"/>
  <c r="U119" i="2"/>
  <c r="S118" i="2" l="1"/>
  <c r="K118" i="2"/>
  <c r="BE117" i="1"/>
  <c r="BA117" i="1"/>
  <c r="AL117" i="1"/>
  <c r="AR117" i="1" s="1"/>
  <c r="AG117" i="1"/>
  <c r="Q117" i="1"/>
  <c r="S124" i="1" s="1"/>
  <c r="Q119" i="2" l="1"/>
  <c r="M119" i="2"/>
  <c r="AI124" i="1"/>
  <c r="U118" i="2"/>
  <c r="M118" i="2"/>
  <c r="BG117" i="1"/>
  <c r="BE116" i="1"/>
  <c r="BA116" i="1"/>
  <c r="AL116" i="1"/>
  <c r="AR116" i="1" s="1"/>
  <c r="S117" i="2"/>
  <c r="K117" i="2"/>
  <c r="S116" i="2"/>
  <c r="K116" i="2"/>
  <c r="BE115" i="1"/>
  <c r="BA115" i="1"/>
  <c r="AL115" i="1"/>
  <c r="AR115" i="1" s="1"/>
  <c r="S115" i="2"/>
  <c r="Q117" i="2" l="1"/>
  <c r="Q118" i="2"/>
  <c r="BG116" i="1"/>
  <c r="U117" i="2"/>
  <c r="M117" i="2"/>
  <c r="U116" i="2"/>
  <c r="BG115" i="1"/>
  <c r="BE114" i="1" l="1"/>
  <c r="BA114" i="1"/>
  <c r="AL114" i="1"/>
  <c r="AR114" i="1" s="1"/>
  <c r="K115" i="2"/>
  <c r="S114" i="2"/>
  <c r="Q116" i="2" l="1"/>
  <c r="M116" i="2"/>
  <c r="U115" i="2"/>
  <c r="BG114" i="1"/>
  <c r="BE113" i="1" l="1"/>
  <c r="BA113" i="1"/>
  <c r="AL113" i="1"/>
  <c r="K114" i="2"/>
  <c r="M115" i="2" l="1"/>
  <c r="Q115" i="2"/>
  <c r="AR113" i="1"/>
  <c r="BG113" i="1"/>
  <c r="U114" i="2"/>
  <c r="S113" i="2" l="1"/>
  <c r="BE112" i="1"/>
  <c r="BA112" i="1"/>
  <c r="AL112" i="1"/>
  <c r="K113" i="2"/>
  <c r="M114" i="2" l="1"/>
  <c r="Q114" i="2"/>
  <c r="AR112" i="1"/>
  <c r="BG112" i="1"/>
  <c r="U113" i="2"/>
  <c r="AH82" i="1"/>
  <c r="AH81" i="1"/>
  <c r="AH80" i="1"/>
  <c r="AH79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S112" i="2" l="1"/>
  <c r="BE111" i="1" l="1"/>
  <c r="K112" i="2"/>
  <c r="Q113" i="2" l="1"/>
  <c r="M113" i="2"/>
  <c r="U112" i="2"/>
  <c r="S111" i="2"/>
  <c r="AP110" i="1"/>
  <c r="BC110" i="1"/>
  <c r="K111" i="2"/>
  <c r="Q112" i="2" s="1"/>
  <c r="BE110" i="1"/>
  <c r="AG110" i="1"/>
  <c r="AI117" i="1" s="1"/>
  <c r="Q110" i="1"/>
  <c r="S117" i="1" s="1"/>
  <c r="BE109" i="1"/>
  <c r="BA109" i="1"/>
  <c r="AL109" i="1"/>
  <c r="AR109" i="1" s="1"/>
  <c r="S110" i="2"/>
  <c r="K110" i="2"/>
  <c r="S109" i="2"/>
  <c r="Q111" i="2" l="1"/>
  <c r="M112" i="2"/>
  <c r="BA111" i="1"/>
  <c r="BK117" i="1" s="1"/>
  <c r="BM117" i="1" s="1"/>
  <c r="AL110" i="1"/>
  <c r="AR110" i="1" s="1"/>
  <c r="AL111" i="1"/>
  <c r="BA110" i="1"/>
  <c r="U111" i="2"/>
  <c r="M111" i="2"/>
  <c r="BG109" i="1"/>
  <c r="U110" i="2"/>
  <c r="K109" i="2"/>
  <c r="BE108" i="1"/>
  <c r="BA108" i="1"/>
  <c r="AL108" i="1"/>
  <c r="AR108" i="1" s="1"/>
  <c r="Q110" i="2" l="1"/>
  <c r="M110" i="2"/>
  <c r="AR111" i="1"/>
  <c r="BG111" i="1"/>
  <c r="BG110" i="1"/>
  <c r="U109" i="2"/>
  <c r="BG108" i="1"/>
  <c r="S108" i="2" l="1"/>
  <c r="BE107" i="1" l="1"/>
  <c r="AL107" i="1"/>
  <c r="AR107" i="1" s="1"/>
  <c r="K108" i="2"/>
  <c r="AA61" i="3"/>
  <c r="BC106" i="1"/>
  <c r="BA107" i="1" s="1"/>
  <c r="AA242" i="3"/>
  <c r="AA241" i="3"/>
  <c r="AA240" i="3"/>
  <c r="AA239" i="3"/>
  <c r="AA238" i="3"/>
  <c r="AA237" i="3"/>
  <c r="AA236" i="3"/>
  <c r="AA235" i="3"/>
  <c r="AA234" i="3"/>
  <c r="AA233" i="3"/>
  <c r="AJ243" i="3"/>
  <c r="AJ246" i="3" s="1"/>
  <c r="Y243" i="3"/>
  <c r="W243" i="3"/>
  <c r="S107" i="2"/>
  <c r="AA243" i="3" l="1"/>
  <c r="AA246" i="3" s="1"/>
  <c r="U243" i="3"/>
  <c r="Q109" i="2"/>
  <c r="M109" i="2"/>
  <c r="BG107" i="1"/>
  <c r="U108" i="2"/>
  <c r="M108" i="2"/>
  <c r="BE106" i="1"/>
  <c r="BA106" i="1"/>
  <c r="AL106" i="1"/>
  <c r="AR106" i="1" s="1"/>
  <c r="K107" i="2"/>
  <c r="Q108" i="2" s="1"/>
  <c r="BG106" i="1" l="1"/>
  <c r="U107" i="2"/>
  <c r="S106" i="2" l="1"/>
  <c r="BE105" i="1"/>
  <c r="BA105" i="1"/>
  <c r="AL105" i="1"/>
  <c r="AR105" i="1" s="1"/>
  <c r="K106" i="2"/>
  <c r="S105" i="2"/>
  <c r="Q107" i="2" l="1"/>
  <c r="M107" i="2"/>
  <c r="BG105" i="1"/>
  <c r="U106" i="2"/>
  <c r="BE104" i="1" l="1"/>
  <c r="BA104" i="1"/>
  <c r="BK110" i="1" s="1"/>
  <c r="BM110" i="1" s="1"/>
  <c r="AL104" i="1"/>
  <c r="AR104" i="1" s="1"/>
  <c r="K105" i="2"/>
  <c r="Q106" i="2" l="1"/>
  <c r="M106" i="2"/>
  <c r="BG104" i="1"/>
  <c r="U105" i="2"/>
  <c r="S104" i="2"/>
  <c r="K104" i="2"/>
  <c r="M105" i="2" s="1"/>
  <c r="BE103" i="1"/>
  <c r="BA103" i="1"/>
  <c r="AL103" i="1"/>
  <c r="AR103" i="1" s="1"/>
  <c r="AG103" i="1"/>
  <c r="Q103" i="1"/>
  <c r="S110" i="1" s="1"/>
  <c r="S103" i="2"/>
  <c r="Q105" i="2" l="1"/>
  <c r="AI110" i="1"/>
  <c r="U104" i="2"/>
  <c r="BG103" i="1"/>
  <c r="BE102" i="1"/>
  <c r="BA102" i="1"/>
  <c r="AL102" i="1"/>
  <c r="AR102" i="1" s="1"/>
  <c r="K103" i="2"/>
  <c r="Q104" i="2" s="1"/>
  <c r="S102" i="2"/>
  <c r="BE101" i="1"/>
  <c r="BA101" i="1"/>
  <c r="AL101" i="1"/>
  <c r="AR101" i="1" s="1"/>
  <c r="S101" i="2"/>
  <c r="K102" i="2"/>
  <c r="M104" i="2" l="1"/>
  <c r="Q103" i="2"/>
  <c r="BG102" i="1"/>
  <c r="U103" i="2"/>
  <c r="M103" i="2"/>
  <c r="BG101" i="1"/>
  <c r="U102" i="2"/>
  <c r="BE100" i="1" l="1"/>
  <c r="BA100" i="1"/>
  <c r="AL100" i="1"/>
  <c r="K101" i="2"/>
  <c r="S100" i="2"/>
  <c r="Q102" i="2" l="1"/>
  <c r="M102" i="2"/>
  <c r="AR100" i="1"/>
  <c r="BG100" i="1"/>
  <c r="U101" i="2"/>
  <c r="BE99" i="1"/>
  <c r="BA99" i="1"/>
  <c r="AL99" i="1"/>
  <c r="AR99" i="1" s="1"/>
  <c r="K100" i="2"/>
  <c r="Q101" i="2" l="1"/>
  <c r="M101" i="2"/>
  <c r="BG99" i="1"/>
  <c r="U100" i="2"/>
  <c r="S99" i="2" l="1"/>
  <c r="BE98" i="1"/>
  <c r="BA98" i="1"/>
  <c r="AL98" i="1"/>
  <c r="AR98" i="1" s="1"/>
  <c r="K99" i="2"/>
  <c r="M100" i="2" l="1"/>
  <c r="Q100" i="2"/>
  <c r="BG98" i="1"/>
  <c r="U99" i="2"/>
  <c r="S98" i="2"/>
  <c r="BE97" i="1" l="1"/>
  <c r="BA97" i="1"/>
  <c r="AL97" i="1"/>
  <c r="AR97" i="1" s="1"/>
  <c r="K98" i="2"/>
  <c r="Q99" i="2" l="1"/>
  <c r="M99" i="2"/>
  <c r="BK103" i="1"/>
  <c r="BM103" i="1" s="1"/>
  <c r="BG97" i="1"/>
  <c r="U98" i="2"/>
  <c r="Q96" i="1" l="1"/>
  <c r="BE96" i="1"/>
  <c r="BA96" i="1"/>
  <c r="AL96" i="1"/>
  <c r="AR96" i="1" s="1"/>
  <c r="AG96" i="1"/>
  <c r="S97" i="2"/>
  <c r="K97" i="2"/>
  <c r="S96" i="2"/>
  <c r="K96" i="2"/>
  <c r="AI103" i="1" l="1"/>
  <c r="S103" i="1"/>
  <c r="Q97" i="2"/>
  <c r="Q98" i="2"/>
  <c r="M98" i="2"/>
  <c r="BG96" i="1"/>
  <c r="U97" i="2"/>
  <c r="M97" i="2"/>
  <c r="U96" i="2"/>
  <c r="BE95" i="1" l="1"/>
  <c r="BA95" i="1"/>
  <c r="AL95" i="1"/>
  <c r="AR95" i="1" s="1"/>
  <c r="S95" i="2"/>
  <c r="BG95" i="1" l="1"/>
  <c r="BE94" i="1"/>
  <c r="BA94" i="1"/>
  <c r="AL94" i="1"/>
  <c r="AR94" i="1" s="1"/>
  <c r="K95" i="2"/>
  <c r="Q96" i="2" l="1"/>
  <c r="M96" i="2"/>
  <c r="BG94" i="1"/>
  <c r="U95" i="2"/>
  <c r="S94" i="2" l="1"/>
  <c r="BE93" i="1" l="1"/>
  <c r="BA93" i="1"/>
  <c r="AL93" i="1"/>
  <c r="AR93" i="1" s="1"/>
  <c r="K94" i="2"/>
  <c r="M95" i="2" l="1"/>
  <c r="Q95" i="2"/>
  <c r="BG93" i="1"/>
  <c r="U94" i="2"/>
  <c r="S93" i="2"/>
  <c r="K93" i="2"/>
  <c r="BE92" i="1"/>
  <c r="BA92" i="1"/>
  <c r="AL92" i="1"/>
  <c r="AR92" i="1" s="1"/>
  <c r="M94" i="2" l="1"/>
  <c r="Q94" i="2"/>
  <c r="U93" i="2"/>
  <c r="BG92" i="1"/>
  <c r="S92" i="2" l="1"/>
  <c r="BE91" i="1" l="1"/>
  <c r="BA91" i="1"/>
  <c r="AL91" i="1"/>
  <c r="AR91" i="1" s="1"/>
  <c r="K92" i="2"/>
  <c r="M93" i="2" l="1"/>
  <c r="Q93" i="2"/>
  <c r="BG91" i="1"/>
  <c r="U92" i="2"/>
  <c r="S91" i="2"/>
  <c r="BE90" i="1" l="1"/>
  <c r="BA90" i="1"/>
  <c r="BK96" i="1" s="1"/>
  <c r="BM96" i="1" s="1"/>
  <c r="AL90" i="1"/>
  <c r="AR90" i="1" s="1"/>
  <c r="K91" i="2"/>
  <c r="Q92" i="2" l="1"/>
  <c r="M92" i="2"/>
  <c r="BG90" i="1"/>
  <c r="U91" i="2"/>
  <c r="S89" i="2"/>
  <c r="S90" i="2"/>
  <c r="K90" i="2"/>
  <c r="M91" i="2" s="1"/>
  <c r="AG75" i="1"/>
  <c r="AG68" i="1"/>
  <c r="AG61" i="1"/>
  <c r="AG47" i="1"/>
  <c r="AG40" i="1"/>
  <c r="Q82" i="1"/>
  <c r="Q75" i="1"/>
  <c r="Q61" i="1"/>
  <c r="Q54" i="1"/>
  <c r="Q47" i="1"/>
  <c r="Q48" i="1" s="1"/>
  <c r="Q40" i="1"/>
  <c r="Q33" i="1"/>
  <c r="BE89" i="1"/>
  <c r="BA89" i="1"/>
  <c r="AL89" i="1"/>
  <c r="AR89" i="1" s="1"/>
  <c r="AG89" i="1"/>
  <c r="AI96" i="1" s="1"/>
  <c r="Q89" i="1"/>
  <c r="S54" i="1" l="1"/>
  <c r="S82" i="1"/>
  <c r="S89" i="1"/>
  <c r="S96" i="1"/>
  <c r="S40" i="1"/>
  <c r="AI68" i="1"/>
  <c r="S61" i="1"/>
  <c r="AI47" i="1"/>
  <c r="S47" i="1"/>
  <c r="AI75" i="1"/>
  <c r="Q91" i="2"/>
  <c r="U90" i="2"/>
  <c r="BG89" i="1"/>
  <c r="BE88" i="1"/>
  <c r="BA88" i="1"/>
  <c r="AL88" i="1"/>
  <c r="AR88" i="1" s="1"/>
  <c r="K89" i="2"/>
  <c r="Q90" i="2" l="1"/>
  <c r="M90" i="2"/>
  <c r="BG88" i="1"/>
  <c r="U89" i="2"/>
  <c r="S88" i="2"/>
  <c r="BE87" i="1" l="1"/>
  <c r="BA87" i="1"/>
  <c r="AL87" i="1"/>
  <c r="AR87" i="1" s="1"/>
  <c r="K88" i="2"/>
  <c r="Q89" i="2" l="1"/>
  <c r="M89" i="2"/>
  <c r="BG87" i="1"/>
  <c r="U88" i="2"/>
  <c r="S87" i="2"/>
  <c r="K87" i="2"/>
  <c r="Q88" i="2" s="1"/>
  <c r="BE86" i="1"/>
  <c r="BA86" i="1"/>
  <c r="AL86" i="1"/>
  <c r="AR86" i="1" s="1"/>
  <c r="U87" i="2" l="1"/>
  <c r="M88" i="2"/>
  <c r="BG86" i="1"/>
  <c r="S86" i="2"/>
  <c r="BE85" i="1" l="1"/>
  <c r="BA85" i="1"/>
  <c r="AL85" i="1"/>
  <c r="AR85" i="1" s="1"/>
  <c r="K86" i="2"/>
  <c r="Q87" i="2" l="1"/>
  <c r="M87" i="2"/>
  <c r="BG85" i="1"/>
  <c r="U86" i="2"/>
  <c r="S85" i="2"/>
  <c r="K85" i="2" l="1"/>
  <c r="BE84" i="1"/>
  <c r="BA84" i="1"/>
  <c r="AL84" i="1"/>
  <c r="AR84" i="1" s="1"/>
  <c r="Q86" i="2" l="1"/>
  <c r="M86" i="2"/>
  <c r="U85" i="2"/>
  <c r="BG84" i="1"/>
  <c r="BE83" i="1" l="1"/>
  <c r="BA83" i="1"/>
  <c r="BK89" i="1" s="1"/>
  <c r="BM89" i="1" s="1"/>
  <c r="AL83" i="1"/>
  <c r="AR83" i="1" s="1"/>
  <c r="S84" i="2"/>
  <c r="K84" i="2"/>
  <c r="F254" i="3"/>
  <c r="F257" i="3" s="1"/>
  <c r="S83" i="2"/>
  <c r="Q85" i="2" l="1"/>
  <c r="M85" i="2"/>
  <c r="BG83" i="1"/>
  <c r="U84" i="2"/>
  <c r="W78" i="1" l="1"/>
  <c r="K83" i="2"/>
  <c r="BE82" i="1"/>
  <c r="BA82" i="1"/>
  <c r="AL82" i="1"/>
  <c r="S82" i="2"/>
  <c r="K82" i="2"/>
  <c r="BE81" i="1"/>
  <c r="BA81" i="1"/>
  <c r="AL81" i="1"/>
  <c r="AG82" i="1" l="1"/>
  <c r="AI82" i="1" s="1"/>
  <c r="AH78" i="1"/>
  <c r="AG84" i="1" s="1"/>
  <c r="U83" i="2"/>
  <c r="Q84" i="2"/>
  <c r="M84" i="2"/>
  <c r="AR82" i="1"/>
  <c r="BG82" i="1"/>
  <c r="M83" i="2"/>
  <c r="Q83" i="2"/>
  <c r="U82" i="2"/>
  <c r="AR81" i="1"/>
  <c r="BG81" i="1"/>
  <c r="AL80" i="1"/>
  <c r="AR80" i="1" s="1"/>
  <c r="S81" i="2"/>
  <c r="K81" i="2"/>
  <c r="M82" i="2" s="1"/>
  <c r="BE80" i="1"/>
  <c r="BA80" i="1"/>
  <c r="AI89" i="1" l="1"/>
  <c r="AR290" i="1"/>
  <c r="U81" i="2"/>
  <c r="Q82" i="2"/>
  <c r="BG80" i="1"/>
  <c r="S80" i="2"/>
  <c r="K80" i="2"/>
  <c r="BE79" i="1"/>
  <c r="BA79" i="1"/>
  <c r="AL79" i="1"/>
  <c r="U80" i="2" l="1"/>
  <c r="Q81" i="2"/>
  <c r="M81" i="2"/>
  <c r="AR79" i="1"/>
  <c r="BG79" i="1"/>
  <c r="S79" i="2"/>
  <c r="K79" i="2" l="1"/>
  <c r="BE78" i="1"/>
  <c r="BA78" i="1"/>
  <c r="AL78" i="1"/>
  <c r="AR78" i="1" s="1"/>
  <c r="M80" i="2" l="1"/>
  <c r="Q80" i="2"/>
  <c r="U79" i="2"/>
  <c r="BG78" i="1"/>
  <c r="S78" i="2" l="1"/>
  <c r="BE77" i="1"/>
  <c r="BA77" i="1"/>
  <c r="AL77" i="1"/>
  <c r="AR77" i="1" s="1"/>
  <c r="K78" i="2"/>
  <c r="Q79" i="2" l="1"/>
  <c r="M79" i="2"/>
  <c r="BG77" i="1"/>
  <c r="U78" i="2"/>
  <c r="BE76" i="1"/>
  <c r="BA76" i="1"/>
  <c r="AL76" i="1"/>
  <c r="AR76" i="1" s="1"/>
  <c r="S77" i="2"/>
  <c r="K77" i="2"/>
  <c r="Q78" i="2" s="1"/>
  <c r="BK82" i="1" l="1"/>
  <c r="BK83" i="1"/>
  <c r="M78" i="2"/>
  <c r="BG76" i="1"/>
  <c r="U77" i="2"/>
  <c r="S76" i="2"/>
  <c r="BM82" i="1" l="1"/>
  <c r="BE75" i="1"/>
  <c r="BA75" i="1"/>
  <c r="AL75" i="1"/>
  <c r="AR75" i="1" s="1"/>
  <c r="K76" i="2"/>
  <c r="Q77" i="2" l="1"/>
  <c r="M77" i="2"/>
  <c r="BG75" i="1"/>
  <c r="U76" i="2"/>
  <c r="S75" i="2" l="1"/>
  <c r="BE74" i="1"/>
  <c r="BA74" i="1"/>
  <c r="AL74" i="1"/>
  <c r="AR74" i="1" s="1"/>
  <c r="K75" i="2"/>
  <c r="M76" i="2" l="1"/>
  <c r="Q76" i="2"/>
  <c r="BG74" i="1"/>
  <c r="U75" i="2"/>
  <c r="S74" i="2"/>
  <c r="K74" i="2"/>
  <c r="BE73" i="1"/>
  <c r="BA73" i="1"/>
  <c r="AL73" i="1"/>
  <c r="M75" i="2" l="1"/>
  <c r="Q75" i="2"/>
  <c r="AR73" i="1"/>
  <c r="U74" i="2"/>
  <c r="BG73" i="1"/>
  <c r="I60" i="3"/>
  <c r="AH230" i="1" l="1"/>
  <c r="AH222" i="1"/>
  <c r="AH219" i="1"/>
  <c r="AH228" i="1"/>
  <c r="AH225" i="1"/>
  <c r="AH217" i="1"/>
  <c r="AH229" i="1"/>
  <c r="AH221" i="1"/>
  <c r="AH226" i="1"/>
  <c r="AH215" i="1"/>
  <c r="AH227" i="1"/>
  <c r="AH218" i="1"/>
  <c r="AH216" i="1"/>
  <c r="AH220" i="1"/>
  <c r="AH223" i="1"/>
  <c r="AH224" i="1"/>
  <c r="AH214" i="1"/>
  <c r="AH213" i="1"/>
  <c r="AH210" i="1"/>
  <c r="AH212" i="1"/>
  <c r="AH211" i="1"/>
  <c r="AH209" i="1"/>
  <c r="AH208" i="1"/>
  <c r="AH207" i="1"/>
  <c r="AH206" i="1"/>
  <c r="AH205" i="1"/>
  <c r="AH204" i="1"/>
  <c r="AH203" i="1"/>
  <c r="AH202" i="1"/>
  <c r="AH201" i="1"/>
  <c r="AH200" i="1"/>
  <c r="AH199" i="1"/>
  <c r="AH196" i="1"/>
  <c r="AH197" i="1"/>
  <c r="AH198" i="1"/>
  <c r="AH195" i="1"/>
  <c r="AH194" i="1"/>
  <c r="AH192" i="1"/>
  <c r="AH193" i="1"/>
  <c r="AH191" i="1"/>
  <c r="AH190" i="1"/>
  <c r="AH189" i="1"/>
  <c r="AH187" i="1"/>
  <c r="AH188" i="1"/>
  <c r="AH186" i="1"/>
  <c r="AH185" i="1"/>
  <c r="AH184" i="1"/>
  <c r="AH181" i="1"/>
  <c r="AH182" i="1"/>
  <c r="AH178" i="1"/>
  <c r="AH179" i="1"/>
  <c r="AH180" i="1"/>
  <c r="AH177" i="1"/>
  <c r="AH183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58" i="1"/>
  <c r="AH156" i="1"/>
  <c r="AH157" i="1"/>
  <c r="AH155" i="1"/>
  <c r="AH154" i="1"/>
  <c r="AH164" i="1"/>
  <c r="AH160" i="1"/>
  <c r="AH163" i="1"/>
  <c r="AH159" i="1"/>
  <c r="AH162" i="1"/>
  <c r="AH161" i="1"/>
  <c r="AH153" i="1"/>
  <c r="AH152" i="1"/>
  <c r="S73" i="2"/>
  <c r="K73" i="2"/>
  <c r="S72" i="2"/>
  <c r="BE72" i="1"/>
  <c r="BA72" i="1"/>
  <c r="AL72" i="1"/>
  <c r="AR72" i="1" s="1"/>
  <c r="Q74" i="2" l="1"/>
  <c r="M74" i="2"/>
  <c r="BG72" i="1"/>
  <c r="U73" i="2"/>
  <c r="K72" i="2"/>
  <c r="BE71" i="1"/>
  <c r="BA71" i="1"/>
  <c r="AL71" i="1"/>
  <c r="AR71" i="1" s="1"/>
  <c r="M73" i="2" l="1"/>
  <c r="Q73" i="2"/>
  <c r="U72" i="2"/>
  <c r="BG71" i="1"/>
  <c r="S71" i="2"/>
  <c r="K71" i="2"/>
  <c r="M72" i="2" l="1"/>
  <c r="Q72" i="2"/>
  <c r="U71" i="2"/>
  <c r="BE70" i="1"/>
  <c r="BA70" i="1"/>
  <c r="AL70" i="1"/>
  <c r="AR70" i="1" s="1"/>
  <c r="BG70" i="1" l="1"/>
  <c r="S70" i="2"/>
  <c r="K70" i="2" l="1"/>
  <c r="BE69" i="1"/>
  <c r="BA69" i="1"/>
  <c r="BK75" i="1" s="1"/>
  <c r="AL69" i="1"/>
  <c r="AR69" i="1" s="1"/>
  <c r="BM75" i="1" l="1"/>
  <c r="Q71" i="2"/>
  <c r="M71" i="2"/>
  <c r="U70" i="2"/>
  <c r="BG69" i="1"/>
  <c r="S69" i="2"/>
  <c r="K69" i="2" l="1"/>
  <c r="BE68" i="1"/>
  <c r="BA68" i="1"/>
  <c r="AL68" i="1"/>
  <c r="AR68" i="1" s="1"/>
  <c r="Q70" i="2" l="1"/>
  <c r="M70" i="2"/>
  <c r="U69" i="2"/>
  <c r="BG68" i="1"/>
  <c r="S68" i="2"/>
  <c r="D65" i="1"/>
  <c r="K68" i="2"/>
  <c r="M69" i="2" s="1"/>
  <c r="BE67" i="1"/>
  <c r="BA67" i="1"/>
  <c r="AL67" i="1"/>
  <c r="Q68" i="1" l="1"/>
  <c r="AG83" i="1"/>
  <c r="S68" i="1"/>
  <c r="S75" i="1"/>
  <c r="Q69" i="2"/>
  <c r="AR67" i="1"/>
  <c r="U68" i="2"/>
  <c r="BG67" i="1"/>
  <c r="AG85" i="1" l="1"/>
  <c r="AP290" i="1"/>
  <c r="AV290" i="1" s="1"/>
  <c r="S67" i="2"/>
  <c r="K67" i="2"/>
  <c r="BE66" i="1"/>
  <c r="BA66" i="1"/>
  <c r="AL66" i="1"/>
  <c r="AR66" i="1" s="1"/>
  <c r="M68" i="2" l="1"/>
  <c r="Q68" i="2"/>
  <c r="U67" i="2"/>
  <c r="BG66" i="1"/>
  <c r="S66" i="2"/>
  <c r="K66" i="2" l="1"/>
  <c r="BE65" i="1"/>
  <c r="BA65" i="1"/>
  <c r="AL65" i="1"/>
  <c r="Q67" i="2" l="1"/>
  <c r="M67" i="2"/>
  <c r="AR65" i="1"/>
  <c r="U66" i="2"/>
  <c r="BG65" i="1"/>
  <c r="S65" i="2" l="1"/>
  <c r="I244" i="3" l="1"/>
  <c r="I241" i="3"/>
  <c r="L241" i="3" s="1"/>
  <c r="I78" i="3"/>
  <c r="I80" i="3" s="1"/>
  <c r="I77" i="3"/>
  <c r="BE64" i="1"/>
  <c r="BA64" i="1"/>
  <c r="AL64" i="1"/>
  <c r="AR64" i="1" s="1"/>
  <c r="K65" i="2"/>
  <c r="Y19" i="3"/>
  <c r="Q66" i="2" l="1"/>
  <c r="M66" i="2"/>
  <c r="L244" i="3"/>
  <c r="I79" i="3"/>
  <c r="I81" i="3" s="1"/>
  <c r="I82" i="3" s="1"/>
  <c r="BG64" i="1"/>
  <c r="U65" i="2"/>
  <c r="S64" i="2"/>
  <c r="N81" i="3" l="1"/>
  <c r="N82" i="3" s="1"/>
  <c r="I243" i="3"/>
  <c r="L243" i="3" s="1"/>
  <c r="K64" i="2"/>
  <c r="BE63" i="1"/>
  <c r="BA63" i="1"/>
  <c r="AL63" i="1"/>
  <c r="AR63" i="1" s="1"/>
  <c r="Y18" i="3"/>
  <c r="Q65" i="2" l="1"/>
  <c r="M65" i="2"/>
  <c r="I245" i="3"/>
  <c r="U64" i="2"/>
  <c r="BG63" i="1"/>
  <c r="L234" i="3" l="1"/>
  <c r="L245" i="3"/>
  <c r="L233" i="3"/>
  <c r="S63" i="2"/>
  <c r="BE62" i="1"/>
  <c r="BA62" i="1"/>
  <c r="BK68" i="1" s="1"/>
  <c r="AL62" i="1"/>
  <c r="AR62" i="1" s="1"/>
  <c r="K63" i="2"/>
  <c r="Y17" i="3"/>
  <c r="BM68" i="1" l="1"/>
  <c r="Q64" i="2"/>
  <c r="M64" i="2"/>
  <c r="BG62" i="1"/>
  <c r="U63" i="2"/>
  <c r="L55" i="7"/>
  <c r="L56" i="7" s="1"/>
  <c r="L57" i="7" s="1"/>
  <c r="L58" i="7" s="1"/>
  <c r="L59" i="7" s="1"/>
  <c r="S62" i="2"/>
  <c r="BE61" i="1" l="1"/>
  <c r="BA61" i="1"/>
  <c r="AL61" i="1"/>
  <c r="AR61" i="1" s="1"/>
  <c r="K62" i="2"/>
  <c r="Y16" i="3"/>
  <c r="M63" i="2" l="1"/>
  <c r="Q63" i="2"/>
  <c r="BG61" i="1"/>
  <c r="U62" i="2"/>
  <c r="S61" i="2"/>
  <c r="Y15" i="3" l="1"/>
  <c r="K61" i="2"/>
  <c r="Q62" i="2" l="1"/>
  <c r="M62" i="2"/>
  <c r="U61" i="2"/>
  <c r="BE60" i="1"/>
  <c r="BA60" i="1"/>
  <c r="AL60" i="1"/>
  <c r="I58" i="3"/>
  <c r="I55" i="3"/>
  <c r="L55" i="3" l="1"/>
  <c r="L58" i="3"/>
  <c r="AR60" i="1"/>
  <c r="BG60" i="1"/>
  <c r="S60" i="2"/>
  <c r="S59" i="2"/>
  <c r="K60" i="2"/>
  <c r="BE59" i="1"/>
  <c r="BA59" i="1"/>
  <c r="AL59" i="1"/>
  <c r="AR59" i="1" s="1"/>
  <c r="Y14" i="3"/>
  <c r="M61" i="2" l="1"/>
  <c r="Q61" i="2"/>
  <c r="U60" i="2"/>
  <c r="BG59" i="1"/>
  <c r="D55" i="7"/>
  <c r="D56" i="7" s="1"/>
  <c r="D57" i="7" s="1"/>
  <c r="D58" i="7" s="1"/>
  <c r="D59" i="7" s="1"/>
  <c r="D60" i="7" s="1"/>
  <c r="K59" i="2"/>
  <c r="Y13" i="3"/>
  <c r="BE58" i="1"/>
  <c r="BA58" i="1"/>
  <c r="AL58" i="1"/>
  <c r="AR58" i="1" s="1"/>
  <c r="M60" i="2" l="1"/>
  <c r="Q60" i="2"/>
  <c r="U59" i="2"/>
  <c r="BG58" i="1"/>
  <c r="S58" i="2"/>
  <c r="AA11" i="3" l="1"/>
  <c r="AA10" i="3"/>
  <c r="AA9" i="3"/>
  <c r="AA8" i="3"/>
  <c r="AA7" i="3"/>
  <c r="K58" i="2" l="1"/>
  <c r="BE57" i="1"/>
  <c r="BA57" i="1"/>
  <c r="AL57" i="1"/>
  <c r="AR57" i="1" s="1"/>
  <c r="M59" i="2" l="1"/>
  <c r="Q59" i="2"/>
  <c r="U58" i="2"/>
  <c r="BG57" i="1"/>
  <c r="I47" i="3"/>
  <c r="I49" i="3" s="1"/>
  <c r="I46" i="3"/>
  <c r="U7" i="3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U23" i="3" s="1"/>
  <c r="U24" i="3" s="1"/>
  <c r="U25" i="3" s="1"/>
  <c r="U26" i="3" s="1"/>
  <c r="U27" i="3" s="1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l="1"/>
  <c r="U40" i="3" s="1"/>
  <c r="U41" i="3" s="1"/>
  <c r="U42" i="3" s="1"/>
  <c r="U43" i="3" s="1"/>
  <c r="U44" i="3" s="1"/>
  <c r="U45" i="3" s="1"/>
  <c r="U46" i="3" s="1"/>
  <c r="U47" i="3" s="1"/>
  <c r="U48" i="3" s="1"/>
  <c r="U49" i="3" s="1"/>
  <c r="U50" i="3" s="1"/>
  <c r="U51" i="3" s="1"/>
  <c r="U52" i="3" s="1"/>
  <c r="U53" i="3" s="1"/>
  <c r="U54" i="3" s="1"/>
  <c r="U55" i="3" s="1"/>
  <c r="U56" i="3" s="1"/>
  <c r="U57" i="3" s="1"/>
  <c r="U58" i="3" s="1"/>
  <c r="I48" i="3"/>
  <c r="I50" i="3" s="1"/>
  <c r="I57" i="3" s="1"/>
  <c r="AF30" i="2"/>
  <c r="AD30" i="2"/>
  <c r="S57" i="2"/>
  <c r="L54" i="7"/>
  <c r="K57" i="2"/>
  <c r="BE56" i="1"/>
  <c r="BA56" i="1"/>
  <c r="AL56" i="1"/>
  <c r="AR56" i="1" s="1"/>
  <c r="U59" i="3" l="1"/>
  <c r="U60" i="3" s="1"/>
  <c r="U61" i="3" s="1"/>
  <c r="U62" i="3" s="1"/>
  <c r="U63" i="3" s="1"/>
  <c r="U64" i="3" s="1"/>
  <c r="U65" i="3" s="1"/>
  <c r="U66" i="3" s="1"/>
  <c r="U67" i="3" s="1"/>
  <c r="U68" i="3" s="1"/>
  <c r="U69" i="3" s="1"/>
  <c r="U70" i="3" s="1"/>
  <c r="U71" i="3" s="1"/>
  <c r="U72" i="3" s="1"/>
  <c r="U73" i="3" s="1"/>
  <c r="U74" i="3" s="1"/>
  <c r="U75" i="3" s="1"/>
  <c r="U76" i="3" s="1"/>
  <c r="U77" i="3" s="1"/>
  <c r="U78" i="3" s="1"/>
  <c r="U79" i="3" s="1"/>
  <c r="U80" i="3" s="1"/>
  <c r="U81" i="3" s="1"/>
  <c r="U82" i="3" s="1"/>
  <c r="U83" i="3" s="1"/>
  <c r="U84" i="3" s="1"/>
  <c r="U85" i="3" s="1"/>
  <c r="U86" i="3" s="1"/>
  <c r="U87" i="3" s="1"/>
  <c r="U88" i="3" s="1"/>
  <c r="U89" i="3" s="1"/>
  <c r="U90" i="3" s="1"/>
  <c r="U91" i="3" s="1"/>
  <c r="U92" i="3" s="1"/>
  <c r="U93" i="3" s="1"/>
  <c r="Q58" i="2"/>
  <c r="M58" i="2"/>
  <c r="I59" i="3"/>
  <c r="L57" i="3"/>
  <c r="N50" i="3"/>
  <c r="I51" i="3"/>
  <c r="U57" i="2"/>
  <c r="BG56" i="1"/>
  <c r="S56" i="2"/>
  <c r="L53" i="7"/>
  <c r="K56" i="2"/>
  <c r="Q57" i="2" s="1"/>
  <c r="BE55" i="1"/>
  <c r="BA55" i="1"/>
  <c r="BK61" i="1" s="1"/>
  <c r="AL55" i="1"/>
  <c r="AR55" i="1" s="1"/>
  <c r="BM61" i="1" l="1"/>
  <c r="BK84" i="1"/>
  <c r="BK85" i="1" s="1"/>
  <c r="U94" i="3"/>
  <c r="U95" i="3" s="1"/>
  <c r="U96" i="3" s="1"/>
  <c r="U97" i="3" s="1"/>
  <c r="U98" i="3" s="1"/>
  <c r="U99" i="3" s="1"/>
  <c r="U100" i="3" s="1"/>
  <c r="M57" i="2"/>
  <c r="I61" i="3"/>
  <c r="L61" i="3" s="1"/>
  <c r="L67" i="3"/>
  <c r="L66" i="3"/>
  <c r="L59" i="3"/>
  <c r="N51" i="3"/>
  <c r="U56" i="2"/>
  <c r="BG55" i="1"/>
  <c r="W48" i="1"/>
  <c r="AG54" i="1" s="1"/>
  <c r="S55" i="2"/>
  <c r="L52" i="7"/>
  <c r="K55" i="2"/>
  <c r="Q56" i="2" s="1"/>
  <c r="BE54" i="1"/>
  <c r="BA54" i="1"/>
  <c r="AL54" i="1"/>
  <c r="AR54" i="1" s="1"/>
  <c r="U101" i="3" l="1"/>
  <c r="U102" i="3" s="1"/>
  <c r="U103" i="3" s="1"/>
  <c r="U104" i="3" s="1"/>
  <c r="U105" i="3" s="1"/>
  <c r="U106" i="3" s="1"/>
  <c r="AI54" i="1"/>
  <c r="AI61" i="1"/>
  <c r="U55" i="2"/>
  <c r="M56" i="2"/>
  <c r="BG54" i="1"/>
  <c r="S54" i="2"/>
  <c r="U107" i="3" l="1"/>
  <c r="U108" i="3" s="1"/>
  <c r="U109" i="3" s="1"/>
  <c r="U110" i="3" s="1"/>
  <c r="U111" i="3" s="1"/>
  <c r="U112" i="3" s="1"/>
  <c r="U113" i="3" s="1"/>
  <c r="U114" i="3" s="1"/>
  <c r="L51" i="7"/>
  <c r="K54" i="2"/>
  <c r="BE53" i="1"/>
  <c r="BA53" i="1"/>
  <c r="AL53" i="1"/>
  <c r="AR53" i="1" s="1"/>
  <c r="F73" i="7"/>
  <c r="F71" i="7"/>
  <c r="S53" i="2"/>
  <c r="L50" i="7"/>
  <c r="U115" i="3" l="1"/>
  <c r="U116" i="3" s="1"/>
  <c r="U117" i="3" s="1"/>
  <c r="U118" i="3" s="1"/>
  <c r="U119" i="3" s="1"/>
  <c r="U120" i="3" s="1"/>
  <c r="U121" i="3" s="1"/>
  <c r="Q55" i="2"/>
  <c r="M55" i="2"/>
  <c r="U54" i="2"/>
  <c r="BG53" i="1"/>
  <c r="K53" i="2"/>
  <c r="Q54" i="2" s="1"/>
  <c r="BE52" i="1"/>
  <c r="BA52" i="1"/>
  <c r="AL52" i="1"/>
  <c r="AR52" i="1" s="1"/>
  <c r="U122" i="3" l="1"/>
  <c r="U123" i="3" s="1"/>
  <c r="U124" i="3" s="1"/>
  <c r="U125" i="3" s="1"/>
  <c r="U126" i="3" s="1"/>
  <c r="U127" i="3" s="1"/>
  <c r="M54" i="2"/>
  <c r="U53" i="2"/>
  <c r="BG52" i="1"/>
  <c r="G46" i="2"/>
  <c r="AO286" i="2"/>
  <c r="S52" i="2"/>
  <c r="U128" i="3" l="1"/>
  <c r="U129" i="3" s="1"/>
  <c r="U130" i="3" s="1"/>
  <c r="U131" i="3" s="1"/>
  <c r="U132" i="3" s="1"/>
  <c r="U133" i="3" s="1"/>
  <c r="U134" i="3" s="1"/>
  <c r="U135" i="3" s="1"/>
  <c r="U136" i="3" s="1"/>
  <c r="U137" i="3" s="1"/>
  <c r="U138" i="3" s="1"/>
  <c r="AD29" i="2"/>
  <c r="G51" i="2"/>
  <c r="K51" i="2" s="1"/>
  <c r="G50" i="2"/>
  <c r="G49" i="2"/>
  <c r="G48" i="2"/>
  <c r="K48" i="2" s="1"/>
  <c r="G47" i="2"/>
  <c r="K47" i="2" s="1"/>
  <c r="G45" i="2"/>
  <c r="K45" i="2" s="1"/>
  <c r="G44" i="2"/>
  <c r="K44" i="2" s="1"/>
  <c r="G43" i="2"/>
  <c r="G42" i="2"/>
  <c r="G41" i="2"/>
  <c r="G40" i="2"/>
  <c r="K40" i="2" s="1"/>
  <c r="G39" i="2"/>
  <c r="G38" i="2"/>
  <c r="K38" i="2" s="1"/>
  <c r="G37" i="2"/>
  <c r="K37" i="2" s="1"/>
  <c r="G36" i="2"/>
  <c r="K36" i="2" s="1"/>
  <c r="G35" i="2"/>
  <c r="G34" i="2"/>
  <c r="G33" i="2"/>
  <c r="G32" i="2"/>
  <c r="K32" i="2" s="1"/>
  <c r="G31" i="2"/>
  <c r="K31" i="2" s="1"/>
  <c r="K52" i="2"/>
  <c r="K50" i="2"/>
  <c r="K49" i="2"/>
  <c r="K46" i="2"/>
  <c r="K43" i="2"/>
  <c r="K42" i="2"/>
  <c r="K41" i="2"/>
  <c r="K39" i="2"/>
  <c r="K35" i="2"/>
  <c r="K34" i="2"/>
  <c r="K33" i="2"/>
  <c r="G30" i="2"/>
  <c r="K30" i="2" s="1"/>
  <c r="I24" i="3"/>
  <c r="I26" i="3" s="1"/>
  <c r="BW11" i="1"/>
  <c r="BW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C144" i="2" s="1"/>
  <c r="C145" i="2" s="1"/>
  <c r="C146" i="2" s="1"/>
  <c r="C147" i="2" s="1"/>
  <c r="C148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U139" i="3" l="1"/>
  <c r="U140" i="3" s="1"/>
  <c r="U141" i="3" s="1"/>
  <c r="U142" i="3" s="1"/>
  <c r="U143" i="3" s="1"/>
  <c r="U144" i="3" s="1"/>
  <c r="U145" i="3" s="1"/>
  <c r="U146" i="3" s="1"/>
  <c r="U147" i="3" s="1"/>
  <c r="U148" i="3" s="1"/>
  <c r="U149" i="3" s="1"/>
  <c r="Q33" i="2"/>
  <c r="Q36" i="2"/>
  <c r="Q49" i="2"/>
  <c r="C149" i="2"/>
  <c r="C150" i="2" s="1"/>
  <c r="C151" i="2" s="1"/>
  <c r="C152" i="2" s="1"/>
  <c r="C153" i="2" s="1"/>
  <c r="Q41" i="2"/>
  <c r="Q39" i="2"/>
  <c r="Q21" i="2"/>
  <c r="Q25" i="2"/>
  <c r="Q31" i="2"/>
  <c r="Q42" i="2"/>
  <c r="Q38" i="2"/>
  <c r="Q44" i="2"/>
  <c r="Q32" i="2"/>
  <c r="Q48" i="2"/>
  <c r="U50" i="2"/>
  <c r="Q50" i="2"/>
  <c r="Q26" i="2"/>
  <c r="Q43" i="2"/>
  <c r="Q40" i="2"/>
  <c r="Q23" i="2"/>
  <c r="Q34" i="2"/>
  <c r="Q45" i="2"/>
  <c r="AF16" i="2"/>
  <c r="AF19" i="2" s="1"/>
  <c r="Q52" i="2"/>
  <c r="M53" i="2"/>
  <c r="Q53" i="2"/>
  <c r="Q20" i="2"/>
  <c r="Q28" i="2"/>
  <c r="Q35" i="2"/>
  <c r="Q46" i="2"/>
  <c r="Q51" i="2"/>
  <c r="Q29" i="2"/>
  <c r="Q30" i="2"/>
  <c r="Q22" i="2"/>
  <c r="Q19" i="2"/>
  <c r="Q27" i="2"/>
  <c r="Q24" i="2"/>
  <c r="Q37" i="2"/>
  <c r="Q47" i="2"/>
  <c r="AJ49" i="2"/>
  <c r="AD50" i="2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W91" i="2" s="1"/>
  <c r="W92" i="2" s="1"/>
  <c r="W93" i="2" s="1"/>
  <c r="W94" i="2" s="1"/>
  <c r="W95" i="2" s="1"/>
  <c r="W96" i="2" s="1"/>
  <c r="W97" i="2" s="1"/>
  <c r="W98" i="2" s="1"/>
  <c r="W99" i="2" s="1"/>
  <c r="W100" i="2" s="1"/>
  <c r="W101" i="2" s="1"/>
  <c r="W102" i="2" s="1"/>
  <c r="W103" i="2" s="1"/>
  <c r="W104" i="2" s="1"/>
  <c r="W105" i="2" s="1"/>
  <c r="W106" i="2" s="1"/>
  <c r="W107" i="2" s="1"/>
  <c r="W108" i="2" s="1"/>
  <c r="W109" i="2" s="1"/>
  <c r="W110" i="2" s="1"/>
  <c r="W111" i="2" s="1"/>
  <c r="W112" i="2" s="1"/>
  <c r="BW13" i="1"/>
  <c r="AX12" i="1"/>
  <c r="AD31" i="2"/>
  <c r="AH30" i="2" s="1"/>
  <c r="AJ30" i="2" s="1"/>
  <c r="M32" i="2"/>
  <c r="M44" i="2"/>
  <c r="M35" i="2"/>
  <c r="M43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E51" i="1"/>
  <c r="BA51" i="1"/>
  <c r="AL51" i="1"/>
  <c r="AR51" i="1" s="1"/>
  <c r="U150" i="3" l="1"/>
  <c r="U151" i="3" s="1"/>
  <c r="U152" i="3" s="1"/>
  <c r="U153" i="3" s="1"/>
  <c r="U154" i="3" s="1"/>
  <c r="U155" i="3" s="1"/>
  <c r="U156" i="3" s="1"/>
  <c r="C154" i="2"/>
  <c r="C155" i="2" s="1"/>
  <c r="C156" i="2" s="1"/>
  <c r="C157" i="2" s="1"/>
  <c r="C158" i="2" s="1"/>
  <c r="C159" i="2" s="1"/>
  <c r="C160" i="2" s="1"/>
  <c r="C161" i="2" s="1"/>
  <c r="C162" i="2" s="1"/>
  <c r="C163" i="2" s="1"/>
  <c r="C164" i="2" s="1"/>
  <c r="C165" i="2" s="1"/>
  <c r="C166" i="2" s="1"/>
  <c r="W113" i="2"/>
  <c r="W114" i="2" s="1"/>
  <c r="W115" i="2" s="1"/>
  <c r="W116" i="2" s="1"/>
  <c r="W117" i="2" s="1"/>
  <c r="W118" i="2" s="1"/>
  <c r="W119" i="2" s="1"/>
  <c r="W120" i="2" s="1"/>
  <c r="W121" i="2" s="1"/>
  <c r="BW14" i="1"/>
  <c r="AX13" i="1"/>
  <c r="AH29" i="2"/>
  <c r="AJ29" i="2" s="1"/>
  <c r="AH28" i="2"/>
  <c r="AJ28" i="2" s="1"/>
  <c r="AH27" i="2"/>
  <c r="BG51" i="1"/>
  <c r="BE50" i="1"/>
  <c r="BA50" i="1"/>
  <c r="AL50" i="1"/>
  <c r="AR50" i="1" s="1"/>
  <c r="U157" i="3" l="1"/>
  <c r="U158" i="3" s="1"/>
  <c r="U159" i="3" s="1"/>
  <c r="U160" i="3" s="1"/>
  <c r="U161" i="3" s="1"/>
  <c r="U162" i="3" s="1"/>
  <c r="C167" i="2"/>
  <c r="C168" i="2" s="1"/>
  <c r="C169" i="2" s="1"/>
  <c r="C170" i="2" s="1"/>
  <c r="C171" i="2" s="1"/>
  <c r="C172" i="2" s="1"/>
  <c r="C173" i="2" s="1"/>
  <c r="C174" i="2" s="1"/>
  <c r="W122" i="2"/>
  <c r="W123" i="2" s="1"/>
  <c r="W124" i="2" s="1"/>
  <c r="W125" i="2" s="1"/>
  <c r="W126" i="2" s="1"/>
  <c r="W127" i="2" s="1"/>
  <c r="BW15" i="1"/>
  <c r="AX14" i="1"/>
  <c r="AJ27" i="2"/>
  <c r="AH31" i="2"/>
  <c r="BG50" i="1"/>
  <c r="U163" i="3" l="1"/>
  <c r="U164" i="3" s="1"/>
  <c r="U165" i="3" s="1"/>
  <c r="U166" i="3" s="1"/>
  <c r="U167" i="3" s="1"/>
  <c r="U168" i="3" s="1"/>
  <c r="U169" i="3" s="1"/>
  <c r="U170" i="3" s="1"/>
  <c r="U171" i="3" s="1"/>
  <c r="U172" i="3" s="1"/>
  <c r="U173" i="3" s="1"/>
  <c r="U174" i="3" s="1"/>
  <c r="U175" i="3" s="1"/>
  <c r="U176" i="3" s="1"/>
  <c r="U177" i="3" s="1"/>
  <c r="U178" i="3" s="1"/>
  <c r="C175" i="2"/>
  <c r="C176" i="2" s="1"/>
  <c r="C177" i="2" s="1"/>
  <c r="C178" i="2" s="1"/>
  <c r="C179" i="2" s="1"/>
  <c r="C180" i="2" s="1"/>
  <c r="C181" i="2" s="1"/>
  <c r="C182" i="2" s="1"/>
  <c r="W128" i="2"/>
  <c r="W129" i="2" s="1"/>
  <c r="W130" i="2" s="1"/>
  <c r="W131" i="2" s="1"/>
  <c r="W132" i="2" s="1"/>
  <c r="W133" i="2" s="1"/>
  <c r="W134" i="2" s="1"/>
  <c r="BW16" i="1"/>
  <c r="AX15" i="1"/>
  <c r="AJ31" i="2"/>
  <c r="AH16" i="2" s="1"/>
  <c r="BE49" i="1"/>
  <c r="BA49" i="1"/>
  <c r="AL49" i="1"/>
  <c r="AR49" i="1" s="1"/>
  <c r="U179" i="3" l="1"/>
  <c r="C183" i="2"/>
  <c r="C184" i="2" s="1"/>
  <c r="C185" i="2" s="1"/>
  <c r="C186" i="2" s="1"/>
  <c r="C187" i="2" s="1"/>
  <c r="C188" i="2" s="1"/>
  <c r="C189" i="2" s="1"/>
  <c r="C190" i="2" s="1"/>
  <c r="C191" i="2" s="1"/>
  <c r="C192" i="2" s="1"/>
  <c r="W135" i="2"/>
  <c r="W136" i="2" s="1"/>
  <c r="W137" i="2" s="1"/>
  <c r="W138" i="2" s="1"/>
  <c r="BW17" i="1"/>
  <c r="AX16" i="1"/>
  <c r="BG49" i="1"/>
  <c r="U180" i="3" l="1"/>
  <c r="U181" i="3" s="1"/>
  <c r="U182" i="3" s="1"/>
  <c r="U183" i="3" s="1"/>
  <c r="U184" i="3" s="1"/>
  <c r="U185" i="3" s="1"/>
  <c r="U186" i="3" s="1"/>
  <c r="C193" i="2"/>
  <c r="C194" i="2" s="1"/>
  <c r="C195" i="2" s="1"/>
  <c r="W139" i="2"/>
  <c r="W140" i="2" s="1"/>
  <c r="W141" i="2" s="1"/>
  <c r="W142" i="2" s="1"/>
  <c r="W143" i="2" s="1"/>
  <c r="W144" i="2" s="1"/>
  <c r="W145" i="2" s="1"/>
  <c r="W146" i="2" s="1"/>
  <c r="BW18" i="1"/>
  <c r="AX17" i="1"/>
  <c r="BE48" i="1"/>
  <c r="BA48" i="1"/>
  <c r="BK54" i="1" s="1"/>
  <c r="AL48" i="1"/>
  <c r="AR48" i="1" s="1"/>
  <c r="B335" i="1"/>
  <c r="B338" i="1"/>
  <c r="U187" i="3" l="1"/>
  <c r="U188" i="3" s="1"/>
  <c r="U189" i="3" s="1"/>
  <c r="U190" i="3" s="1"/>
  <c r="U191" i="3" s="1"/>
  <c r="U192" i="3" s="1"/>
  <c r="U193" i="3" s="1"/>
  <c r="U194" i="3" s="1"/>
  <c r="U195" i="3" s="1"/>
  <c r="C196" i="2"/>
  <c r="C197" i="2" s="1"/>
  <c r="C198" i="2" s="1"/>
  <c r="C199" i="2" s="1"/>
  <c r="C200" i="2" s="1"/>
  <c r="C201" i="2" s="1"/>
  <c r="W147" i="2"/>
  <c r="W148" i="2" s="1"/>
  <c r="BM54" i="1"/>
  <c r="BW19" i="1"/>
  <c r="AX18" i="1"/>
  <c r="BG48" i="1"/>
  <c r="BE47" i="1"/>
  <c r="BA47" i="1"/>
  <c r="AL47" i="1"/>
  <c r="AR47" i="1" s="1"/>
  <c r="U196" i="3" l="1"/>
  <c r="U197" i="3" s="1"/>
  <c r="U198" i="3" s="1"/>
  <c r="U199" i="3" s="1"/>
  <c r="U200" i="3" s="1"/>
  <c r="C202" i="2"/>
  <c r="C203" i="2" s="1"/>
  <c r="C204" i="2" s="1"/>
  <c r="C205" i="2" s="1"/>
  <c r="C206" i="2" s="1"/>
  <c r="W149" i="2"/>
  <c r="BW20" i="1"/>
  <c r="AX19" i="1"/>
  <c r="BG47" i="1"/>
  <c r="BE46" i="1"/>
  <c r="BA46" i="1"/>
  <c r="AL46" i="1"/>
  <c r="AR46" i="1" s="1"/>
  <c r="U201" i="3" l="1"/>
  <c r="U202" i="3" s="1"/>
  <c r="U203" i="3" s="1"/>
  <c r="U204" i="3" s="1"/>
  <c r="U205" i="3" s="1"/>
  <c r="C207" i="2"/>
  <c r="C208" i="2" s="1"/>
  <c r="C209" i="2" s="1"/>
  <c r="C210" i="2" s="1"/>
  <c r="C211" i="2" s="1"/>
  <c r="C212" i="2" s="1"/>
  <c r="C213" i="2" s="1"/>
  <c r="C214" i="2" s="1"/>
  <c r="C215" i="2" s="1"/>
  <c r="C216" i="2" s="1"/>
  <c r="C217" i="2" s="1"/>
  <c r="C218" i="2" s="1"/>
  <c r="C219" i="2" s="1"/>
  <c r="C220" i="2" s="1"/>
  <c r="C221" i="2" s="1"/>
  <c r="C222" i="2" s="1"/>
  <c r="W150" i="2"/>
  <c r="W151" i="2" s="1"/>
  <c r="BW21" i="1"/>
  <c r="AX20" i="1"/>
  <c r="BG46" i="1"/>
  <c r="BE45" i="1"/>
  <c r="BA45" i="1"/>
  <c r="AL45" i="1"/>
  <c r="AR45" i="1" s="1"/>
  <c r="U206" i="3" l="1"/>
  <c r="U207" i="3" s="1"/>
  <c r="U208" i="3" s="1"/>
  <c r="U209" i="3" s="1"/>
  <c r="U210" i="3" s="1"/>
  <c r="U211" i="3" s="1"/>
  <c r="U212" i="3" s="1"/>
  <c r="U225" i="3" s="1"/>
  <c r="C223" i="2"/>
  <c r="C224" i="2" s="1"/>
  <c r="C225" i="2" s="1"/>
  <c r="C226" i="2" s="1"/>
  <c r="C227" i="2" s="1"/>
  <c r="W152" i="2"/>
  <c r="W153" i="2" s="1"/>
  <c r="BW22" i="1"/>
  <c r="AX21" i="1"/>
  <c r="BG45" i="1"/>
  <c r="C228" i="2" l="1"/>
  <c r="C229" i="2" s="1"/>
  <c r="C230" i="2" s="1"/>
  <c r="C231" i="2" s="1"/>
  <c r="C232" i="2" s="1"/>
  <c r="C233" i="2" s="1"/>
  <c r="C234" i="2" s="1"/>
  <c r="W154" i="2"/>
  <c r="W155" i="2" s="1"/>
  <c r="BW23" i="1"/>
  <c r="AX22" i="1"/>
  <c r="BE44" i="1"/>
  <c r="BA44" i="1"/>
  <c r="AL44" i="1"/>
  <c r="AR44" i="1" s="1"/>
  <c r="C235" i="2" l="1"/>
  <c r="C236" i="2" s="1"/>
  <c r="C237" i="2" s="1"/>
  <c r="C238" i="2" s="1"/>
  <c r="C239" i="2" s="1"/>
  <c r="C240" i="2" s="1"/>
  <c r="C241" i="2" s="1"/>
  <c r="C242" i="2" s="1"/>
  <c r="C243" i="2" s="1"/>
  <c r="W156" i="2"/>
  <c r="W157" i="2" s="1"/>
  <c r="W158" i="2" s="1"/>
  <c r="W159" i="2" s="1"/>
  <c r="W160" i="2" s="1"/>
  <c r="W161" i="2" s="1"/>
  <c r="BW24" i="1"/>
  <c r="AX23" i="1"/>
  <c r="BG44" i="1"/>
  <c r="BA43" i="1"/>
  <c r="AL43" i="1"/>
  <c r="AR43" i="1" s="1"/>
  <c r="C244" i="2" l="1"/>
  <c r="C245" i="2" s="1"/>
  <c r="C246" i="2" s="1"/>
  <c r="C247" i="2" s="1"/>
  <c r="C248" i="2" s="1"/>
  <c r="C249" i="2" s="1"/>
  <c r="C250" i="2" s="1"/>
  <c r="C251" i="2" s="1"/>
  <c r="C252" i="2" s="1"/>
  <c r="W162" i="2"/>
  <c r="W163" i="2" s="1"/>
  <c r="W164" i="2" s="1"/>
  <c r="BW25" i="1"/>
  <c r="AX24" i="1"/>
  <c r="BE43" i="1"/>
  <c r="BG43" i="1" s="1"/>
  <c r="C253" i="2" l="1"/>
  <c r="C254" i="2" s="1"/>
  <c r="C255" i="2" s="1"/>
  <c r="C256" i="2" s="1"/>
  <c r="C257" i="2" s="1"/>
  <c r="C258" i="2" s="1"/>
  <c r="C259" i="2" s="1"/>
  <c r="C272" i="2" s="1"/>
  <c r="W165" i="2"/>
  <c r="W166" i="2" s="1"/>
  <c r="BW26" i="1"/>
  <c r="AX25" i="1"/>
  <c r="BE42" i="1"/>
  <c r="BA42" i="1"/>
  <c r="AL42" i="1"/>
  <c r="AR42" i="1" s="1"/>
  <c r="W167" i="2" l="1"/>
  <c r="W168" i="2" s="1"/>
  <c r="W169" i="2" s="1"/>
  <c r="W170" i="2" s="1"/>
  <c r="W171" i="2" s="1"/>
  <c r="W172" i="2" s="1"/>
  <c r="W173" i="2" s="1"/>
  <c r="W174" i="2" s="1"/>
  <c r="W175" i="2" s="1"/>
  <c r="W176" i="2" s="1"/>
  <c r="W177" i="2" s="1"/>
  <c r="W178" i="2" s="1"/>
  <c r="W179" i="2" s="1"/>
  <c r="W180" i="2" s="1"/>
  <c r="W181" i="2" s="1"/>
  <c r="W182" i="2" s="1"/>
  <c r="BW27" i="1"/>
  <c r="AX26" i="1"/>
  <c r="BG42" i="1"/>
  <c r="W183" i="2" l="1"/>
  <c r="BW28" i="1"/>
  <c r="AX27" i="1"/>
  <c r="BE41" i="1"/>
  <c r="BA41" i="1"/>
  <c r="BK47" i="1" s="1"/>
  <c r="BM47" i="1" s="1"/>
  <c r="AL41" i="1"/>
  <c r="AR41" i="1" s="1"/>
  <c r="W184" i="2" l="1"/>
  <c r="W185" i="2" s="1"/>
  <c r="W186" i="2" s="1"/>
  <c r="W187" i="2" s="1"/>
  <c r="W188" i="2" s="1"/>
  <c r="W189" i="2" s="1"/>
  <c r="W190" i="2" s="1"/>
  <c r="W191" i="2" s="1"/>
  <c r="W192" i="2" s="1"/>
  <c r="BW29" i="1"/>
  <c r="AX28" i="1"/>
  <c r="BG41" i="1"/>
  <c r="W193" i="2" l="1"/>
  <c r="BW30" i="1"/>
  <c r="AX29" i="1"/>
  <c r="BE40" i="1"/>
  <c r="BA40" i="1"/>
  <c r="AL40" i="1"/>
  <c r="AR40" i="1" s="1"/>
  <c r="BE39" i="1"/>
  <c r="BA39" i="1"/>
  <c r="AL39" i="1"/>
  <c r="AR39" i="1" s="1"/>
  <c r="W194" i="2" l="1"/>
  <c r="W195" i="2" s="1"/>
  <c r="BW31" i="1"/>
  <c r="AX30" i="1"/>
  <c r="BG40" i="1"/>
  <c r="W196" i="2" l="1"/>
  <c r="BW32" i="1"/>
  <c r="AX31" i="1"/>
  <c r="BE38" i="1"/>
  <c r="BA38" i="1"/>
  <c r="AL38" i="1"/>
  <c r="AR38" i="1" s="1"/>
  <c r="W197" i="2" l="1"/>
  <c r="W198" i="2" s="1"/>
  <c r="W199" i="2" s="1"/>
  <c r="W200" i="2" s="1"/>
  <c r="W201" i="2" s="1"/>
  <c r="W202" i="2" s="1"/>
  <c r="W203" i="2" s="1"/>
  <c r="W204" i="2" s="1"/>
  <c r="W205" i="2" s="1"/>
  <c r="W206" i="2" s="1"/>
  <c r="BW33" i="1"/>
  <c r="AX32" i="1"/>
  <c r="BE37" i="1"/>
  <c r="BA37" i="1"/>
  <c r="AL37" i="1"/>
  <c r="AR37" i="1" s="1"/>
  <c r="BE36" i="1"/>
  <c r="BA36" i="1"/>
  <c r="AL36" i="1"/>
  <c r="AR36" i="1" s="1"/>
  <c r="W207" i="2" l="1"/>
  <c r="W208" i="2" s="1"/>
  <c r="W209" i="2" s="1"/>
  <c r="W210" i="2" s="1"/>
  <c r="W211" i="2" s="1"/>
  <c r="W212" i="2" s="1"/>
  <c r="W213" i="2" s="1"/>
  <c r="W214" i="2" s="1"/>
  <c r="W215" i="2" s="1"/>
  <c r="BW34" i="1"/>
  <c r="AX33" i="1"/>
  <c r="BE35" i="1"/>
  <c r="BA35" i="1"/>
  <c r="AL35" i="1"/>
  <c r="AR35" i="1" s="1"/>
  <c r="W216" i="2" l="1"/>
  <c r="W217" i="2" s="1"/>
  <c r="W218" i="2" s="1"/>
  <c r="W219" i="2" s="1"/>
  <c r="W220" i="2" s="1"/>
  <c r="W221" i="2" s="1"/>
  <c r="W222" i="2" s="1"/>
  <c r="BW35" i="1"/>
  <c r="AX34" i="1"/>
  <c r="BE34" i="1"/>
  <c r="BA34" i="1"/>
  <c r="BK40" i="1" s="1"/>
  <c r="BM40" i="1" s="1"/>
  <c r="AL34" i="1"/>
  <c r="AR34" i="1" s="1"/>
  <c r="W223" i="2" l="1"/>
  <c r="BW36" i="1"/>
  <c r="AX35" i="1"/>
  <c r="BE33" i="1"/>
  <c r="BA33" i="1"/>
  <c r="AL33" i="1"/>
  <c r="AR33" i="1" s="1"/>
  <c r="BE32" i="1"/>
  <c r="BA32" i="1"/>
  <c r="AL32" i="1"/>
  <c r="AR32" i="1" s="1"/>
  <c r="W224" i="2" l="1"/>
  <c r="BW37" i="1"/>
  <c r="AX36" i="1"/>
  <c r="BE31" i="1"/>
  <c r="BA31" i="1"/>
  <c r="AL31" i="1"/>
  <c r="AR31" i="1" s="1"/>
  <c r="W225" i="2" l="1"/>
  <c r="W226" i="2" s="1"/>
  <c r="W227" i="2" s="1"/>
  <c r="BW38" i="1"/>
  <c r="AX37" i="1"/>
  <c r="W29" i="1"/>
  <c r="AG33" i="1" s="1"/>
  <c r="W228" i="2" l="1"/>
  <c r="W229" i="2" s="1"/>
  <c r="AI40" i="1"/>
  <c r="BW39" i="1"/>
  <c r="AX38" i="1"/>
  <c r="BE30" i="1"/>
  <c r="BA30" i="1"/>
  <c r="AL30" i="1"/>
  <c r="AR30" i="1" s="1"/>
  <c r="BA29" i="1"/>
  <c r="BE29" i="1"/>
  <c r="AL29" i="1"/>
  <c r="AR29" i="1" s="1"/>
  <c r="W230" i="2" l="1"/>
  <c r="W231" i="2" s="1"/>
  <c r="W232" i="2" s="1"/>
  <c r="W233" i="2" s="1"/>
  <c r="W234" i="2" s="1"/>
  <c r="BW40" i="1"/>
  <c r="BN40" i="1" s="1"/>
  <c r="AX39" i="1"/>
  <c r="BE28" i="1"/>
  <c r="BA28" i="1"/>
  <c r="AL28" i="1"/>
  <c r="AR28" i="1" s="1"/>
  <c r="W235" i="2" l="1"/>
  <c r="W236" i="2" s="1"/>
  <c r="BW41" i="1"/>
  <c r="BN41" i="1" s="1"/>
  <c r="AX40" i="1"/>
  <c r="BE27" i="1"/>
  <c r="AL27" i="1"/>
  <c r="AR27" i="1" s="1"/>
  <c r="BE26" i="1"/>
  <c r="AL26" i="1"/>
  <c r="AR26" i="1" s="1"/>
  <c r="W237" i="2" l="1"/>
  <c r="W238" i="2" s="1"/>
  <c r="W239" i="2" s="1"/>
  <c r="W240" i="2" s="1"/>
  <c r="W241" i="2" s="1"/>
  <c r="W242" i="2" s="1"/>
  <c r="W243" i="2" s="1"/>
  <c r="BW42" i="1"/>
  <c r="BN42" i="1" s="1"/>
  <c r="AX41" i="1"/>
  <c r="W23" i="1"/>
  <c r="W22" i="1"/>
  <c r="AH51" i="1" s="1"/>
  <c r="W21" i="1"/>
  <c r="W20" i="1"/>
  <c r="W17" i="1"/>
  <c r="W13" i="1"/>
  <c r="W12" i="1"/>
  <c r="W10" i="1"/>
  <c r="W244" i="2" l="1"/>
  <c r="AG26" i="1"/>
  <c r="AI33" i="1" s="1"/>
  <c r="AR289" i="1"/>
  <c r="BW43" i="1"/>
  <c r="BN43" i="1" s="1"/>
  <c r="AX42" i="1"/>
  <c r="BE24" i="1"/>
  <c r="BC24" i="1"/>
  <c r="W245" i="2" l="1"/>
  <c r="W246" i="2" s="1"/>
  <c r="W247" i="2" s="1"/>
  <c r="W248" i="2" s="1"/>
  <c r="W249" i="2" s="1"/>
  <c r="W250" i="2" s="1"/>
  <c r="W251" i="2" s="1"/>
  <c r="W252" i="2" s="1"/>
  <c r="AR297" i="1"/>
  <c r="AR299" i="1" s="1"/>
  <c r="AV299" i="1" s="1"/>
  <c r="BW44" i="1"/>
  <c r="BN44" i="1" s="1"/>
  <c r="AX43" i="1"/>
  <c r="BP24" i="1"/>
  <c r="AL25" i="1"/>
  <c r="AR25" i="1" s="1"/>
  <c r="BE25" i="1"/>
  <c r="BC25" i="1"/>
  <c r="BC26" i="1" s="1"/>
  <c r="BA27" i="1" s="1"/>
  <c r="BK51" i="1" s="1"/>
  <c r="W253" i="2" l="1"/>
  <c r="BW45" i="1"/>
  <c r="BN45" i="1" s="1"/>
  <c r="AX44" i="1"/>
  <c r="BP25" i="1"/>
  <c r="BR24" i="1"/>
  <c r="AL24" i="1"/>
  <c r="AR24" i="1" s="1"/>
  <c r="D23" i="1"/>
  <c r="AL23" i="1"/>
  <c r="AR23" i="1" s="1"/>
  <c r="W254" i="2" l="1"/>
  <c r="W255" i="2" s="1"/>
  <c r="W256" i="2" s="1"/>
  <c r="W257" i="2" s="1"/>
  <c r="W258" i="2" s="1"/>
  <c r="W259" i="2" s="1"/>
  <c r="W270" i="2" s="1"/>
  <c r="W271" i="2" s="1"/>
  <c r="W272" i="2" s="1"/>
  <c r="Q26" i="1"/>
  <c r="S33" i="1" s="1"/>
  <c r="AH50" i="1"/>
  <c r="BW46" i="1"/>
  <c r="BN46" i="1" s="1"/>
  <c r="AX45" i="1"/>
  <c r="BR25" i="1"/>
  <c r="BP26" i="1"/>
  <c r="AP289" i="1" l="1"/>
  <c r="AV289" i="1" s="1"/>
  <c r="AH49" i="1"/>
  <c r="BW47" i="1"/>
  <c r="BN47" i="1" s="1"/>
  <c r="AX46" i="1"/>
  <c r="BR26" i="1"/>
  <c r="BP27" i="1"/>
  <c r="AL22" i="1"/>
  <c r="AR22" i="1" s="1"/>
  <c r="BW48" i="1" l="1"/>
  <c r="BN48" i="1" s="1"/>
  <c r="AX47" i="1"/>
  <c r="BR27" i="1"/>
  <c r="BP28" i="1"/>
  <c r="BW49" i="1" l="1"/>
  <c r="BN49" i="1" s="1"/>
  <c r="AX48" i="1"/>
  <c r="BR28" i="1"/>
  <c r="BP29" i="1"/>
  <c r="AL21" i="1"/>
  <c r="AR21" i="1" s="1"/>
  <c r="BW50" i="1" l="1"/>
  <c r="BN50" i="1" s="1"/>
  <c r="AX49" i="1"/>
  <c r="BR29" i="1"/>
  <c r="BP30" i="1"/>
  <c r="AL20" i="1"/>
  <c r="AR20" i="1" s="1"/>
  <c r="AL19" i="1"/>
  <c r="AR19" i="1" s="1"/>
  <c r="AL18" i="1"/>
  <c r="AR18" i="1" s="1"/>
  <c r="BW51" i="1" l="1"/>
  <c r="BN51" i="1" s="1"/>
  <c r="AX50" i="1"/>
  <c r="BR30" i="1"/>
  <c r="BP31" i="1"/>
  <c r="AL17" i="1"/>
  <c r="BW52" i="1" l="1"/>
  <c r="BN52" i="1" s="1"/>
  <c r="AX51" i="1"/>
  <c r="BR31" i="1"/>
  <c r="BP32" i="1"/>
  <c r="AR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AL16" i="1"/>
  <c r="AR16" i="1" s="1"/>
  <c r="AL15" i="1"/>
  <c r="AR15" i="1" s="1"/>
  <c r="AL14" i="1"/>
  <c r="AR14" i="1" s="1"/>
  <c r="AL13" i="1"/>
  <c r="AR13" i="1" s="1"/>
  <c r="AL12" i="1"/>
  <c r="AR12" i="1" s="1"/>
  <c r="AL11" i="1"/>
  <c r="AA9" i="1"/>
  <c r="AA10" i="1" s="1"/>
  <c r="AE10" i="1" s="1"/>
  <c r="H9" i="1"/>
  <c r="B103" i="1" l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W53" i="1"/>
  <c r="BN53" i="1" s="1"/>
  <c r="AX52" i="1"/>
  <c r="BR32" i="1"/>
  <c r="BP33" i="1"/>
  <c r="H10" i="1"/>
  <c r="J10" i="1"/>
  <c r="AA11" i="1"/>
  <c r="AE11" i="1" s="1"/>
  <c r="B151" i="1" l="1"/>
  <c r="B152" i="1" s="1"/>
  <c r="B153" i="1" s="1"/>
  <c r="B154" i="1" s="1"/>
  <c r="B155" i="1" s="1"/>
  <c r="BW54" i="1"/>
  <c r="BN54" i="1" s="1"/>
  <c r="AX53" i="1"/>
  <c r="J11" i="1"/>
  <c r="O10" i="1"/>
  <c r="BR33" i="1"/>
  <c r="BP34" i="1"/>
  <c r="H11" i="1"/>
  <c r="AC10" i="1"/>
  <c r="AA12" i="1"/>
  <c r="AE12" i="1" s="1"/>
  <c r="B156" i="1" l="1"/>
  <c r="B157" i="1" s="1"/>
  <c r="B158" i="1" s="1"/>
  <c r="B159" i="1" s="1"/>
  <c r="B160" i="1" s="1"/>
  <c r="B161" i="1" s="1"/>
  <c r="B162" i="1" s="1"/>
  <c r="BW55" i="1"/>
  <c r="BN55" i="1" s="1"/>
  <c r="AX54" i="1"/>
  <c r="AC11" i="1"/>
  <c r="O11" i="1"/>
  <c r="J12" i="1"/>
  <c r="H12" i="1"/>
  <c r="AC12" i="1" s="1"/>
  <c r="BR34" i="1"/>
  <c r="BP35" i="1"/>
  <c r="AA13" i="1"/>
  <c r="AE13" i="1" s="1"/>
  <c r="B163" i="1" l="1"/>
  <c r="B164" i="1" s="1"/>
  <c r="B165" i="1" s="1"/>
  <c r="B166" i="1" s="1"/>
  <c r="B167" i="1" s="1"/>
  <c r="B168" i="1" s="1"/>
  <c r="BW56" i="1"/>
  <c r="BN56" i="1" s="1"/>
  <c r="AX55" i="1"/>
  <c r="AV12" i="1"/>
  <c r="O12" i="1"/>
  <c r="J13" i="1"/>
  <c r="H13" i="1"/>
  <c r="BR35" i="1"/>
  <c r="BP36" i="1"/>
  <c r="AA14" i="1"/>
  <c r="AE14" i="1" s="1"/>
  <c r="B169" i="1" l="1"/>
  <c r="B170" i="1" s="1"/>
  <c r="B171" i="1" s="1"/>
  <c r="B172" i="1" s="1"/>
  <c r="B173" i="1" s="1"/>
  <c r="BW57" i="1"/>
  <c r="BN57" i="1" s="1"/>
  <c r="AX56" i="1"/>
  <c r="AV13" i="1"/>
  <c r="O13" i="1"/>
  <c r="J14" i="1"/>
  <c r="H14" i="1"/>
  <c r="AC13" i="1"/>
  <c r="BR36" i="1"/>
  <c r="BP37" i="1"/>
  <c r="AA15" i="1"/>
  <c r="AE15" i="1" s="1"/>
  <c r="B174" i="1" l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W58" i="1"/>
  <c r="BN58" i="1" s="1"/>
  <c r="AX57" i="1"/>
  <c r="AV14" i="1"/>
  <c r="O14" i="1"/>
  <c r="J15" i="1"/>
  <c r="H15" i="1"/>
  <c r="O15" i="1" s="1"/>
  <c r="AC14" i="1"/>
  <c r="BR37" i="1"/>
  <c r="BP38" i="1"/>
  <c r="AA16" i="1"/>
  <c r="AE16" i="1" s="1"/>
  <c r="B187" i="1" l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AV15" i="1"/>
  <c r="BW59" i="1"/>
  <c r="BN59" i="1" s="1"/>
  <c r="AX58" i="1"/>
  <c r="J16" i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O17" i="1" s="1"/>
  <c r="AC15" i="1"/>
  <c r="BR38" i="1"/>
  <c r="BP39" i="1"/>
  <c r="AA17" i="1"/>
  <c r="AE17" i="1" s="1"/>
  <c r="B206" i="1" l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W60" i="1"/>
  <c r="AX59" i="1"/>
  <c r="AC16" i="1"/>
  <c r="AV16" i="1"/>
  <c r="J17" i="1"/>
  <c r="F14" i="7"/>
  <c r="O16" i="1"/>
  <c r="BR39" i="1"/>
  <c r="BP40" i="1"/>
  <c r="J18" i="1"/>
  <c r="H18" i="1"/>
  <c r="O18" i="1" s="1"/>
  <c r="AA18" i="1"/>
  <c r="AE18" i="1" s="1"/>
  <c r="AC17" i="1"/>
  <c r="AV17" i="1"/>
  <c r="B234" i="1" l="1"/>
  <c r="B235" i="1" s="1"/>
  <c r="B236" i="1" s="1"/>
  <c r="B237" i="1" s="1"/>
  <c r="B238" i="1" s="1"/>
  <c r="B239" i="1" s="1"/>
  <c r="B240" i="1" s="1"/>
  <c r="B241" i="1" s="1"/>
  <c r="B242" i="1" s="1"/>
  <c r="BW61" i="1"/>
  <c r="BW62" i="1" s="1"/>
  <c r="BN60" i="1"/>
  <c r="AX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R40" i="1"/>
  <c r="BP41" i="1"/>
  <c r="AA19" i="1"/>
  <c r="AE19" i="1" s="1"/>
  <c r="AC18" i="1"/>
  <c r="AV18" i="1"/>
  <c r="J19" i="1"/>
  <c r="H19" i="1"/>
  <c r="O19" i="1" s="1"/>
  <c r="B243" i="1" l="1"/>
  <c r="B244" i="1" s="1"/>
  <c r="B245" i="1" s="1"/>
  <c r="B246" i="1" s="1"/>
  <c r="BW63" i="1"/>
  <c r="BW64" i="1" s="1"/>
  <c r="BN62" i="1"/>
  <c r="AX62" i="1"/>
  <c r="AX61" i="1"/>
  <c r="BN61" i="1"/>
  <c r="AA20" i="1"/>
  <c r="BR41" i="1"/>
  <c r="BP42" i="1"/>
  <c r="H20" i="1"/>
  <c r="O20" i="1" s="1"/>
  <c r="J20" i="1"/>
  <c r="AV19" i="1"/>
  <c r="AC19" i="1"/>
  <c r="B247" i="1" l="1"/>
  <c r="B248" i="1" s="1"/>
  <c r="B249" i="1" s="1"/>
  <c r="B250" i="1" s="1"/>
  <c r="B251" i="1" s="1"/>
  <c r="AX64" i="1"/>
  <c r="BW65" i="1"/>
  <c r="BN64" i="1"/>
  <c r="AX63" i="1"/>
  <c r="BN63" i="1"/>
  <c r="AA21" i="1"/>
  <c r="AE21" i="1" s="1"/>
  <c r="AE20" i="1"/>
  <c r="BR42" i="1"/>
  <c r="BP43" i="1"/>
  <c r="AC20" i="1"/>
  <c r="AV20" i="1"/>
  <c r="J21" i="1"/>
  <c r="H21" i="1"/>
  <c r="O21" i="1" s="1"/>
  <c r="B252" i="1" l="1"/>
  <c r="B253" i="1" s="1"/>
  <c r="B254" i="1" s="1"/>
  <c r="B255" i="1" s="1"/>
  <c r="B256" i="1" s="1"/>
  <c r="B257" i="1" s="1"/>
  <c r="B258" i="1" s="1"/>
  <c r="B272" i="1" s="1"/>
  <c r="BW66" i="1"/>
  <c r="BW67" i="1" s="1"/>
  <c r="AX65" i="1"/>
  <c r="BN65" i="1"/>
  <c r="AA22" i="1"/>
  <c r="AE22" i="1" s="1"/>
  <c r="AC21" i="1"/>
  <c r="BR43" i="1"/>
  <c r="BP44" i="1"/>
  <c r="J22" i="1"/>
  <c r="H22" i="1"/>
  <c r="O22" i="1" s="1"/>
  <c r="AV21" i="1"/>
  <c r="AA23" i="1" l="1"/>
  <c r="AE23" i="1"/>
  <c r="AA24" i="1"/>
  <c r="BW68" i="1"/>
  <c r="AX67" i="1"/>
  <c r="BN67" i="1"/>
  <c r="BN66" i="1"/>
  <c r="AX66" i="1"/>
  <c r="AC22" i="1"/>
  <c r="BR44" i="1"/>
  <c r="BP45" i="1"/>
  <c r="AV22" i="1"/>
  <c r="J23" i="1"/>
  <c r="H23" i="1"/>
  <c r="O23" i="1" s="1"/>
  <c r="BW69" i="1" l="1"/>
  <c r="BN68" i="1"/>
  <c r="AX68" i="1"/>
  <c r="AA25" i="1"/>
  <c r="AE25" i="1" s="1"/>
  <c r="AE24" i="1"/>
  <c r="H24" i="1"/>
  <c r="O24" i="1" s="1"/>
  <c r="BR45" i="1"/>
  <c r="BP46" i="1"/>
  <c r="J24" i="1"/>
  <c r="AC23" i="1"/>
  <c r="AV23" i="1"/>
  <c r="BW70" i="1" l="1"/>
  <c r="BW71" i="1" s="1"/>
  <c r="BN69" i="1"/>
  <c r="AX69" i="1"/>
  <c r="AA26" i="1"/>
  <c r="AA27" i="1" s="1"/>
  <c r="AE27" i="1" s="1"/>
  <c r="BR46" i="1"/>
  <c r="BP47" i="1"/>
  <c r="AV24" i="1"/>
  <c r="J25" i="1"/>
  <c r="H25" i="1"/>
  <c r="O25" i="1" s="1"/>
  <c r="AC24" i="1"/>
  <c r="BW72" i="1" l="1"/>
  <c r="BN71" i="1"/>
  <c r="AX71" i="1"/>
  <c r="BN70" i="1"/>
  <c r="AX70" i="1"/>
  <c r="AE26" i="1"/>
  <c r="AA28" i="1"/>
  <c r="AE28" i="1" s="1"/>
  <c r="BR47" i="1"/>
  <c r="BP48" i="1"/>
  <c r="H26" i="1"/>
  <c r="J26" i="1"/>
  <c r="AV25" i="1"/>
  <c r="AC25" i="1"/>
  <c r="BW73" i="1" l="1"/>
  <c r="BN72" i="1"/>
  <c r="AX72" i="1"/>
  <c r="O26" i="1"/>
  <c r="AA29" i="1"/>
  <c r="AE29" i="1" s="1"/>
  <c r="BR48" i="1"/>
  <c r="BP49" i="1"/>
  <c r="H27" i="1"/>
  <c r="O27" i="1" s="1"/>
  <c r="J27" i="1"/>
  <c r="AV26" i="1"/>
  <c r="AC26" i="1"/>
  <c r="BW74" i="1" l="1"/>
  <c r="AX73" i="1"/>
  <c r="BN73" i="1"/>
  <c r="AA30" i="1"/>
  <c r="AE30" i="1" s="1"/>
  <c r="BR49" i="1"/>
  <c r="BP50" i="1"/>
  <c r="J28" i="1"/>
  <c r="H28" i="1"/>
  <c r="O28" i="1" s="1"/>
  <c r="AV27" i="1"/>
  <c r="AC27" i="1"/>
  <c r="BW75" i="1" l="1"/>
  <c r="BW76" i="1" s="1"/>
  <c r="AX74" i="1"/>
  <c r="BN74" i="1"/>
  <c r="AA31" i="1"/>
  <c r="AE31" i="1" s="1"/>
  <c r="BR50" i="1"/>
  <c r="BP51" i="1"/>
  <c r="H29" i="1"/>
  <c r="O29" i="1" s="1"/>
  <c r="J29" i="1"/>
  <c r="AV28" i="1"/>
  <c r="AC28" i="1"/>
  <c r="BW77" i="1" l="1"/>
  <c r="BN76" i="1"/>
  <c r="AX76" i="1"/>
  <c r="AX75" i="1"/>
  <c r="BN75" i="1"/>
  <c r="AA32" i="1"/>
  <c r="AE32" i="1" s="1"/>
  <c r="BR51" i="1"/>
  <c r="BP52" i="1"/>
  <c r="H30" i="1"/>
  <c r="O30" i="1" s="1"/>
  <c r="J30" i="1"/>
  <c r="AV29" i="1"/>
  <c r="AC29" i="1"/>
  <c r="AA33" i="1" l="1"/>
  <c r="AE33" i="1" s="1"/>
  <c r="BW78" i="1"/>
  <c r="BW79" i="1" s="1"/>
  <c r="AX77" i="1"/>
  <c r="BN77" i="1"/>
  <c r="BR52" i="1"/>
  <c r="BP53" i="1"/>
  <c r="AA34" i="1"/>
  <c r="AA35" i="1" s="1"/>
  <c r="H31" i="1"/>
  <c r="J31" i="1"/>
  <c r="AV30" i="1"/>
  <c r="AC30" i="1"/>
  <c r="AE34" i="1" l="1"/>
  <c r="BW80" i="1"/>
  <c r="BN79" i="1"/>
  <c r="AX79" i="1"/>
  <c r="BN78" i="1"/>
  <c r="AX78" i="1"/>
  <c r="J32" i="1"/>
  <c r="O31" i="1"/>
  <c r="BR53" i="1"/>
  <c r="BP54" i="1"/>
  <c r="H32" i="1"/>
  <c r="AC31" i="1"/>
  <c r="AV31" i="1"/>
  <c r="AE35" i="1"/>
  <c r="BW81" i="1" l="1"/>
  <c r="BN80" i="1"/>
  <c r="AX80" i="1"/>
  <c r="J33" i="1"/>
  <c r="O32" i="1"/>
  <c r="H33" i="1"/>
  <c r="BR54" i="1"/>
  <c r="BP55" i="1"/>
  <c r="AV32" i="1"/>
  <c r="AC32" i="1"/>
  <c r="AA36" i="1"/>
  <c r="AE36" i="1" s="1"/>
  <c r="BW82" i="1" l="1"/>
  <c r="BN81" i="1"/>
  <c r="AX81" i="1"/>
  <c r="O33" i="1"/>
  <c r="AC33" i="1"/>
  <c r="AV33" i="1"/>
  <c r="H34" i="1"/>
  <c r="H35" i="1" s="1"/>
  <c r="BR55" i="1"/>
  <c r="BP56" i="1"/>
  <c r="J34" i="1"/>
  <c r="AA37" i="1"/>
  <c r="AE37" i="1" s="1"/>
  <c r="O34" i="1" l="1"/>
  <c r="BW83" i="1"/>
  <c r="BW84" i="1" s="1"/>
  <c r="BN82" i="1"/>
  <c r="AX82" i="1"/>
  <c r="AC34" i="1"/>
  <c r="J35" i="1"/>
  <c r="O35" i="1"/>
  <c r="AV34" i="1"/>
  <c r="BR56" i="1"/>
  <c r="BP57" i="1"/>
  <c r="AA38" i="1"/>
  <c r="AE38" i="1" s="1"/>
  <c r="J36" i="1" l="1"/>
  <c r="BW85" i="1"/>
  <c r="BN84" i="1"/>
  <c r="AX84" i="1"/>
  <c r="BN83" i="1"/>
  <c r="AX83" i="1"/>
  <c r="H36" i="1"/>
  <c r="O36" i="1" s="1"/>
  <c r="AC35" i="1"/>
  <c r="AV35" i="1"/>
  <c r="BR57" i="1"/>
  <c r="BP58" i="1"/>
  <c r="AA39" i="1"/>
  <c r="AE39" i="1" s="1"/>
  <c r="BW86" i="1" l="1"/>
  <c r="BW87" i="1" s="1"/>
  <c r="BN85" i="1"/>
  <c r="AX85" i="1"/>
  <c r="J37" i="1"/>
  <c r="H37" i="1"/>
  <c r="O37" i="1" s="1"/>
  <c r="AV36" i="1"/>
  <c r="AC36" i="1"/>
  <c r="BR58" i="1"/>
  <c r="BP59" i="1"/>
  <c r="AA40" i="1"/>
  <c r="AE40" i="1" s="1"/>
  <c r="BW88" i="1" l="1"/>
  <c r="BN87" i="1"/>
  <c r="AX87" i="1"/>
  <c r="AC37" i="1"/>
  <c r="AX86" i="1"/>
  <c r="BN86" i="1"/>
  <c r="AV37" i="1"/>
  <c r="H38" i="1"/>
  <c r="O38" i="1" s="1"/>
  <c r="J38" i="1"/>
  <c r="BR59" i="1"/>
  <c r="BP60" i="1"/>
  <c r="AA41" i="1"/>
  <c r="AE41" i="1" s="1"/>
  <c r="BW89" i="1" l="1"/>
  <c r="AX88" i="1"/>
  <c r="BN88" i="1"/>
  <c r="AC38" i="1"/>
  <c r="AV38" i="1"/>
  <c r="J39" i="1"/>
  <c r="H39" i="1"/>
  <c r="O39" i="1" s="1"/>
  <c r="BR60" i="1"/>
  <c r="BP61" i="1"/>
  <c r="AA42" i="1"/>
  <c r="AE42" i="1" s="1"/>
  <c r="BW90" i="1" l="1"/>
  <c r="BW91" i="1" s="1"/>
  <c r="AX89" i="1"/>
  <c r="BN89" i="1"/>
  <c r="H40" i="1"/>
  <c r="J41" i="1" s="1"/>
  <c r="AC39" i="1"/>
  <c r="AV39" i="1"/>
  <c r="J40" i="1"/>
  <c r="O40" i="1"/>
  <c r="BR61" i="1"/>
  <c r="BP62" i="1"/>
  <c r="AA43" i="1"/>
  <c r="AE43" i="1" s="1"/>
  <c r="AC40" i="1" l="1"/>
  <c r="AV40" i="1"/>
  <c r="H41" i="1"/>
  <c r="O41" i="1" s="1"/>
  <c r="BW92" i="1"/>
  <c r="BN91" i="1"/>
  <c r="AX91" i="1"/>
  <c r="BN90" i="1"/>
  <c r="AX90" i="1"/>
  <c r="BR62" i="1"/>
  <c r="BP63" i="1"/>
  <c r="AA44" i="1"/>
  <c r="AE44" i="1" s="1"/>
  <c r="J42" i="1"/>
  <c r="H42" i="1"/>
  <c r="O42" i="1" s="1"/>
  <c r="AV41" i="1"/>
  <c r="AC41" i="1"/>
  <c r="BW93" i="1" l="1"/>
  <c r="BN92" i="1"/>
  <c r="AX92" i="1"/>
  <c r="BP64" i="1"/>
  <c r="BR63" i="1"/>
  <c r="AA45" i="1"/>
  <c r="AE45" i="1" s="1"/>
  <c r="J43" i="1"/>
  <c r="H43" i="1"/>
  <c r="O43" i="1" s="1"/>
  <c r="AV42" i="1"/>
  <c r="AC42" i="1"/>
  <c r="BW94" i="1" l="1"/>
  <c r="BN93" i="1"/>
  <c r="AX93" i="1"/>
  <c r="BP65" i="1"/>
  <c r="BR64" i="1"/>
  <c r="AA46" i="1"/>
  <c r="AE46" i="1" s="1"/>
  <c r="J44" i="1"/>
  <c r="H44" i="1"/>
  <c r="AV43" i="1"/>
  <c r="AC43" i="1"/>
  <c r="BW95" i="1" l="1"/>
  <c r="BW96" i="1" s="1"/>
  <c r="AX94" i="1"/>
  <c r="BN94" i="1"/>
  <c r="BP66" i="1"/>
  <c r="BR65" i="1"/>
  <c r="O44" i="1"/>
  <c r="AA47" i="1"/>
  <c r="AE47" i="1" s="1"/>
  <c r="AV44" i="1"/>
  <c r="J45" i="1"/>
  <c r="AC44" i="1"/>
  <c r="H45" i="1"/>
  <c r="O45" i="1" l="1"/>
  <c r="H46" i="1"/>
  <c r="BW97" i="1"/>
  <c r="BN96" i="1"/>
  <c r="AX96" i="1"/>
  <c r="BN95" i="1"/>
  <c r="AX95" i="1"/>
  <c r="BP67" i="1"/>
  <c r="BR66" i="1"/>
  <c r="AA48" i="1"/>
  <c r="AE48" i="1" s="1"/>
  <c r="J46" i="1"/>
  <c r="AV45" i="1"/>
  <c r="AC45" i="1"/>
  <c r="BN97" i="1" l="1"/>
  <c r="AX97" i="1"/>
  <c r="BW98" i="1"/>
  <c r="BP68" i="1"/>
  <c r="BP69" i="1" s="1"/>
  <c r="BR67" i="1"/>
  <c r="J47" i="1"/>
  <c r="O46" i="1"/>
  <c r="H47" i="1"/>
  <c r="AA49" i="1"/>
  <c r="AE49" i="1" s="1"/>
  <c r="AV46" i="1"/>
  <c r="AC46" i="1"/>
  <c r="BW99" i="1" l="1"/>
  <c r="BW100" i="1" s="1"/>
  <c r="BN98" i="1"/>
  <c r="AX98" i="1"/>
  <c r="BR69" i="1"/>
  <c r="BP70" i="1"/>
  <c r="BR68" i="1"/>
  <c r="AV47" i="1"/>
  <c r="O47" i="1"/>
  <c r="AC47" i="1"/>
  <c r="H48" i="1"/>
  <c r="AV48" i="1" s="1"/>
  <c r="J48" i="1"/>
  <c r="AA50" i="1"/>
  <c r="AE50" i="1" s="1"/>
  <c r="BW101" i="1" l="1"/>
  <c r="BN100" i="1"/>
  <c r="AX100" i="1"/>
  <c r="BN99" i="1"/>
  <c r="AX99" i="1"/>
  <c r="BR70" i="1"/>
  <c r="BP71" i="1"/>
  <c r="AC48" i="1"/>
  <c r="J49" i="1"/>
  <c r="O48" i="1"/>
  <c r="H49" i="1"/>
  <c r="H50" i="1" s="1"/>
  <c r="O50" i="1" s="1"/>
  <c r="AA51" i="1"/>
  <c r="BW102" i="1" l="1"/>
  <c r="AX101" i="1"/>
  <c r="BN101" i="1"/>
  <c r="AV49" i="1"/>
  <c r="AC49" i="1"/>
  <c r="BR71" i="1"/>
  <c r="BP72" i="1"/>
  <c r="BP73" i="1" s="1"/>
  <c r="O49" i="1"/>
  <c r="J50" i="1"/>
  <c r="AA52" i="1"/>
  <c r="AE51" i="1"/>
  <c r="J51" i="1"/>
  <c r="H51" i="1"/>
  <c r="AV50" i="1"/>
  <c r="AC50" i="1"/>
  <c r="BW103" i="1" l="1"/>
  <c r="AX102" i="1"/>
  <c r="BN102" i="1"/>
  <c r="BR73" i="1"/>
  <c r="BP74" i="1"/>
  <c r="BR72" i="1"/>
  <c r="O51" i="1"/>
  <c r="AA53" i="1"/>
  <c r="AE52" i="1"/>
  <c r="H52" i="1"/>
  <c r="O52" i="1" s="1"/>
  <c r="J52" i="1"/>
  <c r="AC51" i="1"/>
  <c r="AV51" i="1"/>
  <c r="BW104" i="1" l="1"/>
  <c r="AX103" i="1"/>
  <c r="BN103" i="1"/>
  <c r="BR74" i="1"/>
  <c r="BP75" i="1"/>
  <c r="AA54" i="1"/>
  <c r="AE53" i="1"/>
  <c r="AV52" i="1"/>
  <c r="H53" i="1"/>
  <c r="J53" i="1"/>
  <c r="AC52" i="1"/>
  <c r="BW105" i="1" l="1"/>
  <c r="BN104" i="1"/>
  <c r="AX104" i="1"/>
  <c r="BP76" i="1"/>
  <c r="BR75" i="1"/>
  <c r="O53" i="1"/>
  <c r="AE54" i="1"/>
  <c r="AA55" i="1"/>
  <c r="AV53" i="1"/>
  <c r="H54" i="1"/>
  <c r="J54" i="1"/>
  <c r="AC53" i="1"/>
  <c r="BW106" i="1" l="1"/>
  <c r="BN105" i="1"/>
  <c r="AX105" i="1"/>
  <c r="BR76" i="1"/>
  <c r="BP77" i="1"/>
  <c r="H55" i="1"/>
  <c r="J55" i="1"/>
  <c r="O54" i="1"/>
  <c r="AE55" i="1"/>
  <c r="AA56" i="1"/>
  <c r="AV54" i="1"/>
  <c r="AC54" i="1"/>
  <c r="BN106" i="1" l="1"/>
  <c r="AX106" i="1"/>
  <c r="BW107" i="1"/>
  <c r="BR77" i="1"/>
  <c r="BP78" i="1"/>
  <c r="BP79" i="1" s="1"/>
  <c r="O55" i="1"/>
  <c r="AE56" i="1"/>
  <c r="AA57" i="1"/>
  <c r="J56" i="1"/>
  <c r="H56" i="1"/>
  <c r="AV55" i="1"/>
  <c r="AC55" i="1"/>
  <c r="BW108" i="1" l="1"/>
  <c r="BW109" i="1" s="1"/>
  <c r="AX107" i="1"/>
  <c r="BN107" i="1"/>
  <c r="BR79" i="1"/>
  <c r="BP80" i="1"/>
  <c r="BR78" i="1"/>
  <c r="O56" i="1"/>
  <c r="H57" i="1"/>
  <c r="AC57" i="1" s="1"/>
  <c r="J57" i="1"/>
  <c r="AE57" i="1"/>
  <c r="AA58" i="1"/>
  <c r="AV56" i="1"/>
  <c r="AC56" i="1"/>
  <c r="BW110" i="1" l="1"/>
  <c r="BN109" i="1"/>
  <c r="AX109" i="1"/>
  <c r="AX108" i="1"/>
  <c r="BN108" i="1"/>
  <c r="BR80" i="1"/>
  <c r="BP81" i="1"/>
  <c r="AE58" i="1"/>
  <c r="AA59" i="1"/>
  <c r="AA60" i="1" s="1"/>
  <c r="AV57" i="1"/>
  <c r="O57" i="1"/>
  <c r="J58" i="1"/>
  <c r="H58" i="1"/>
  <c r="AC58" i="1" s="1"/>
  <c r="BW111" i="1" l="1"/>
  <c r="AX110" i="1"/>
  <c r="BN110" i="1"/>
  <c r="BR81" i="1"/>
  <c r="BP82" i="1"/>
  <c r="AA61" i="1"/>
  <c r="AE60" i="1"/>
  <c r="AE59" i="1"/>
  <c r="AV58" i="1"/>
  <c r="J59" i="1"/>
  <c r="H59" i="1"/>
  <c r="O58" i="1"/>
  <c r="BW112" i="1" l="1"/>
  <c r="AX111" i="1"/>
  <c r="BN111" i="1"/>
  <c r="BP83" i="1"/>
  <c r="BP84" i="1" s="1"/>
  <c r="BR82" i="1"/>
  <c r="AA62" i="1"/>
  <c r="AE61" i="1"/>
  <c r="J60" i="1"/>
  <c r="H60" i="1"/>
  <c r="AV59" i="1"/>
  <c r="O59" i="1"/>
  <c r="AC59" i="1"/>
  <c r="AA12" i="3"/>
  <c r="AA13" i="3"/>
  <c r="BW113" i="1" l="1"/>
  <c r="BW114" i="1" s="1"/>
  <c r="BN112" i="1"/>
  <c r="AX112" i="1"/>
  <c r="BR84" i="1"/>
  <c r="BP85" i="1"/>
  <c r="BP86" i="1" s="1"/>
  <c r="BP87" i="1" s="1"/>
  <c r="BR83" i="1"/>
  <c r="AE62" i="1"/>
  <c r="AA63" i="1"/>
  <c r="J61" i="1"/>
  <c r="H61" i="1"/>
  <c r="AV60" i="1"/>
  <c r="O60" i="1"/>
  <c r="AC60" i="1"/>
  <c r="BW115" i="1" l="1"/>
  <c r="BN114" i="1"/>
  <c r="AX114" i="1"/>
  <c r="BN113" i="1"/>
  <c r="AX113" i="1"/>
  <c r="BR87" i="1"/>
  <c r="BP88" i="1"/>
  <c r="BR86" i="1"/>
  <c r="BR85" i="1"/>
  <c r="AA64" i="1"/>
  <c r="AA65" i="1" s="1"/>
  <c r="H62" i="1"/>
  <c r="J62" i="1"/>
  <c r="AE63" i="1"/>
  <c r="AV61" i="1"/>
  <c r="O61" i="1"/>
  <c r="AC61" i="1"/>
  <c r="BW116" i="1" l="1"/>
  <c r="AX115" i="1"/>
  <c r="BN115" i="1"/>
  <c r="BP89" i="1"/>
  <c r="BR88" i="1"/>
  <c r="AE65" i="1"/>
  <c r="AA66" i="1"/>
  <c r="AE64" i="1"/>
  <c r="AV62" i="1"/>
  <c r="H63" i="1"/>
  <c r="J63" i="1"/>
  <c r="O62" i="1"/>
  <c r="AC62" i="1"/>
  <c r="BW117" i="1" l="1"/>
  <c r="AX116" i="1"/>
  <c r="BN116" i="1"/>
  <c r="BR89" i="1"/>
  <c r="BP90" i="1"/>
  <c r="BP91" i="1" s="1"/>
  <c r="AA67" i="1"/>
  <c r="AE66" i="1"/>
  <c r="J64" i="1"/>
  <c r="H64" i="1"/>
  <c r="AV63" i="1"/>
  <c r="O63" i="1"/>
  <c r="AC63" i="1"/>
  <c r="AA17" i="3"/>
  <c r="AA18" i="3"/>
  <c r="AA15" i="3"/>
  <c r="AA16" i="3"/>
  <c r="AA14" i="3"/>
  <c r="BW118" i="1" l="1"/>
  <c r="AX117" i="1"/>
  <c r="BN117" i="1"/>
  <c r="BR91" i="1"/>
  <c r="BP92" i="1"/>
  <c r="BR90" i="1"/>
  <c r="AA68" i="1"/>
  <c r="AA69" i="1" s="1"/>
  <c r="AE67" i="1"/>
  <c r="H65" i="1"/>
  <c r="J65" i="1"/>
  <c r="AV64" i="1"/>
  <c r="O64" i="1"/>
  <c r="AC64" i="1"/>
  <c r="BW119" i="1" l="1"/>
  <c r="BN118" i="1"/>
  <c r="AX118" i="1"/>
  <c r="BR92" i="1"/>
  <c r="BP93" i="1"/>
  <c r="AA70" i="1"/>
  <c r="AA71" i="1" s="1"/>
  <c r="AE69" i="1"/>
  <c r="AE68" i="1"/>
  <c r="AC65" i="1"/>
  <c r="J66" i="1"/>
  <c r="H66" i="1"/>
  <c r="AV65" i="1"/>
  <c r="O65" i="1"/>
  <c r="BW120" i="1" l="1"/>
  <c r="BN119" i="1"/>
  <c r="AX119" i="1"/>
  <c r="BR93" i="1"/>
  <c r="BP94" i="1"/>
  <c r="AA72" i="1"/>
  <c r="AE71" i="1"/>
  <c r="AE70" i="1"/>
  <c r="J67" i="1"/>
  <c r="H67" i="1"/>
  <c r="AV66" i="1"/>
  <c r="O66" i="1"/>
  <c r="AC66" i="1"/>
  <c r="AA20" i="3"/>
  <c r="AA19" i="3"/>
  <c r="BW121" i="1" l="1"/>
  <c r="BW122" i="1" s="1"/>
  <c r="AX120" i="1"/>
  <c r="BN120" i="1"/>
  <c r="BP95" i="1"/>
  <c r="BP96" i="1" s="1"/>
  <c r="BR94" i="1"/>
  <c r="AA73" i="1"/>
  <c r="AE72" i="1"/>
  <c r="H68" i="1"/>
  <c r="J68" i="1"/>
  <c r="AV67" i="1"/>
  <c r="O67" i="1"/>
  <c r="AC67" i="1"/>
  <c r="AX122" i="1" l="1"/>
  <c r="BW123" i="1"/>
  <c r="BN122" i="1"/>
  <c r="BN121" i="1"/>
  <c r="AX121" i="1"/>
  <c r="BR96" i="1"/>
  <c r="BP97" i="1"/>
  <c r="BR95" i="1"/>
  <c r="AA74" i="1"/>
  <c r="AE73" i="1"/>
  <c r="J69" i="1"/>
  <c r="H69" i="1"/>
  <c r="AV68" i="1"/>
  <c r="O68" i="1"/>
  <c r="AC68" i="1"/>
  <c r="BW124" i="1" l="1"/>
  <c r="BN123" i="1"/>
  <c r="AX123" i="1"/>
  <c r="BP98" i="1"/>
  <c r="BR97" i="1"/>
  <c r="AA75" i="1"/>
  <c r="AE74" i="1"/>
  <c r="J70" i="1"/>
  <c r="H70" i="1"/>
  <c r="AV69" i="1"/>
  <c r="AC69" i="1"/>
  <c r="O69" i="1"/>
  <c r="AA22" i="3"/>
  <c r="AA21" i="3"/>
  <c r="BW125" i="1" l="1"/>
  <c r="AX124" i="1"/>
  <c r="BN124" i="1"/>
  <c r="BP99" i="1"/>
  <c r="BP100" i="1" s="1"/>
  <c r="BR98" i="1"/>
  <c r="AA76" i="1"/>
  <c r="AE75" i="1"/>
  <c r="H71" i="1"/>
  <c r="J71" i="1"/>
  <c r="O70" i="1"/>
  <c r="AV70" i="1"/>
  <c r="AC70" i="1"/>
  <c r="BW126" i="1" l="1"/>
  <c r="BN125" i="1"/>
  <c r="AX125" i="1"/>
  <c r="BR100" i="1"/>
  <c r="BP101" i="1"/>
  <c r="BR99" i="1"/>
  <c r="AA77" i="1"/>
  <c r="AE76" i="1"/>
  <c r="AV71" i="1"/>
  <c r="H72" i="1"/>
  <c r="AC71" i="1"/>
  <c r="O71" i="1"/>
  <c r="J72" i="1"/>
  <c r="AA24" i="3"/>
  <c r="AA23" i="3"/>
  <c r="BW127" i="1" l="1"/>
  <c r="AX126" i="1"/>
  <c r="BN126" i="1"/>
  <c r="BP102" i="1"/>
  <c r="BR101" i="1"/>
  <c r="AE77" i="1"/>
  <c r="AA78" i="1"/>
  <c r="AA79" i="1" s="1"/>
  <c r="J73" i="1"/>
  <c r="H73" i="1"/>
  <c r="AV72" i="1"/>
  <c r="AC72" i="1"/>
  <c r="O72" i="1"/>
  <c r="BW128" i="1" l="1"/>
  <c r="BW129" i="1" s="1"/>
  <c r="AX127" i="1"/>
  <c r="BN127" i="1"/>
  <c r="BP103" i="1"/>
  <c r="BR102" i="1"/>
  <c r="AE79" i="1"/>
  <c r="AA80" i="1"/>
  <c r="AE78" i="1"/>
  <c r="J74" i="1"/>
  <c r="H74" i="1"/>
  <c r="AV73" i="1"/>
  <c r="AC73" i="1"/>
  <c r="O73" i="1"/>
  <c r="AA26" i="3"/>
  <c r="AA25" i="3"/>
  <c r="BN129" i="1" l="1"/>
  <c r="BW130" i="1"/>
  <c r="AX129" i="1"/>
  <c r="AX128" i="1"/>
  <c r="BN128" i="1"/>
  <c r="BR103" i="1"/>
  <c r="BP104" i="1"/>
  <c r="AE80" i="1"/>
  <c r="AA81" i="1"/>
  <c r="AV74" i="1"/>
  <c r="J75" i="1"/>
  <c r="H75" i="1"/>
  <c r="AC74" i="1"/>
  <c r="O74" i="1"/>
  <c r="BW131" i="1" l="1"/>
  <c r="BN130" i="1"/>
  <c r="AX130" i="1"/>
  <c r="BP105" i="1"/>
  <c r="BR104" i="1"/>
  <c r="AE81" i="1"/>
  <c r="AA82" i="1"/>
  <c r="AA83" i="1" s="1"/>
  <c r="AA84" i="1" s="1"/>
  <c r="AV75" i="1"/>
  <c r="J76" i="1"/>
  <c r="H76" i="1"/>
  <c r="AC75" i="1"/>
  <c r="O75" i="1"/>
  <c r="AA30" i="3"/>
  <c r="AA31" i="3"/>
  <c r="AA28" i="3"/>
  <c r="AA29" i="3"/>
  <c r="BW132" i="1" l="1"/>
  <c r="BN131" i="1"/>
  <c r="AX131" i="1"/>
  <c r="BP106" i="1"/>
  <c r="BR105" i="1"/>
  <c r="AE84" i="1"/>
  <c r="AA85" i="1"/>
  <c r="AA86" i="1" s="1"/>
  <c r="AA87" i="1" s="1"/>
  <c r="AE83" i="1"/>
  <c r="AE82" i="1"/>
  <c r="AV76" i="1"/>
  <c r="J77" i="1"/>
  <c r="H77" i="1"/>
  <c r="O76" i="1"/>
  <c r="AC76" i="1"/>
  <c r="AA27" i="3"/>
  <c r="BW133" i="1" l="1"/>
  <c r="BN132" i="1"/>
  <c r="AX132" i="1"/>
  <c r="BR106" i="1"/>
  <c r="BP107" i="1"/>
  <c r="AE87" i="1"/>
  <c r="AA88" i="1"/>
  <c r="AE86" i="1"/>
  <c r="AE85" i="1"/>
  <c r="H78" i="1"/>
  <c r="J78" i="1"/>
  <c r="O77" i="1"/>
  <c r="AV77" i="1"/>
  <c r="AC77" i="1"/>
  <c r="BW134" i="1" l="1"/>
  <c r="BN133" i="1"/>
  <c r="AX133" i="1"/>
  <c r="BP108" i="1"/>
  <c r="BP109" i="1" s="1"/>
  <c r="BR107" i="1"/>
  <c r="AA89" i="1"/>
  <c r="AE88" i="1"/>
  <c r="J79" i="1"/>
  <c r="H79" i="1"/>
  <c r="AV78" i="1"/>
  <c r="O78" i="1"/>
  <c r="AC78" i="1"/>
  <c r="BN134" i="1" l="1"/>
  <c r="BW135" i="1"/>
  <c r="AX134" i="1"/>
  <c r="BR109" i="1"/>
  <c r="BP110" i="1"/>
  <c r="BR108" i="1"/>
  <c r="AE89" i="1"/>
  <c r="AA90" i="1"/>
  <c r="AA91" i="1" s="1"/>
  <c r="O79" i="1"/>
  <c r="J80" i="1"/>
  <c r="H80" i="1"/>
  <c r="AC79" i="1"/>
  <c r="AV79" i="1"/>
  <c r="AA32" i="3"/>
  <c r="BN135" i="1" l="1"/>
  <c r="BW136" i="1"/>
  <c r="AX135" i="1"/>
  <c r="BP111" i="1"/>
  <c r="BP112" i="1" s="1"/>
  <c r="BR110" i="1"/>
  <c r="AA92" i="1"/>
  <c r="AE91" i="1"/>
  <c r="AE90" i="1"/>
  <c r="H81" i="1"/>
  <c r="J81" i="1"/>
  <c r="AV80" i="1"/>
  <c r="O80" i="1"/>
  <c r="AC80" i="1"/>
  <c r="BN136" i="1" l="1"/>
  <c r="AX136" i="1"/>
  <c r="BW137" i="1"/>
  <c r="BR112" i="1"/>
  <c r="BP113" i="1"/>
  <c r="BP114" i="1" s="1"/>
  <c r="BP115" i="1" s="1"/>
  <c r="BR111" i="1"/>
  <c r="AA93" i="1"/>
  <c r="AA94" i="1" s="1"/>
  <c r="AE92" i="1"/>
  <c r="O81" i="1"/>
  <c r="H82" i="1"/>
  <c r="J82" i="1"/>
  <c r="AC81" i="1"/>
  <c r="AV81" i="1"/>
  <c r="AA36" i="3"/>
  <c r="AA34" i="3"/>
  <c r="AA35" i="3"/>
  <c r="AA33" i="3"/>
  <c r="BW138" i="1" l="1"/>
  <c r="BW139" i="1" s="1"/>
  <c r="BW140" i="1" s="1"/>
  <c r="BN137" i="1"/>
  <c r="AX137" i="1"/>
  <c r="BP116" i="1"/>
  <c r="BR115" i="1"/>
  <c r="BR114" i="1"/>
  <c r="BR113" i="1"/>
  <c r="AA95" i="1"/>
  <c r="AA96" i="1" s="1"/>
  <c r="AE94" i="1"/>
  <c r="AE93" i="1"/>
  <c r="J83" i="1"/>
  <c r="H83" i="1"/>
  <c r="AV82" i="1"/>
  <c r="O82" i="1"/>
  <c r="AC82" i="1"/>
  <c r="BW141" i="1" l="1"/>
  <c r="BN140" i="1"/>
  <c r="AX140" i="1"/>
  <c r="BN139" i="1"/>
  <c r="AX139" i="1"/>
  <c r="AX138" i="1"/>
  <c r="BN138" i="1"/>
  <c r="BR116" i="1"/>
  <c r="BP117" i="1"/>
  <c r="AA97" i="1"/>
  <c r="AE96" i="1"/>
  <c r="AE95" i="1"/>
  <c r="J84" i="1"/>
  <c r="H84" i="1"/>
  <c r="AV83" i="1"/>
  <c r="O83" i="1"/>
  <c r="AC83" i="1"/>
  <c r="AX141" i="1" l="1"/>
  <c r="BW142" i="1"/>
  <c r="BN141" i="1"/>
  <c r="BR117" i="1"/>
  <c r="BP118" i="1"/>
  <c r="AE97" i="1"/>
  <c r="AA98" i="1"/>
  <c r="AV84" i="1"/>
  <c r="J85" i="1"/>
  <c r="H85" i="1"/>
  <c r="O84" i="1"/>
  <c r="AC84" i="1"/>
  <c r="AX142" i="1" l="1"/>
  <c r="BN142" i="1"/>
  <c r="BW143" i="1"/>
  <c r="BP119" i="1"/>
  <c r="BP120" i="1" s="1"/>
  <c r="BR118" i="1"/>
  <c r="AA99" i="1"/>
  <c r="AA100" i="1" s="1"/>
  <c r="AE98" i="1"/>
  <c r="H86" i="1"/>
  <c r="J86" i="1"/>
  <c r="AV85" i="1"/>
  <c r="O85" i="1"/>
  <c r="AC85" i="1"/>
  <c r="AA39" i="3"/>
  <c r="AA38" i="3"/>
  <c r="AA37" i="3"/>
  <c r="BW144" i="1" l="1"/>
  <c r="AX143" i="1"/>
  <c r="BN143" i="1"/>
  <c r="BP121" i="1"/>
  <c r="BP122" i="1" s="1"/>
  <c r="BR120" i="1"/>
  <c r="BR119" i="1"/>
  <c r="AE100" i="1"/>
  <c r="AA101" i="1"/>
  <c r="AE99" i="1"/>
  <c r="J87" i="1"/>
  <c r="H87" i="1"/>
  <c r="AV86" i="1"/>
  <c r="O86" i="1"/>
  <c r="AC86" i="1"/>
  <c r="BW145" i="1" l="1"/>
  <c r="BW146" i="1" s="1"/>
  <c r="BN144" i="1"/>
  <c r="AX144" i="1"/>
  <c r="BR122" i="1"/>
  <c r="BP123" i="1"/>
  <c r="BR121" i="1"/>
  <c r="AE101" i="1"/>
  <c r="AA102" i="1"/>
  <c r="AV87" i="1"/>
  <c r="J88" i="1"/>
  <c r="H88" i="1"/>
  <c r="O87" i="1"/>
  <c r="AC87" i="1"/>
  <c r="AX146" i="1" l="1"/>
  <c r="BW147" i="1"/>
  <c r="BN146" i="1"/>
  <c r="AX145" i="1"/>
  <c r="BN145" i="1"/>
  <c r="BR123" i="1"/>
  <c r="BP124" i="1"/>
  <c r="AA103" i="1"/>
  <c r="AE102" i="1"/>
  <c r="AV88" i="1"/>
  <c r="J89" i="1"/>
  <c r="H89" i="1"/>
  <c r="O88" i="1"/>
  <c r="AC88" i="1"/>
  <c r="AA45" i="3"/>
  <c r="AA43" i="3"/>
  <c r="AA44" i="3"/>
  <c r="AA41" i="3"/>
  <c r="AA42" i="3"/>
  <c r="AA40" i="3"/>
  <c r="AX147" i="1" l="1"/>
  <c r="BN147" i="1"/>
  <c r="BW148" i="1"/>
  <c r="BP125" i="1"/>
  <c r="BR124" i="1"/>
  <c r="AE103" i="1"/>
  <c r="AA104" i="1"/>
  <c r="J90" i="1"/>
  <c r="H90" i="1"/>
  <c r="O89" i="1"/>
  <c r="AV89" i="1"/>
  <c r="AC89" i="1"/>
  <c r="BW149" i="1" l="1"/>
  <c r="AX148" i="1"/>
  <c r="BN148" i="1"/>
  <c r="BR125" i="1"/>
  <c r="BP126" i="1"/>
  <c r="AE104" i="1"/>
  <c r="AA105" i="1"/>
  <c r="J91" i="1"/>
  <c r="H91" i="1"/>
  <c r="AV90" i="1"/>
  <c r="O90" i="1"/>
  <c r="AC90" i="1"/>
  <c r="BW150" i="1" l="1"/>
  <c r="BW151" i="1" s="1"/>
  <c r="BN149" i="1"/>
  <c r="AX149" i="1"/>
  <c r="BR126" i="1"/>
  <c r="BP127" i="1"/>
  <c r="AA106" i="1"/>
  <c r="AE105" i="1"/>
  <c r="O91" i="1"/>
  <c r="H92" i="1"/>
  <c r="J92" i="1"/>
  <c r="AV91" i="1"/>
  <c r="AC91" i="1"/>
  <c r="BN151" i="1" l="1"/>
  <c r="BW152" i="1"/>
  <c r="AX151" i="1"/>
  <c r="AX150" i="1"/>
  <c r="BN150" i="1"/>
  <c r="BP128" i="1"/>
  <c r="BP129" i="1" s="1"/>
  <c r="BP130" i="1" s="1"/>
  <c r="BR127" i="1"/>
  <c r="AA107" i="1"/>
  <c r="AA108" i="1" s="1"/>
  <c r="AA109" i="1" s="1"/>
  <c r="AE106" i="1"/>
  <c r="Y245" i="3"/>
  <c r="Y246" i="3" s="1"/>
  <c r="O92" i="1"/>
  <c r="H93" i="1"/>
  <c r="J93" i="1"/>
  <c r="AC92" i="1"/>
  <c r="AV92" i="1"/>
  <c r="BW153" i="1" l="1"/>
  <c r="BW154" i="1" s="1"/>
  <c r="BN152" i="1"/>
  <c r="AX152" i="1"/>
  <c r="BP131" i="1"/>
  <c r="BR130" i="1"/>
  <c r="BR129" i="1"/>
  <c r="BR128" i="1"/>
  <c r="AA110" i="1"/>
  <c r="AE109" i="1"/>
  <c r="AE108" i="1"/>
  <c r="AE107" i="1"/>
  <c r="H94" i="1"/>
  <c r="J94" i="1"/>
  <c r="O93" i="1"/>
  <c r="AV93" i="1"/>
  <c r="AC93" i="1"/>
  <c r="AA46" i="3"/>
  <c r="BN154" i="1" l="1"/>
  <c r="BW155" i="1"/>
  <c r="BW156" i="1" s="1"/>
  <c r="AX154" i="1"/>
  <c r="BN153" i="1"/>
  <c r="AX153" i="1"/>
  <c r="BP132" i="1"/>
  <c r="BP133" i="1" s="1"/>
  <c r="BR131" i="1"/>
  <c r="AA111" i="1"/>
  <c r="AA112" i="1" s="1"/>
  <c r="AE110" i="1"/>
  <c r="H95" i="1"/>
  <c r="J95" i="1"/>
  <c r="O94" i="1"/>
  <c r="AV94" i="1"/>
  <c r="AC94" i="1"/>
  <c r="BW157" i="1" l="1"/>
  <c r="BN156" i="1"/>
  <c r="AX156" i="1"/>
  <c r="BN155" i="1"/>
  <c r="AX155" i="1"/>
  <c r="BR133" i="1"/>
  <c r="BP134" i="1"/>
  <c r="BR132" i="1"/>
  <c r="AA113" i="1"/>
  <c r="AA114" i="1" s="1"/>
  <c r="AE112" i="1"/>
  <c r="AE111" i="1"/>
  <c r="J96" i="1"/>
  <c r="H96" i="1"/>
  <c r="O95" i="1"/>
  <c r="AV95" i="1"/>
  <c r="AC95" i="1"/>
  <c r="AA48" i="3"/>
  <c r="AA49" i="3"/>
  <c r="AA47" i="3"/>
  <c r="BW158" i="1" l="1"/>
  <c r="BN157" i="1"/>
  <c r="AX157" i="1"/>
  <c r="BR134" i="1"/>
  <c r="BP135" i="1"/>
  <c r="AA115" i="1"/>
  <c r="AE114" i="1"/>
  <c r="AE113" i="1"/>
  <c r="AV96" i="1"/>
  <c r="H97" i="1"/>
  <c r="J97" i="1"/>
  <c r="O96" i="1"/>
  <c r="AC96" i="1"/>
  <c r="AX158" i="1" l="1"/>
  <c r="BN158" i="1"/>
  <c r="BW159" i="1"/>
  <c r="BR135" i="1"/>
  <c r="BP136" i="1"/>
  <c r="AA116" i="1"/>
  <c r="AE115" i="1"/>
  <c r="O97" i="1"/>
  <c r="H98" i="1"/>
  <c r="J98" i="1"/>
  <c r="AV97" i="1"/>
  <c r="AC97" i="1"/>
  <c r="BW160" i="1" l="1"/>
  <c r="AX159" i="1"/>
  <c r="BN159" i="1"/>
  <c r="BP137" i="1"/>
  <c r="BR136" i="1"/>
  <c r="AA117" i="1"/>
  <c r="AE116" i="1"/>
  <c r="J99" i="1"/>
  <c r="H99" i="1"/>
  <c r="O98" i="1"/>
  <c r="AV98" i="1"/>
  <c r="AC98" i="1"/>
  <c r="AA53" i="3"/>
  <c r="AA51" i="3"/>
  <c r="AA52" i="3"/>
  <c r="AA50" i="3"/>
  <c r="BN160" i="1" l="1"/>
  <c r="BW161" i="1"/>
  <c r="AX160" i="1"/>
  <c r="BR137" i="1"/>
  <c r="BP138" i="1"/>
  <c r="BP139" i="1" s="1"/>
  <c r="BP140" i="1" s="1"/>
  <c r="AE117" i="1"/>
  <c r="AA118" i="1"/>
  <c r="H100" i="1"/>
  <c r="J100" i="1"/>
  <c r="O99" i="1"/>
  <c r="AV99" i="1"/>
  <c r="AC99" i="1"/>
  <c r="BN161" i="1" l="1"/>
  <c r="AX161" i="1"/>
  <c r="BW162" i="1"/>
  <c r="BW163" i="1" s="1"/>
  <c r="BR140" i="1"/>
  <c r="BP141" i="1"/>
  <c r="BR139" i="1"/>
  <c r="BR138" i="1"/>
  <c r="AE118" i="1"/>
  <c r="AA119" i="1"/>
  <c r="AV100" i="1"/>
  <c r="J101" i="1"/>
  <c r="H101" i="1"/>
  <c r="O100" i="1"/>
  <c r="AC100" i="1"/>
  <c r="BW164" i="1" l="1"/>
  <c r="BN163" i="1"/>
  <c r="AX163" i="1"/>
  <c r="BN162" i="1"/>
  <c r="AX162" i="1"/>
  <c r="BR141" i="1"/>
  <c r="BP142" i="1"/>
  <c r="AA120" i="1"/>
  <c r="AE119" i="1"/>
  <c r="O101" i="1"/>
  <c r="J102" i="1"/>
  <c r="H102" i="1"/>
  <c r="AV101" i="1"/>
  <c r="AC101" i="1"/>
  <c r="AX164" i="1" l="1"/>
  <c r="BN164" i="1"/>
  <c r="BW165" i="1"/>
  <c r="BR142" i="1"/>
  <c r="BP143" i="1"/>
  <c r="AE120" i="1"/>
  <c r="AA121" i="1"/>
  <c r="AA122" i="1" s="1"/>
  <c r="O102" i="1"/>
  <c r="J103" i="1"/>
  <c r="H103" i="1"/>
  <c r="AV102" i="1"/>
  <c r="AC102" i="1"/>
  <c r="AA59" i="3"/>
  <c r="AA60" i="3"/>
  <c r="AA57" i="3"/>
  <c r="AA58" i="3"/>
  <c r="AA55" i="3"/>
  <c r="AA56" i="3"/>
  <c r="AA54" i="3"/>
  <c r="AX165" i="1" l="1"/>
  <c r="BW166" i="1"/>
  <c r="BN165" i="1"/>
  <c r="BR143" i="1"/>
  <c r="BP144" i="1"/>
  <c r="AA123" i="1"/>
  <c r="AE122" i="1"/>
  <c r="AE121" i="1"/>
  <c r="J104" i="1"/>
  <c r="H104" i="1"/>
  <c r="AV103" i="1"/>
  <c r="O103" i="1"/>
  <c r="AC103" i="1"/>
  <c r="AX166" i="1" l="1"/>
  <c r="BN166" i="1"/>
  <c r="BW167" i="1"/>
  <c r="BP145" i="1"/>
  <c r="BP146" i="1" s="1"/>
  <c r="BR144" i="1"/>
  <c r="AE123" i="1"/>
  <c r="AA124" i="1"/>
  <c r="O104" i="1"/>
  <c r="H105" i="1"/>
  <c r="J105" i="1"/>
  <c r="AV104" i="1"/>
  <c r="AC104" i="1"/>
  <c r="BW168" i="1" l="1"/>
  <c r="BW169" i="1" s="1"/>
  <c r="BN167" i="1"/>
  <c r="AX167" i="1"/>
  <c r="BP147" i="1"/>
  <c r="BR146" i="1"/>
  <c r="BR145" i="1"/>
  <c r="AE124" i="1"/>
  <c r="AA125" i="1"/>
  <c r="AA126" i="1" s="1"/>
  <c r="O105" i="1"/>
  <c r="J106" i="1"/>
  <c r="H106" i="1"/>
  <c r="H107" i="1" s="1"/>
  <c r="AV105" i="1"/>
  <c r="AC105" i="1"/>
  <c r="BN169" i="1" l="1"/>
  <c r="AX169" i="1"/>
  <c r="BW170" i="1"/>
  <c r="AX168" i="1"/>
  <c r="BN168" i="1"/>
  <c r="BP148" i="1"/>
  <c r="BR147" i="1"/>
  <c r="AA127" i="1"/>
  <c r="AE126" i="1"/>
  <c r="AE125" i="1"/>
  <c r="AV106" i="1"/>
  <c r="J107" i="1"/>
  <c r="O106" i="1"/>
  <c r="W245" i="3"/>
  <c r="W246" i="3" s="1"/>
  <c r="AC106" i="1"/>
  <c r="BW171" i="1" l="1"/>
  <c r="BN170" i="1"/>
  <c r="AX170" i="1"/>
  <c r="BR148" i="1"/>
  <c r="BP149" i="1"/>
  <c r="BP150" i="1" s="1"/>
  <c r="BP151" i="1" s="1"/>
  <c r="AE127" i="1"/>
  <c r="AA128" i="1"/>
  <c r="AA129" i="1" s="1"/>
  <c r="AA130" i="1" s="1"/>
  <c r="J108" i="1"/>
  <c r="H108" i="1"/>
  <c r="O107" i="1"/>
  <c r="AV107" i="1"/>
  <c r="AC107" i="1"/>
  <c r="BW172" i="1" l="1"/>
  <c r="BN171" i="1"/>
  <c r="AX171" i="1"/>
  <c r="BR151" i="1"/>
  <c r="BP152" i="1"/>
  <c r="BP153" i="1" s="1"/>
  <c r="BP154" i="1" s="1"/>
  <c r="BR150" i="1"/>
  <c r="BR149" i="1"/>
  <c r="AA131" i="1"/>
  <c r="AE130" i="1"/>
  <c r="AE129" i="1"/>
  <c r="AE128" i="1"/>
  <c r="H109" i="1"/>
  <c r="J109" i="1"/>
  <c r="AV108" i="1"/>
  <c r="O108" i="1"/>
  <c r="AC108" i="1"/>
  <c r="BN172" i="1" l="1"/>
  <c r="AX172" i="1"/>
  <c r="BW173" i="1"/>
  <c r="BW174" i="1" s="1"/>
  <c r="BR154" i="1"/>
  <c r="BP155" i="1"/>
  <c r="BP156" i="1" s="1"/>
  <c r="BR153" i="1"/>
  <c r="BR152" i="1"/>
  <c r="AA132" i="1"/>
  <c r="AA133" i="1" s="1"/>
  <c r="AE131" i="1"/>
  <c r="O109" i="1"/>
  <c r="J110" i="1"/>
  <c r="H110" i="1"/>
  <c r="AC109" i="1"/>
  <c r="AV109" i="1"/>
  <c r="BN174" i="1" l="1"/>
  <c r="BW175" i="1"/>
  <c r="AX174" i="1"/>
  <c r="BN173" i="1"/>
  <c r="AX173" i="1"/>
  <c r="BR156" i="1"/>
  <c r="BP157" i="1"/>
  <c r="BR155" i="1"/>
  <c r="AA134" i="1"/>
  <c r="AE133" i="1"/>
  <c r="AE132" i="1"/>
  <c r="O110" i="1"/>
  <c r="J111" i="1"/>
  <c r="H111" i="1"/>
  <c r="AC110" i="1"/>
  <c r="AV110" i="1"/>
  <c r="AA65" i="3"/>
  <c r="AA63" i="3"/>
  <c r="AA64" i="3"/>
  <c r="AA62" i="3"/>
  <c r="BW176" i="1" l="1"/>
  <c r="BN175" i="1"/>
  <c r="AX175" i="1"/>
  <c r="BP158" i="1"/>
  <c r="BR157" i="1"/>
  <c r="AA135" i="1"/>
  <c r="AE134" i="1"/>
  <c r="J112" i="1"/>
  <c r="H112" i="1"/>
  <c r="O111" i="1"/>
  <c r="AC111" i="1"/>
  <c r="AV111" i="1"/>
  <c r="BW177" i="1" l="1"/>
  <c r="AX176" i="1"/>
  <c r="BN176" i="1"/>
  <c r="BP159" i="1"/>
  <c r="BR158" i="1"/>
  <c r="AE135" i="1"/>
  <c r="AA136" i="1"/>
  <c r="AV112" i="1"/>
  <c r="J113" i="1"/>
  <c r="H113" i="1"/>
  <c r="H114" i="1" s="1"/>
  <c r="O112" i="1"/>
  <c r="AC112" i="1"/>
  <c r="BW178" i="1" l="1"/>
  <c r="BN177" i="1"/>
  <c r="AX177" i="1"/>
  <c r="BR159" i="1"/>
  <c r="BP160" i="1"/>
  <c r="AA137" i="1"/>
  <c r="AE136" i="1"/>
  <c r="J114" i="1"/>
  <c r="O113" i="1"/>
  <c r="AV113" i="1"/>
  <c r="AC113" i="1"/>
  <c r="BW179" i="1" l="1"/>
  <c r="AX178" i="1"/>
  <c r="BN178" i="1"/>
  <c r="BP161" i="1"/>
  <c r="BR160" i="1"/>
  <c r="AE137" i="1"/>
  <c r="AA138" i="1"/>
  <c r="AA139" i="1" s="1"/>
  <c r="AA140" i="1" s="1"/>
  <c r="H115" i="1"/>
  <c r="H116" i="1" s="1"/>
  <c r="J115" i="1"/>
  <c r="O114" i="1"/>
  <c r="AV114" i="1"/>
  <c r="AC114" i="1"/>
  <c r="AA67" i="3"/>
  <c r="AA66" i="3"/>
  <c r="BW180" i="1" l="1"/>
  <c r="BN179" i="1"/>
  <c r="AX179" i="1"/>
  <c r="BP162" i="1"/>
  <c r="BP163" i="1" s="1"/>
  <c r="BR161" i="1"/>
  <c r="AE140" i="1"/>
  <c r="AA141" i="1"/>
  <c r="AE139" i="1"/>
  <c r="AE138" i="1"/>
  <c r="O115" i="1"/>
  <c r="J116" i="1"/>
  <c r="AV115" i="1"/>
  <c r="AC115" i="1"/>
  <c r="BW181" i="1" l="1"/>
  <c r="BW182" i="1" s="1"/>
  <c r="BN180" i="1"/>
  <c r="AX180" i="1"/>
  <c r="BP164" i="1"/>
  <c r="BR163" i="1"/>
  <c r="BR162" i="1"/>
  <c r="AE141" i="1"/>
  <c r="AA142" i="1"/>
  <c r="O116" i="1"/>
  <c r="J117" i="1"/>
  <c r="H117" i="1"/>
  <c r="AC116" i="1"/>
  <c r="AV116" i="1"/>
  <c r="AA71" i="3"/>
  <c r="AA72" i="3"/>
  <c r="AA69" i="3"/>
  <c r="AA70" i="3"/>
  <c r="AA68" i="3"/>
  <c r="BN182" i="1" l="1"/>
  <c r="BW183" i="1"/>
  <c r="AX182" i="1"/>
  <c r="BN181" i="1"/>
  <c r="AX181" i="1"/>
  <c r="BP165" i="1"/>
  <c r="BR164" i="1"/>
  <c r="AE142" i="1"/>
  <c r="AA143" i="1"/>
  <c r="AV117" i="1"/>
  <c r="H118" i="1"/>
  <c r="J118" i="1"/>
  <c r="AC117" i="1"/>
  <c r="O117" i="1"/>
  <c r="BW184" i="1" l="1"/>
  <c r="BN183" i="1"/>
  <c r="AX183" i="1"/>
  <c r="BR165" i="1"/>
  <c r="BP166" i="1"/>
  <c r="AE143" i="1"/>
  <c r="AA144" i="1"/>
  <c r="H119" i="1"/>
  <c r="J119" i="1"/>
  <c r="O118" i="1"/>
  <c r="AC118" i="1"/>
  <c r="AV118" i="1"/>
  <c r="BN184" i="1" l="1"/>
  <c r="AX184" i="1"/>
  <c r="BW185" i="1"/>
  <c r="BR166" i="1"/>
  <c r="BP167" i="1"/>
  <c r="BP168" i="1" s="1"/>
  <c r="BP169" i="1" s="1"/>
  <c r="AE144" i="1"/>
  <c r="AA145" i="1"/>
  <c r="AA146" i="1" s="1"/>
  <c r="H120" i="1"/>
  <c r="J120" i="1"/>
  <c r="O119" i="1"/>
  <c r="AV119" i="1"/>
  <c r="AC119" i="1"/>
  <c r="BW186" i="1" l="1"/>
  <c r="AX185" i="1"/>
  <c r="BN185" i="1"/>
  <c r="BR169" i="1"/>
  <c r="BP170" i="1"/>
  <c r="BR168" i="1"/>
  <c r="BR167" i="1"/>
  <c r="AA147" i="1"/>
  <c r="AE146" i="1"/>
  <c r="AE145" i="1"/>
  <c r="O120" i="1"/>
  <c r="J121" i="1"/>
  <c r="H121" i="1"/>
  <c r="AV120" i="1"/>
  <c r="AC120" i="1"/>
  <c r="BW187" i="1" l="1"/>
  <c r="BW188" i="1" s="1"/>
  <c r="AX186" i="1"/>
  <c r="BN186" i="1"/>
  <c r="BR170" i="1"/>
  <c r="BP171" i="1"/>
  <c r="AE147" i="1"/>
  <c r="AA148" i="1"/>
  <c r="J122" i="1"/>
  <c r="H122" i="1"/>
  <c r="O121" i="1"/>
  <c r="AV121" i="1"/>
  <c r="AC121" i="1"/>
  <c r="AA75" i="3"/>
  <c r="AA76" i="3"/>
  <c r="AA73" i="3"/>
  <c r="AA74" i="3"/>
  <c r="BW189" i="1" l="1"/>
  <c r="BN188" i="1"/>
  <c r="AX188" i="1"/>
  <c r="BN187" i="1"/>
  <c r="AX187" i="1"/>
  <c r="BP172" i="1"/>
  <c r="BR171" i="1"/>
  <c r="AE148" i="1"/>
  <c r="AA149" i="1"/>
  <c r="AA150" i="1" s="1"/>
  <c r="AA151" i="1" s="1"/>
  <c r="AV122" i="1"/>
  <c r="J123" i="1"/>
  <c r="H123" i="1"/>
  <c r="O122" i="1"/>
  <c r="AC122" i="1"/>
  <c r="BN189" i="1" l="1"/>
  <c r="AX189" i="1"/>
  <c r="BW190" i="1"/>
  <c r="BR172" i="1"/>
  <c r="BP173" i="1"/>
  <c r="BP174" i="1" s="1"/>
  <c r="AA152" i="1"/>
  <c r="AA153" i="1" s="1"/>
  <c r="AA154" i="1" s="1"/>
  <c r="AE151" i="1"/>
  <c r="AE150" i="1"/>
  <c r="AE149" i="1"/>
  <c r="O123" i="1"/>
  <c r="J124" i="1"/>
  <c r="H124" i="1"/>
  <c r="AV123" i="1"/>
  <c r="AC123" i="1"/>
  <c r="BW191" i="1" l="1"/>
  <c r="AX190" i="1"/>
  <c r="BN190" i="1"/>
  <c r="BR174" i="1"/>
  <c r="BP175" i="1"/>
  <c r="BR173" i="1"/>
  <c r="AA155" i="1"/>
  <c r="AA156" i="1" s="1"/>
  <c r="AE154" i="1"/>
  <c r="AE153" i="1"/>
  <c r="AE152" i="1"/>
  <c r="O124" i="1"/>
  <c r="H125" i="1"/>
  <c r="J125" i="1"/>
  <c r="AV124" i="1"/>
  <c r="AC124" i="1"/>
  <c r="AA78" i="3"/>
  <c r="AA79" i="3"/>
  <c r="AA77" i="3"/>
  <c r="BW192" i="1" l="1"/>
  <c r="BN191" i="1"/>
  <c r="AX191" i="1"/>
  <c r="BR175" i="1"/>
  <c r="BP176" i="1"/>
  <c r="AA157" i="1"/>
  <c r="AE156" i="1"/>
  <c r="AE155" i="1"/>
  <c r="H126" i="1"/>
  <c r="J126" i="1"/>
  <c r="AV125" i="1"/>
  <c r="O125" i="1"/>
  <c r="AC125" i="1"/>
  <c r="BN192" i="1" l="1"/>
  <c r="AX192" i="1"/>
  <c r="BW193" i="1"/>
  <c r="BP177" i="1"/>
  <c r="BR176" i="1"/>
  <c r="AE157" i="1"/>
  <c r="AA158" i="1"/>
  <c r="AC126" i="1"/>
  <c r="J127" i="1"/>
  <c r="H127" i="1"/>
  <c r="O126" i="1"/>
  <c r="AV126" i="1"/>
  <c r="BW194" i="1" l="1"/>
  <c r="BN193" i="1"/>
  <c r="AX193" i="1"/>
  <c r="BR177" i="1"/>
  <c r="BP178" i="1"/>
  <c r="AA159" i="1"/>
  <c r="AE158" i="1"/>
  <c r="AV127" i="1"/>
  <c r="H128" i="1"/>
  <c r="J128" i="1"/>
  <c r="O127" i="1"/>
  <c r="AC127" i="1"/>
  <c r="BW195" i="1" l="1"/>
  <c r="BW196" i="1" s="1"/>
  <c r="BN194" i="1"/>
  <c r="AX194" i="1"/>
  <c r="BR178" i="1"/>
  <c r="BP179" i="1"/>
  <c r="AE159" i="1"/>
  <c r="AA160" i="1"/>
  <c r="J129" i="1"/>
  <c r="H129" i="1"/>
  <c r="AC128" i="1"/>
  <c r="O128" i="1"/>
  <c r="AV128" i="1"/>
  <c r="AA81" i="3"/>
  <c r="AA82" i="3"/>
  <c r="AA80" i="3"/>
  <c r="BW197" i="1" l="1"/>
  <c r="AX196" i="1"/>
  <c r="BN196" i="1"/>
  <c r="BN195" i="1"/>
  <c r="AX195" i="1"/>
  <c r="BR179" i="1"/>
  <c r="BP180" i="1"/>
  <c r="AA161" i="1"/>
  <c r="AE160" i="1"/>
  <c r="J130" i="1"/>
  <c r="H130" i="1"/>
  <c r="O129" i="1"/>
  <c r="AV129" i="1"/>
  <c r="AC129" i="1"/>
  <c r="BW198" i="1" l="1"/>
  <c r="AX197" i="1"/>
  <c r="BN197" i="1"/>
  <c r="BR180" i="1"/>
  <c r="BP181" i="1"/>
  <c r="BP182" i="1" s="1"/>
  <c r="AE161" i="1"/>
  <c r="AA162" i="1"/>
  <c r="AA163" i="1" s="1"/>
  <c r="AV130" i="1"/>
  <c r="J131" i="1"/>
  <c r="H131" i="1"/>
  <c r="O130" i="1"/>
  <c r="AC130" i="1"/>
  <c r="BW199" i="1" l="1"/>
  <c r="BN198" i="1"/>
  <c r="AX198" i="1"/>
  <c r="BP183" i="1"/>
  <c r="BR182" i="1"/>
  <c r="BR181" i="1"/>
  <c r="AA164" i="1"/>
  <c r="AE163" i="1"/>
  <c r="AE162" i="1"/>
  <c r="AV131" i="1"/>
  <c r="J132" i="1"/>
  <c r="H132" i="1"/>
  <c r="O131" i="1"/>
  <c r="AC131" i="1"/>
  <c r="AA86" i="3"/>
  <c r="AA84" i="3"/>
  <c r="AA85" i="3"/>
  <c r="AA83" i="3"/>
  <c r="BN199" i="1" l="1"/>
  <c r="BW200" i="1"/>
  <c r="AX199" i="1"/>
  <c r="BP184" i="1"/>
  <c r="BP185" i="1" s="1"/>
  <c r="BR183" i="1"/>
  <c r="AA165" i="1"/>
  <c r="AE164" i="1"/>
  <c r="J133" i="1"/>
  <c r="H133" i="1"/>
  <c r="O132" i="1"/>
  <c r="AV132" i="1"/>
  <c r="AC132" i="1"/>
  <c r="AX200" i="1" l="1"/>
  <c r="BW201" i="1"/>
  <c r="BN200" i="1"/>
  <c r="BP186" i="1"/>
  <c r="BR185" i="1"/>
  <c r="BR184" i="1"/>
  <c r="AE165" i="1"/>
  <c r="AA166" i="1"/>
  <c r="AV133" i="1"/>
  <c r="H134" i="1"/>
  <c r="J134" i="1"/>
  <c r="O133" i="1"/>
  <c r="AC133" i="1"/>
  <c r="AX201" i="1" l="1"/>
  <c r="BW202" i="1"/>
  <c r="BN201" i="1"/>
  <c r="BR186" i="1"/>
  <c r="BP187" i="1"/>
  <c r="BP188" i="1" s="1"/>
  <c r="AE166" i="1"/>
  <c r="AA167" i="1"/>
  <c r="AA168" i="1" s="1"/>
  <c r="AA169" i="1" s="1"/>
  <c r="AV134" i="1"/>
  <c r="J135" i="1"/>
  <c r="H135" i="1"/>
  <c r="O134" i="1"/>
  <c r="AC134" i="1"/>
  <c r="BN202" i="1" l="1"/>
  <c r="AX202" i="1"/>
  <c r="BW203" i="1"/>
  <c r="BR188" i="1"/>
  <c r="BP189" i="1"/>
  <c r="BR187" i="1"/>
  <c r="AE169" i="1"/>
  <c r="AA170" i="1"/>
  <c r="AE168" i="1"/>
  <c r="AE167" i="1"/>
  <c r="O135" i="1"/>
  <c r="J136" i="1"/>
  <c r="H136" i="1"/>
  <c r="AV135" i="1"/>
  <c r="AC135" i="1"/>
  <c r="AA92" i="3"/>
  <c r="AA90" i="3"/>
  <c r="AA91" i="3"/>
  <c r="AA88" i="3"/>
  <c r="AA89" i="3"/>
  <c r="AA87" i="3"/>
  <c r="BW204" i="1" l="1"/>
  <c r="BN203" i="1"/>
  <c r="AX203" i="1"/>
  <c r="BR189" i="1"/>
  <c r="BP190" i="1"/>
  <c r="AE170" i="1"/>
  <c r="AA171" i="1"/>
  <c r="O136" i="1"/>
  <c r="J137" i="1"/>
  <c r="H137" i="1"/>
  <c r="AV136" i="1"/>
  <c r="AC136" i="1"/>
  <c r="AX204" i="1" l="1"/>
  <c r="BW205" i="1"/>
  <c r="BW206" i="1" s="1"/>
  <c r="BN204" i="1"/>
  <c r="BR190" i="1"/>
  <c r="BP191" i="1"/>
  <c r="AA172" i="1"/>
  <c r="AE171" i="1"/>
  <c r="AV137" i="1"/>
  <c r="J138" i="1"/>
  <c r="H138" i="1"/>
  <c r="O137" i="1"/>
  <c r="AC137" i="1"/>
  <c r="AX206" i="1" l="1"/>
  <c r="BW207" i="1"/>
  <c r="BN206" i="1"/>
  <c r="BN205" i="1"/>
  <c r="AX205" i="1"/>
  <c r="BR191" i="1"/>
  <c r="BP192" i="1"/>
  <c r="AE172" i="1"/>
  <c r="AA173" i="1"/>
  <c r="AA174" i="1" s="1"/>
  <c r="J139" i="1"/>
  <c r="H139" i="1"/>
  <c r="AV138" i="1"/>
  <c r="O138" i="1"/>
  <c r="AC138" i="1"/>
  <c r="BN207" i="1" l="1"/>
  <c r="AX207" i="1"/>
  <c r="BW208" i="1"/>
  <c r="BP193" i="1"/>
  <c r="BR192" i="1"/>
  <c r="AA175" i="1"/>
  <c r="AE174" i="1"/>
  <c r="AE173" i="1"/>
  <c r="J140" i="1"/>
  <c r="H140" i="1"/>
  <c r="AV139" i="1"/>
  <c r="O139" i="1"/>
  <c r="AC139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BW209" i="1" l="1"/>
  <c r="AX208" i="1"/>
  <c r="BN208" i="1"/>
  <c r="BR193" i="1"/>
  <c r="BP194" i="1"/>
  <c r="AA176" i="1"/>
  <c r="AE175" i="1"/>
  <c r="O140" i="1"/>
  <c r="H141" i="1"/>
  <c r="J141" i="1"/>
  <c r="AV140" i="1"/>
  <c r="AC140" i="1"/>
  <c r="P16" i="7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BN209" i="1" l="1"/>
  <c r="AX209" i="1"/>
  <c r="BW210" i="1"/>
  <c r="BR194" i="1"/>
  <c r="BP195" i="1"/>
  <c r="BP196" i="1" s="1"/>
  <c r="AE176" i="1"/>
  <c r="AA177" i="1"/>
  <c r="O141" i="1"/>
  <c r="J142" i="1"/>
  <c r="H142" i="1"/>
  <c r="AV141" i="1"/>
  <c r="AC141" i="1"/>
  <c r="AA98" i="3"/>
  <c r="AA99" i="3"/>
  <c r="AA94" i="3"/>
  <c r="AA95" i="3"/>
  <c r="AA93" i="3"/>
  <c r="BW211" i="1" l="1"/>
  <c r="AX210" i="1"/>
  <c r="BN210" i="1"/>
  <c r="BR196" i="1"/>
  <c r="BP197" i="1"/>
  <c r="BR195" i="1"/>
  <c r="AE177" i="1"/>
  <c r="AA178" i="1"/>
  <c r="H143" i="1"/>
  <c r="J143" i="1"/>
  <c r="O142" i="1"/>
  <c r="AV142" i="1"/>
  <c r="AC142" i="1"/>
  <c r="AA96" i="3"/>
  <c r="AA97" i="3"/>
  <c r="BW212" i="1" l="1"/>
  <c r="AX211" i="1"/>
  <c r="BN211" i="1"/>
  <c r="BR197" i="1"/>
  <c r="BP198" i="1"/>
  <c r="AE178" i="1"/>
  <c r="AA179" i="1"/>
  <c r="O143" i="1"/>
  <c r="J144" i="1"/>
  <c r="H144" i="1"/>
  <c r="AV143" i="1"/>
  <c r="AC143" i="1"/>
  <c r="AX212" i="1" l="1"/>
  <c r="BN212" i="1"/>
  <c r="BW213" i="1"/>
  <c r="BR198" i="1"/>
  <c r="BP199" i="1"/>
  <c r="BP200" i="1" s="1"/>
  <c r="AA180" i="1"/>
  <c r="AE179" i="1"/>
  <c r="O144" i="1"/>
  <c r="H145" i="1"/>
  <c r="J145" i="1"/>
  <c r="AV144" i="1"/>
  <c r="AC144" i="1"/>
  <c r="BW214" i="1" l="1"/>
  <c r="BW215" i="1" s="1"/>
  <c r="BN213" i="1"/>
  <c r="AX213" i="1"/>
  <c r="BR200" i="1"/>
  <c r="BP201" i="1"/>
  <c r="BR199" i="1"/>
  <c r="AE180" i="1"/>
  <c r="AA181" i="1"/>
  <c r="AA182" i="1" s="1"/>
  <c r="J146" i="1"/>
  <c r="H146" i="1"/>
  <c r="AV145" i="1"/>
  <c r="O145" i="1"/>
  <c r="AC145" i="1"/>
  <c r="BN215" i="1" l="1"/>
  <c r="BW216" i="1"/>
  <c r="AX215" i="1"/>
  <c r="BN214" i="1"/>
  <c r="AX214" i="1"/>
  <c r="BR201" i="1"/>
  <c r="BP202" i="1"/>
  <c r="AE182" i="1"/>
  <c r="AA183" i="1"/>
  <c r="AE181" i="1"/>
  <c r="J147" i="1"/>
  <c r="H147" i="1"/>
  <c r="O146" i="1"/>
  <c r="AV146" i="1"/>
  <c r="AC146" i="1"/>
  <c r="BW217" i="1" l="1"/>
  <c r="AX216" i="1"/>
  <c r="BN216" i="1"/>
  <c r="BR202" i="1"/>
  <c r="BP203" i="1"/>
  <c r="AA184" i="1"/>
  <c r="AA185" i="1" s="1"/>
  <c r="AE183" i="1"/>
  <c r="AV147" i="1"/>
  <c r="H148" i="1"/>
  <c r="J148" i="1"/>
  <c r="O147" i="1"/>
  <c r="AC147" i="1"/>
  <c r="AX217" i="1" l="1"/>
  <c r="BW218" i="1"/>
  <c r="BN217" i="1"/>
  <c r="BR203" i="1"/>
  <c r="BP204" i="1"/>
  <c r="AE185" i="1"/>
  <c r="AA186" i="1"/>
  <c r="AE184" i="1"/>
  <c r="O148" i="1"/>
  <c r="J149" i="1"/>
  <c r="H149" i="1"/>
  <c r="AV148" i="1"/>
  <c r="AC148" i="1"/>
  <c r="AA103" i="3"/>
  <c r="AA100" i="3"/>
  <c r="AX218" i="1" l="1"/>
  <c r="BW219" i="1"/>
  <c r="BN218" i="1"/>
  <c r="BR204" i="1"/>
  <c r="BP205" i="1"/>
  <c r="BP206" i="1" s="1"/>
  <c r="AA187" i="1"/>
  <c r="AA188" i="1" s="1"/>
  <c r="AE186" i="1"/>
  <c r="H150" i="1"/>
  <c r="J150" i="1"/>
  <c r="O149" i="1"/>
  <c r="AV149" i="1"/>
  <c r="AC149" i="1"/>
  <c r="AA101" i="3"/>
  <c r="AA102" i="3"/>
  <c r="AX219" i="1" l="1"/>
  <c r="BW220" i="1"/>
  <c r="BN219" i="1"/>
  <c r="BR206" i="1"/>
  <c r="BP207" i="1"/>
  <c r="BR205" i="1"/>
  <c r="AE188" i="1"/>
  <c r="AA189" i="1"/>
  <c r="AE187" i="1"/>
  <c r="J151" i="1"/>
  <c r="H151" i="1"/>
  <c r="O150" i="1"/>
  <c r="AV150" i="1"/>
  <c r="AC150" i="1"/>
  <c r="BN220" i="1" l="1"/>
  <c r="BW221" i="1"/>
  <c r="BW222" i="1" s="1"/>
  <c r="AX220" i="1"/>
  <c r="BP208" i="1"/>
  <c r="BR207" i="1"/>
  <c r="AE189" i="1"/>
  <c r="AA190" i="1"/>
  <c r="O151" i="1"/>
  <c r="AV151" i="1"/>
  <c r="J152" i="1"/>
  <c r="H152" i="1"/>
  <c r="AC151" i="1"/>
  <c r="BN222" i="1" l="1"/>
  <c r="BW223" i="1"/>
  <c r="AX222" i="1"/>
  <c r="BN221" i="1"/>
  <c r="AX221" i="1"/>
  <c r="BR208" i="1"/>
  <c r="BP209" i="1"/>
  <c r="BP210" i="1" s="1"/>
  <c r="AE190" i="1"/>
  <c r="AA191" i="1"/>
  <c r="J153" i="1"/>
  <c r="H153" i="1"/>
  <c r="O152" i="1"/>
  <c r="AV152" i="1"/>
  <c r="AC152" i="1"/>
  <c r="AA105" i="3"/>
  <c r="AA106" i="3"/>
  <c r="AA104" i="3"/>
  <c r="BN223" i="1" l="1"/>
  <c r="BW224" i="1"/>
  <c r="AX223" i="1"/>
  <c r="BR210" i="1"/>
  <c r="BP211" i="1"/>
  <c r="BR209" i="1"/>
  <c r="AA192" i="1"/>
  <c r="AE191" i="1"/>
  <c r="J154" i="1"/>
  <c r="H154" i="1"/>
  <c r="O153" i="1"/>
  <c r="AV153" i="1"/>
  <c r="AC153" i="1"/>
  <c r="BN224" i="1" l="1"/>
  <c r="BW225" i="1"/>
  <c r="AX224" i="1"/>
  <c r="BR211" i="1"/>
  <c r="BP212" i="1"/>
  <c r="AE192" i="1"/>
  <c r="AA193" i="1"/>
  <c r="AV154" i="1"/>
  <c r="J155" i="1"/>
  <c r="H155" i="1"/>
  <c r="O154" i="1"/>
  <c r="AC154" i="1"/>
  <c r="BN225" i="1" l="1"/>
  <c r="BW226" i="1"/>
  <c r="AX225" i="1"/>
  <c r="BR212" i="1"/>
  <c r="BP213" i="1"/>
  <c r="AE193" i="1"/>
  <c r="AA194" i="1"/>
  <c r="J156" i="1"/>
  <c r="H156" i="1"/>
  <c r="AV155" i="1"/>
  <c r="O155" i="1"/>
  <c r="AC155" i="1"/>
  <c r="AA108" i="3"/>
  <c r="AA109" i="3"/>
  <c r="AA107" i="3"/>
  <c r="AX226" i="1" l="1"/>
  <c r="BW227" i="1"/>
  <c r="BN226" i="1"/>
  <c r="BR213" i="1"/>
  <c r="BP214" i="1"/>
  <c r="BP215" i="1" s="1"/>
  <c r="AE194" i="1"/>
  <c r="AA195" i="1"/>
  <c r="AA196" i="1" s="1"/>
  <c r="AV156" i="1"/>
  <c r="J157" i="1"/>
  <c r="H157" i="1"/>
  <c r="O156" i="1"/>
  <c r="AC156" i="1"/>
  <c r="AX227" i="1" l="1"/>
  <c r="BW228" i="1"/>
  <c r="BN227" i="1"/>
  <c r="BP216" i="1"/>
  <c r="BP217" i="1" s="1"/>
  <c r="BR215" i="1"/>
  <c r="BR214" i="1"/>
  <c r="AE196" i="1"/>
  <c r="AA197" i="1"/>
  <c r="AE195" i="1"/>
  <c r="O157" i="1"/>
  <c r="J158" i="1"/>
  <c r="H158" i="1"/>
  <c r="AV157" i="1"/>
  <c r="AC157" i="1"/>
  <c r="BW229" i="1" l="1"/>
  <c r="BN228" i="1"/>
  <c r="AX228" i="1"/>
  <c r="BR217" i="1"/>
  <c r="BP218" i="1"/>
  <c r="BR216" i="1"/>
  <c r="AA198" i="1"/>
  <c r="AE197" i="1"/>
  <c r="AV158" i="1"/>
  <c r="J159" i="1"/>
  <c r="H159" i="1"/>
  <c r="O158" i="1"/>
  <c r="AC158" i="1"/>
  <c r="AA117" i="3"/>
  <c r="AA115" i="3"/>
  <c r="AA116" i="3"/>
  <c r="AA113" i="3"/>
  <c r="AA114" i="3"/>
  <c r="AA111" i="3"/>
  <c r="AA112" i="3"/>
  <c r="AA110" i="3"/>
  <c r="BN229" i="1" l="1"/>
  <c r="BW230" i="1"/>
  <c r="BW231" i="1" s="1"/>
  <c r="AX229" i="1"/>
  <c r="BR218" i="1"/>
  <c r="BP219" i="1"/>
  <c r="AA199" i="1"/>
  <c r="AA200" i="1" s="1"/>
  <c r="AE198" i="1"/>
  <c r="AV159" i="1"/>
  <c r="J160" i="1"/>
  <c r="H160" i="1"/>
  <c r="O159" i="1"/>
  <c r="AC159" i="1"/>
  <c r="BN231" i="1" l="1"/>
  <c r="BW232" i="1"/>
  <c r="AX231" i="1"/>
  <c r="BN230" i="1"/>
  <c r="AX230" i="1"/>
  <c r="BR219" i="1"/>
  <c r="BP220" i="1"/>
  <c r="AA201" i="1"/>
  <c r="AE200" i="1"/>
  <c r="AE199" i="1"/>
  <c r="O160" i="1"/>
  <c r="H161" i="1"/>
  <c r="J161" i="1"/>
  <c r="AV160" i="1"/>
  <c r="AC160" i="1"/>
  <c r="BN232" i="1" l="1"/>
  <c r="BW233" i="1"/>
  <c r="BW234" i="1" s="1"/>
  <c r="AX232" i="1"/>
  <c r="BR220" i="1"/>
  <c r="BP221" i="1"/>
  <c r="BP222" i="1" s="1"/>
  <c r="AE201" i="1"/>
  <c r="AA202" i="1"/>
  <c r="O161" i="1"/>
  <c r="H162" i="1"/>
  <c r="J162" i="1"/>
  <c r="AV161" i="1"/>
  <c r="AC161" i="1"/>
  <c r="AX234" i="1" l="1"/>
  <c r="BW235" i="1"/>
  <c r="BN234" i="1"/>
  <c r="BN233" i="1"/>
  <c r="AX233" i="1"/>
  <c r="BR222" i="1"/>
  <c r="BP223" i="1"/>
  <c r="BR221" i="1"/>
  <c r="AA203" i="1"/>
  <c r="AE202" i="1"/>
  <c r="J163" i="1"/>
  <c r="H163" i="1"/>
  <c r="O162" i="1"/>
  <c r="AV162" i="1"/>
  <c r="AC162" i="1"/>
  <c r="BW236" i="1" l="1"/>
  <c r="AX235" i="1"/>
  <c r="BN235" i="1"/>
  <c r="BR223" i="1"/>
  <c r="BP224" i="1"/>
  <c r="AA204" i="1"/>
  <c r="AE203" i="1"/>
  <c r="O163" i="1"/>
  <c r="J164" i="1"/>
  <c r="H164" i="1"/>
  <c r="AV163" i="1"/>
  <c r="AC163" i="1"/>
  <c r="AX236" i="1" l="1"/>
  <c r="BW237" i="1"/>
  <c r="BN236" i="1"/>
  <c r="BR224" i="1"/>
  <c r="BP225" i="1"/>
  <c r="AA205" i="1"/>
  <c r="AA206" i="1" s="1"/>
  <c r="H308" i="1"/>
  <c r="AE204" i="1"/>
  <c r="O164" i="1"/>
  <c r="H165" i="1"/>
  <c r="AV164" i="1"/>
  <c r="J165" i="1"/>
  <c r="AC164" i="1"/>
  <c r="BN237" i="1" l="1"/>
  <c r="BW238" i="1"/>
  <c r="AX237" i="1"/>
  <c r="BR225" i="1"/>
  <c r="BP226" i="1"/>
  <c r="AE206" i="1"/>
  <c r="AA207" i="1"/>
  <c r="AE205" i="1"/>
  <c r="O165" i="1"/>
  <c r="AV165" i="1"/>
  <c r="H166" i="1"/>
  <c r="J166" i="1"/>
  <c r="AC165" i="1"/>
  <c r="AA121" i="3"/>
  <c r="AA119" i="3"/>
  <c r="AA120" i="3"/>
  <c r="AA118" i="3"/>
  <c r="BN238" i="1" l="1"/>
  <c r="BW239" i="1"/>
  <c r="AX238" i="1"/>
  <c r="BR226" i="1"/>
  <c r="BP227" i="1"/>
  <c r="AE207" i="1"/>
  <c r="AA208" i="1"/>
  <c r="J167" i="1"/>
  <c r="O166" i="1"/>
  <c r="AV166" i="1"/>
  <c r="H167" i="1"/>
  <c r="AC166" i="1"/>
  <c r="AX239" i="1" l="1"/>
  <c r="BW240" i="1"/>
  <c r="BN239" i="1"/>
  <c r="BR227" i="1"/>
  <c r="BP228" i="1"/>
  <c r="AA209" i="1"/>
  <c r="AA210" i="1" s="1"/>
  <c r="AE208" i="1"/>
  <c r="H168" i="1"/>
  <c r="J168" i="1"/>
  <c r="O167" i="1"/>
  <c r="AV167" i="1"/>
  <c r="AC167" i="1"/>
  <c r="BW241" i="1" l="1"/>
  <c r="BN240" i="1"/>
  <c r="AX240" i="1"/>
  <c r="BR228" i="1"/>
  <c r="BP229" i="1"/>
  <c r="AE210" i="1"/>
  <c r="AA211" i="1"/>
  <c r="AE209" i="1"/>
  <c r="J169" i="1"/>
  <c r="H169" i="1"/>
  <c r="AV168" i="1"/>
  <c r="O168" i="1"/>
  <c r="AC168" i="1"/>
  <c r="BN241" i="1" l="1"/>
  <c r="BW242" i="1"/>
  <c r="BW243" i="1" s="1"/>
  <c r="AX241" i="1"/>
  <c r="BP230" i="1"/>
  <c r="BP231" i="1" s="1"/>
  <c r="BR229" i="1"/>
  <c r="AE211" i="1"/>
  <c r="AA212" i="1"/>
  <c r="O169" i="1"/>
  <c r="J170" i="1"/>
  <c r="H170" i="1"/>
  <c r="AV169" i="1"/>
  <c r="AC169" i="1"/>
  <c r="BN243" i="1" l="1"/>
  <c r="BW244" i="1"/>
  <c r="AX243" i="1"/>
  <c r="BN242" i="1"/>
  <c r="AX242" i="1"/>
  <c r="BR231" i="1"/>
  <c r="BP232" i="1"/>
  <c r="BR230" i="1"/>
  <c r="AE212" i="1"/>
  <c r="AA213" i="1"/>
  <c r="AV170" i="1"/>
  <c r="H171" i="1"/>
  <c r="J171" i="1"/>
  <c r="O170" i="1"/>
  <c r="AC170" i="1"/>
  <c r="AA127" i="3"/>
  <c r="AA128" i="3"/>
  <c r="AA125" i="3"/>
  <c r="AA126" i="3"/>
  <c r="AA123" i="3"/>
  <c r="AA124" i="3"/>
  <c r="AA122" i="3"/>
  <c r="BN244" i="1" l="1"/>
  <c r="BW245" i="1"/>
  <c r="AX244" i="1"/>
  <c r="BR232" i="1"/>
  <c r="BP233" i="1"/>
  <c r="BP234" i="1" s="1"/>
  <c r="AE213" i="1"/>
  <c r="AA214" i="1"/>
  <c r="AA215" i="1" s="1"/>
  <c r="O171" i="1"/>
  <c r="J172" i="1"/>
  <c r="H172" i="1"/>
  <c r="AV171" i="1"/>
  <c r="AC171" i="1"/>
  <c r="BN245" i="1" l="1"/>
  <c r="BW246" i="1"/>
  <c r="BW247" i="1" s="1"/>
  <c r="AX245" i="1"/>
  <c r="BP235" i="1"/>
  <c r="BR234" i="1"/>
  <c r="BR233" i="1"/>
  <c r="AA216" i="1"/>
  <c r="AA217" i="1" s="1"/>
  <c r="AE215" i="1"/>
  <c r="AE214" i="1"/>
  <c r="O172" i="1"/>
  <c r="J173" i="1"/>
  <c r="H173" i="1"/>
  <c r="AV172" i="1"/>
  <c r="AC172" i="1"/>
  <c r="AX247" i="1" l="1"/>
  <c r="BW248" i="1"/>
  <c r="BN247" i="1"/>
  <c r="BN246" i="1"/>
  <c r="AX246" i="1"/>
  <c r="BW270" i="1"/>
  <c r="BW271" i="1" s="1"/>
  <c r="BW272" i="1" s="1"/>
  <c r="BR235" i="1"/>
  <c r="BP236" i="1"/>
  <c r="AA218" i="1"/>
  <c r="AE217" i="1"/>
  <c r="AE216" i="1"/>
  <c r="J174" i="1"/>
  <c r="H174" i="1"/>
  <c r="O173" i="1"/>
  <c r="AV173" i="1"/>
  <c r="AC173" i="1"/>
  <c r="BN248" i="1" l="1"/>
  <c r="AX248" i="1"/>
  <c r="BW249" i="1"/>
  <c r="BR236" i="1"/>
  <c r="BP237" i="1"/>
  <c r="AA219" i="1"/>
  <c r="AE218" i="1"/>
  <c r="O174" i="1"/>
  <c r="J175" i="1"/>
  <c r="H175" i="1"/>
  <c r="AV174" i="1"/>
  <c r="AC174" i="1"/>
  <c r="AX249" i="1" l="1"/>
  <c r="BW250" i="1"/>
  <c r="BN249" i="1"/>
  <c r="BR237" i="1"/>
  <c r="BP238" i="1"/>
  <c r="AA220" i="1"/>
  <c r="AE219" i="1"/>
  <c r="AV175" i="1"/>
  <c r="J176" i="1"/>
  <c r="H176" i="1"/>
  <c r="O175" i="1"/>
  <c r="AC175" i="1"/>
  <c r="BN250" i="1" l="1"/>
  <c r="BW251" i="1"/>
  <c r="BW252" i="1" s="1"/>
  <c r="AX250" i="1"/>
  <c r="BR238" i="1"/>
  <c r="BP239" i="1"/>
  <c r="AE220" i="1"/>
  <c r="AA221" i="1"/>
  <c r="AA222" i="1" s="1"/>
  <c r="O176" i="1"/>
  <c r="J177" i="1"/>
  <c r="H177" i="1"/>
  <c r="AV176" i="1"/>
  <c r="AC176" i="1"/>
  <c r="AA136" i="3"/>
  <c r="AA134" i="3"/>
  <c r="AA135" i="3"/>
  <c r="AA132" i="3"/>
  <c r="AA133" i="3"/>
  <c r="AA130" i="3"/>
  <c r="AA131" i="3"/>
  <c r="AA129" i="3"/>
  <c r="AX252" i="1" l="1"/>
  <c r="BW253" i="1"/>
  <c r="BN252" i="1"/>
  <c r="AX251" i="1"/>
  <c r="BN251" i="1"/>
  <c r="BR239" i="1"/>
  <c r="BP240" i="1"/>
  <c r="AE222" i="1"/>
  <c r="AA223" i="1"/>
  <c r="AE221" i="1"/>
  <c r="AV177" i="1"/>
  <c r="H178" i="1"/>
  <c r="J178" i="1"/>
  <c r="O177" i="1"/>
  <c r="AC177" i="1"/>
  <c r="BW254" i="1" l="1"/>
  <c r="BN253" i="1"/>
  <c r="AX253" i="1"/>
  <c r="BR240" i="1"/>
  <c r="BP241" i="1"/>
  <c r="AE223" i="1"/>
  <c r="AA224" i="1"/>
  <c r="AV178" i="1"/>
  <c r="J179" i="1"/>
  <c r="H179" i="1"/>
  <c r="O178" i="1"/>
  <c r="AC178" i="1"/>
  <c r="BW255" i="1" l="1"/>
  <c r="AX254" i="1"/>
  <c r="BN254" i="1"/>
  <c r="BR241" i="1"/>
  <c r="BP242" i="1"/>
  <c r="BP243" i="1" s="1"/>
  <c r="AE224" i="1"/>
  <c r="AA225" i="1"/>
  <c r="AV179" i="1"/>
  <c r="J180" i="1"/>
  <c r="H180" i="1"/>
  <c r="O179" i="1"/>
  <c r="AC179" i="1"/>
  <c r="BN255" i="1" l="1"/>
  <c r="AX255" i="1"/>
  <c r="BW256" i="1"/>
  <c r="BR243" i="1"/>
  <c r="BP244" i="1"/>
  <c r="BR242" i="1"/>
  <c r="AE225" i="1"/>
  <c r="AA226" i="1"/>
  <c r="AV180" i="1"/>
  <c r="J181" i="1"/>
  <c r="H181" i="1"/>
  <c r="O180" i="1"/>
  <c r="AC180" i="1"/>
  <c r="AX256" i="1" l="1"/>
  <c r="BW257" i="1"/>
  <c r="BN256" i="1"/>
  <c r="BR244" i="1"/>
  <c r="BP245" i="1"/>
  <c r="AE226" i="1"/>
  <c r="AA227" i="1"/>
  <c r="J182" i="1"/>
  <c r="H182" i="1"/>
  <c r="O181" i="1"/>
  <c r="AV181" i="1"/>
  <c r="AC181" i="1"/>
  <c r="BN257" i="1" l="1"/>
  <c r="BW258" i="1"/>
  <c r="AX257" i="1"/>
  <c r="BR245" i="1"/>
  <c r="BP246" i="1"/>
  <c r="BP247" i="1" s="1"/>
  <c r="AA228" i="1"/>
  <c r="AE227" i="1"/>
  <c r="AV182" i="1"/>
  <c r="J183" i="1"/>
  <c r="O182" i="1"/>
  <c r="H183" i="1"/>
  <c r="AC182" i="1"/>
  <c r="AX258" i="1" l="1"/>
  <c r="BN258" i="1"/>
  <c r="BR247" i="1"/>
  <c r="BP248" i="1"/>
  <c r="BR246" i="1"/>
  <c r="AE228" i="1"/>
  <c r="AA229" i="1"/>
  <c r="AC183" i="1"/>
  <c r="AV183" i="1"/>
  <c r="H184" i="1"/>
  <c r="J184" i="1"/>
  <c r="O183" i="1"/>
  <c r="BR248" i="1" l="1"/>
  <c r="BP249" i="1"/>
  <c r="AE229" i="1"/>
  <c r="AA230" i="1"/>
  <c r="AA231" i="1" s="1"/>
  <c r="H185" i="1"/>
  <c r="J185" i="1"/>
  <c r="AV184" i="1"/>
  <c r="O184" i="1"/>
  <c r="AC184" i="1"/>
  <c r="AA138" i="3"/>
  <c r="AA137" i="3"/>
  <c r="BR249" i="1" l="1"/>
  <c r="BP250" i="1"/>
  <c r="AA232" i="1"/>
  <c r="AE231" i="1"/>
  <c r="AE230" i="1"/>
  <c r="AV185" i="1"/>
  <c r="O185" i="1"/>
  <c r="J186" i="1"/>
  <c r="H186" i="1"/>
  <c r="AC185" i="1"/>
  <c r="BP251" i="1" l="1"/>
  <c r="BP252" i="1" s="1"/>
  <c r="BR250" i="1"/>
  <c r="AA233" i="1"/>
  <c r="AA234" i="1" s="1"/>
  <c r="AE232" i="1"/>
  <c r="O186" i="1"/>
  <c r="H187" i="1"/>
  <c r="J187" i="1"/>
  <c r="AV186" i="1"/>
  <c r="AC186" i="1"/>
  <c r="BP253" i="1" l="1"/>
  <c r="BR252" i="1"/>
  <c r="BR251" i="1"/>
  <c r="AE234" i="1"/>
  <c r="AA235" i="1"/>
  <c r="AE233" i="1"/>
  <c r="H188" i="1"/>
  <c r="J188" i="1"/>
  <c r="O187" i="1"/>
  <c r="AV187" i="1"/>
  <c r="AC187" i="1"/>
  <c r="AA140" i="3"/>
  <c r="AA141" i="3"/>
  <c r="AA139" i="3"/>
  <c r="BP254" i="1" l="1"/>
  <c r="BR253" i="1"/>
  <c r="AA236" i="1"/>
  <c r="AE235" i="1"/>
  <c r="AV188" i="1"/>
  <c r="J189" i="1"/>
  <c r="H189" i="1"/>
  <c r="O188" i="1"/>
  <c r="AC188" i="1"/>
  <c r="BR254" i="1" l="1"/>
  <c r="BP255" i="1"/>
  <c r="AE236" i="1"/>
  <c r="AA237" i="1"/>
  <c r="O189" i="1"/>
  <c r="J190" i="1"/>
  <c r="H190" i="1"/>
  <c r="AV189" i="1"/>
  <c r="AC189" i="1"/>
  <c r="BR255" i="1" l="1"/>
  <c r="BP256" i="1"/>
  <c r="AA238" i="1"/>
  <c r="AE237" i="1"/>
  <c r="O190" i="1"/>
  <c r="J191" i="1"/>
  <c r="H191" i="1"/>
  <c r="AV190" i="1"/>
  <c r="AC190" i="1"/>
  <c r="AA149" i="3"/>
  <c r="AA147" i="3"/>
  <c r="AA148" i="3"/>
  <c r="AA145" i="3"/>
  <c r="AA146" i="3"/>
  <c r="AA143" i="3"/>
  <c r="AA144" i="3"/>
  <c r="AA142" i="3"/>
  <c r="BR256" i="1" l="1"/>
  <c r="BP257" i="1"/>
  <c r="AA239" i="1"/>
  <c r="AE238" i="1"/>
  <c r="AV191" i="1"/>
  <c r="J192" i="1"/>
  <c r="H192" i="1"/>
  <c r="O191" i="1"/>
  <c r="AC191" i="1"/>
  <c r="BP258" i="1" l="1"/>
  <c r="BR257" i="1"/>
  <c r="AE239" i="1"/>
  <c r="AA240" i="1"/>
  <c r="J193" i="1"/>
  <c r="H193" i="1"/>
  <c r="AV192" i="1"/>
  <c r="O192" i="1"/>
  <c r="AC192" i="1"/>
  <c r="BR258" i="1" l="1"/>
  <c r="AA241" i="1"/>
  <c r="AE240" i="1"/>
  <c r="J194" i="1"/>
  <c r="H194" i="1"/>
  <c r="O193" i="1"/>
  <c r="AV193" i="1"/>
  <c r="AC193" i="1"/>
  <c r="AE241" i="1" l="1"/>
  <c r="AA242" i="1"/>
  <c r="AA243" i="1" s="1"/>
  <c r="AV194" i="1"/>
  <c r="J195" i="1"/>
  <c r="H195" i="1"/>
  <c r="O194" i="1"/>
  <c r="AC194" i="1"/>
  <c r="AE243" i="1" l="1"/>
  <c r="AA244" i="1"/>
  <c r="AE242" i="1"/>
  <c r="H196" i="1"/>
  <c r="J196" i="1"/>
  <c r="AV195" i="1"/>
  <c r="O195" i="1"/>
  <c r="AC195" i="1"/>
  <c r="AA245" i="1" l="1"/>
  <c r="AE244" i="1"/>
  <c r="AV196" i="1"/>
  <c r="J197" i="1"/>
  <c r="H197" i="1"/>
  <c r="O196" i="1"/>
  <c r="AC196" i="1"/>
  <c r="AE245" i="1" l="1"/>
  <c r="AA246" i="1"/>
  <c r="AA247" i="1" s="1"/>
  <c r="H198" i="1"/>
  <c r="J198" i="1"/>
  <c r="O197" i="1"/>
  <c r="AV197" i="1"/>
  <c r="AC197" i="1"/>
  <c r="AE247" i="1" l="1"/>
  <c r="AA248" i="1"/>
  <c r="AE246" i="1"/>
  <c r="J199" i="1"/>
  <c r="O198" i="1"/>
  <c r="H199" i="1"/>
  <c r="AV198" i="1"/>
  <c r="AC198" i="1"/>
  <c r="AA151" i="3"/>
  <c r="AA150" i="3"/>
  <c r="AE248" i="1" l="1"/>
  <c r="AA249" i="1"/>
  <c r="J200" i="1"/>
  <c r="H200" i="1"/>
  <c r="AV199" i="1"/>
  <c r="O199" i="1"/>
  <c r="AC199" i="1"/>
  <c r="AA152" i="3"/>
  <c r="AA153" i="3"/>
  <c r="AE249" i="1" l="1"/>
  <c r="AA250" i="1"/>
  <c r="O200" i="1"/>
  <c r="H201" i="1"/>
  <c r="J201" i="1"/>
  <c r="AV200" i="1"/>
  <c r="AC200" i="1"/>
  <c r="AA251" i="1" l="1"/>
  <c r="AA252" i="1" s="1"/>
  <c r="AE250" i="1"/>
  <c r="AV201" i="1"/>
  <c r="J202" i="1"/>
  <c r="H202" i="1"/>
  <c r="O201" i="1"/>
  <c r="AC201" i="1"/>
  <c r="AE252" i="1" l="1"/>
  <c r="AA253" i="1"/>
  <c r="AE251" i="1"/>
  <c r="AV202" i="1"/>
  <c r="H203" i="1"/>
  <c r="J203" i="1"/>
  <c r="O202" i="1"/>
  <c r="AC202" i="1"/>
  <c r="AA159" i="3"/>
  <c r="AA160" i="3"/>
  <c r="AA157" i="3"/>
  <c r="AA158" i="3"/>
  <c r="AA155" i="3"/>
  <c r="AA156" i="3"/>
  <c r="AA154" i="3"/>
  <c r="AA254" i="1" l="1"/>
  <c r="AE253" i="1"/>
  <c r="AV203" i="1"/>
  <c r="H204" i="1"/>
  <c r="J204" i="1"/>
  <c r="O203" i="1"/>
  <c r="AC203" i="1"/>
  <c r="AE254" i="1" l="1"/>
  <c r="AA255" i="1"/>
  <c r="AV204" i="1"/>
  <c r="H205" i="1"/>
  <c r="J205" i="1"/>
  <c r="O204" i="1"/>
  <c r="AC204" i="1"/>
  <c r="AE255" i="1" l="1"/>
  <c r="AA256" i="1"/>
  <c r="H206" i="1"/>
  <c r="J206" i="1"/>
  <c r="AV205" i="1"/>
  <c r="O205" i="1"/>
  <c r="AC205" i="1"/>
  <c r="AE256" i="1" l="1"/>
  <c r="AA257" i="1"/>
  <c r="AV206" i="1"/>
  <c r="H207" i="1"/>
  <c r="J207" i="1"/>
  <c r="O206" i="1"/>
  <c r="AC206" i="1"/>
  <c r="AE257" i="1" l="1"/>
  <c r="AA258" i="1"/>
  <c r="O207" i="1"/>
  <c r="J208" i="1"/>
  <c r="H208" i="1"/>
  <c r="AV207" i="1"/>
  <c r="AC207" i="1"/>
  <c r="AE258" i="1" l="1"/>
  <c r="J209" i="1"/>
  <c r="H209" i="1"/>
  <c r="AV208" i="1"/>
  <c r="O208" i="1"/>
  <c r="AC208" i="1"/>
  <c r="AA162" i="3"/>
  <c r="AA163" i="3"/>
  <c r="AA161" i="3"/>
  <c r="I21" i="3" l="1"/>
  <c r="I35" i="3" s="1"/>
  <c r="AD49" i="2"/>
  <c r="AD51" i="2" s="1"/>
  <c r="AD53" i="2" s="1"/>
  <c r="AD55" i="2" s="1"/>
  <c r="AD57" i="2" s="1"/>
  <c r="AJ21" i="2"/>
  <c r="J210" i="1"/>
  <c r="H210" i="1"/>
  <c r="AV209" i="1"/>
  <c r="O209" i="1"/>
  <c r="AC209" i="1"/>
  <c r="O210" i="1" l="1"/>
  <c r="H211" i="1"/>
  <c r="J211" i="1"/>
  <c r="AV210" i="1"/>
  <c r="AC210" i="1"/>
  <c r="O211" i="1" l="1"/>
  <c r="J212" i="1"/>
  <c r="H212" i="1"/>
  <c r="AV211" i="1"/>
  <c r="AC211" i="1"/>
  <c r="AV212" i="1" l="1"/>
  <c r="J213" i="1"/>
  <c r="H213" i="1"/>
  <c r="O212" i="1"/>
  <c r="AC212" i="1"/>
  <c r="AA169" i="3"/>
  <c r="AA167" i="3"/>
  <c r="AA168" i="3"/>
  <c r="AA165" i="3"/>
  <c r="AA166" i="3"/>
  <c r="AA164" i="3"/>
  <c r="AV213" i="1" l="1"/>
  <c r="J214" i="1"/>
  <c r="H214" i="1"/>
  <c r="O213" i="1"/>
  <c r="AC213" i="1"/>
  <c r="J215" i="1" l="1"/>
  <c r="H215" i="1"/>
  <c r="O214" i="1"/>
  <c r="AV214" i="1"/>
  <c r="AC214" i="1"/>
  <c r="AV215" i="1" l="1"/>
  <c r="H216" i="1"/>
  <c r="J216" i="1"/>
  <c r="AC215" i="1"/>
  <c r="O215" i="1"/>
  <c r="H217" i="1" l="1"/>
  <c r="J217" i="1"/>
  <c r="O216" i="1"/>
  <c r="AV216" i="1"/>
  <c r="AC216" i="1"/>
  <c r="AV217" i="1" l="1"/>
  <c r="J218" i="1"/>
  <c r="H218" i="1"/>
  <c r="O217" i="1"/>
  <c r="AC217" i="1"/>
  <c r="AA170" i="3"/>
  <c r="O218" i="1" l="1"/>
  <c r="J219" i="1"/>
  <c r="H219" i="1"/>
  <c r="AV218" i="1"/>
  <c r="AC218" i="1"/>
  <c r="AV219" i="1" l="1"/>
  <c r="J220" i="1"/>
  <c r="H220" i="1"/>
  <c r="O219" i="1"/>
  <c r="AC219" i="1"/>
  <c r="AA176" i="3"/>
  <c r="AA174" i="3"/>
  <c r="AA175" i="3"/>
  <c r="AA172" i="3"/>
  <c r="AA173" i="3"/>
  <c r="AA171" i="3"/>
  <c r="AV220" i="1" l="1"/>
  <c r="H221" i="1"/>
  <c r="J221" i="1"/>
  <c r="O220" i="1"/>
  <c r="AC220" i="1"/>
  <c r="J222" i="1" l="1"/>
  <c r="H222" i="1"/>
  <c r="AV221" i="1"/>
  <c r="O221" i="1"/>
  <c r="AC221" i="1"/>
  <c r="AV222" i="1" l="1"/>
  <c r="H223" i="1"/>
  <c r="J223" i="1"/>
  <c r="O222" i="1"/>
  <c r="AC222" i="1"/>
  <c r="AV223" i="1" l="1"/>
  <c r="H224" i="1"/>
  <c r="J224" i="1"/>
  <c r="O223" i="1"/>
  <c r="AC223" i="1"/>
  <c r="AV224" i="1" l="1"/>
  <c r="H225" i="1"/>
  <c r="J225" i="1"/>
  <c r="O224" i="1"/>
  <c r="AC224" i="1"/>
  <c r="AA184" i="3"/>
  <c r="AA182" i="3"/>
  <c r="AA183" i="3"/>
  <c r="AA180" i="3"/>
  <c r="AA181" i="3"/>
  <c r="AA178" i="3"/>
  <c r="AA179" i="3"/>
  <c r="AA177" i="3"/>
  <c r="O225" i="1" l="1"/>
  <c r="H226" i="1"/>
  <c r="J226" i="1"/>
  <c r="AV225" i="1"/>
  <c r="AC225" i="1"/>
  <c r="O226" i="1" l="1"/>
  <c r="J227" i="1"/>
  <c r="H227" i="1"/>
  <c r="AV226" i="1"/>
  <c r="AC226" i="1"/>
  <c r="AV227" i="1" l="1"/>
  <c r="H228" i="1"/>
  <c r="J228" i="1"/>
  <c r="O227" i="1"/>
  <c r="AC227" i="1"/>
  <c r="J229" i="1" l="1"/>
  <c r="H229" i="1"/>
  <c r="O228" i="1"/>
  <c r="AV228" i="1"/>
  <c r="AC228" i="1"/>
  <c r="O229" i="1" l="1"/>
  <c r="H230" i="1"/>
  <c r="J230" i="1"/>
  <c r="AV229" i="1"/>
  <c r="AC229" i="1"/>
  <c r="J231" i="1" l="1"/>
  <c r="H231" i="1"/>
  <c r="AV230" i="1"/>
  <c r="O230" i="1"/>
  <c r="AC230" i="1"/>
  <c r="O231" i="1" l="1"/>
  <c r="H232" i="1"/>
  <c r="J232" i="1"/>
  <c r="AV231" i="1"/>
  <c r="AC231" i="1"/>
  <c r="O232" i="1" l="1"/>
  <c r="H233" i="1"/>
  <c r="J233" i="1"/>
  <c r="AV232" i="1"/>
  <c r="AC232" i="1"/>
  <c r="J234" i="1" l="1"/>
  <c r="H234" i="1"/>
  <c r="O233" i="1"/>
  <c r="AV233" i="1"/>
  <c r="AC233" i="1"/>
  <c r="AA186" i="3"/>
  <c r="AA187" i="3"/>
  <c r="AA185" i="3"/>
  <c r="AV234" i="1" l="1"/>
  <c r="H235" i="1"/>
  <c r="J235" i="1"/>
  <c r="O234" i="1"/>
  <c r="AC234" i="1"/>
  <c r="AV235" i="1" l="1"/>
  <c r="J236" i="1"/>
  <c r="H236" i="1"/>
  <c r="O235" i="1"/>
  <c r="AC235" i="1"/>
  <c r="AV236" i="1" l="1"/>
  <c r="J237" i="1"/>
  <c r="H237" i="1"/>
  <c r="O236" i="1"/>
  <c r="AC236" i="1"/>
  <c r="AA197" i="3"/>
  <c r="AA195" i="3"/>
  <c r="AA196" i="3"/>
  <c r="AA193" i="3"/>
  <c r="AA194" i="3"/>
  <c r="AA191" i="3"/>
  <c r="AA192" i="3"/>
  <c r="AA189" i="3"/>
  <c r="AA190" i="3"/>
  <c r="AA188" i="3"/>
  <c r="O237" i="1" l="1"/>
  <c r="H238" i="1"/>
  <c r="J238" i="1"/>
  <c r="AV237" i="1"/>
  <c r="AC237" i="1"/>
  <c r="AV238" i="1" l="1"/>
  <c r="J239" i="1"/>
  <c r="H239" i="1"/>
  <c r="O238" i="1"/>
  <c r="AC238" i="1"/>
  <c r="AV239" i="1" l="1"/>
  <c r="H240" i="1"/>
  <c r="J240" i="1"/>
  <c r="O239" i="1"/>
  <c r="AC239" i="1"/>
  <c r="J241" i="1" l="1"/>
  <c r="H241" i="1"/>
  <c r="O240" i="1"/>
  <c r="AV240" i="1"/>
  <c r="AC240" i="1"/>
  <c r="O241" i="1" l="1"/>
  <c r="J242" i="1"/>
  <c r="H242" i="1"/>
  <c r="AV241" i="1"/>
  <c r="AC241" i="1"/>
  <c r="J243" i="1" l="1"/>
  <c r="H243" i="1"/>
  <c r="O242" i="1"/>
  <c r="AV242" i="1"/>
  <c r="AC242" i="1"/>
  <c r="O243" i="1" l="1"/>
  <c r="J244" i="1"/>
  <c r="H244" i="1"/>
  <c r="AV243" i="1"/>
  <c r="AC243" i="1"/>
  <c r="AV244" i="1" l="1"/>
  <c r="J245" i="1"/>
  <c r="H245" i="1"/>
  <c r="O244" i="1"/>
  <c r="AC244" i="1"/>
  <c r="AA201" i="3"/>
  <c r="AA199" i="3"/>
  <c r="AA200" i="3"/>
  <c r="AA198" i="3"/>
  <c r="AC245" i="1" l="1"/>
  <c r="J246" i="1"/>
  <c r="H246" i="1"/>
  <c r="O245" i="1"/>
  <c r="AV245" i="1"/>
  <c r="H247" i="1" l="1"/>
  <c r="J247" i="1"/>
  <c r="O246" i="1"/>
  <c r="AV246" i="1"/>
  <c r="AC246" i="1"/>
  <c r="H248" i="1" l="1"/>
  <c r="J248" i="1"/>
  <c r="O247" i="1"/>
  <c r="AV247" i="1"/>
  <c r="AC247" i="1"/>
  <c r="O248" i="1" l="1"/>
  <c r="H249" i="1"/>
  <c r="AV248" i="1"/>
  <c r="J249" i="1"/>
  <c r="AC248" i="1"/>
  <c r="AV249" i="1" l="1"/>
  <c r="J250" i="1"/>
  <c r="H250" i="1"/>
  <c r="I23" i="3" s="1"/>
  <c r="I25" i="3" s="1"/>
  <c r="I27" i="3" s="1"/>
  <c r="O249" i="1"/>
  <c r="AC249" i="1"/>
  <c r="AA205" i="3"/>
  <c r="AA203" i="3"/>
  <c r="AA204" i="3"/>
  <c r="AA202" i="3"/>
  <c r="N27" i="3" l="1"/>
  <c r="N28" i="3" s="1"/>
  <c r="I34" i="3"/>
  <c r="O250" i="1"/>
  <c r="J251" i="1"/>
  <c r="AV250" i="1"/>
  <c r="H251" i="1"/>
  <c r="AC250" i="1"/>
  <c r="H252" i="1" l="1"/>
  <c r="J252" i="1"/>
  <c r="AV251" i="1"/>
  <c r="O251" i="1"/>
  <c r="AC251" i="1"/>
  <c r="AV252" i="1" l="1"/>
  <c r="H253" i="1"/>
  <c r="J253" i="1"/>
  <c r="O252" i="1"/>
  <c r="AC252" i="1"/>
  <c r="O253" i="1" l="1"/>
  <c r="J254" i="1"/>
  <c r="H254" i="1"/>
  <c r="AV253" i="1"/>
  <c r="AC253" i="1"/>
  <c r="O254" i="1" l="1"/>
  <c r="J255" i="1"/>
  <c r="H255" i="1"/>
  <c r="AV254" i="1"/>
  <c r="AC254" i="1"/>
  <c r="AA212" i="3"/>
  <c r="AA213" i="3"/>
  <c r="AA210" i="3"/>
  <c r="AA211" i="3"/>
  <c r="AA207" i="3"/>
  <c r="AA209" i="3"/>
  <c r="AA206" i="3"/>
  <c r="O255" i="1" l="1"/>
  <c r="J256" i="1"/>
  <c r="H256" i="1"/>
  <c r="AV255" i="1"/>
  <c r="AC255" i="1"/>
  <c r="AV256" i="1" l="1"/>
  <c r="H257" i="1"/>
  <c r="J257" i="1"/>
  <c r="O256" i="1"/>
  <c r="AC256" i="1"/>
  <c r="O257" i="1" l="1"/>
  <c r="J258" i="1"/>
  <c r="H258" i="1"/>
  <c r="AV257" i="1"/>
  <c r="AC257" i="1"/>
  <c r="O258" i="1" l="1"/>
  <c r="AV258" i="1"/>
  <c r="AC258" i="1"/>
  <c r="AF21" i="2" l="1"/>
  <c r="I32" i="3"/>
  <c r="L32" i="3" l="1"/>
  <c r="L34" i="3"/>
  <c r="I36" i="3"/>
  <c r="W219" i="3" s="1"/>
  <c r="AA219" i="3" s="1"/>
  <c r="L35" i="3"/>
  <c r="I28" i="3"/>
  <c r="AA217" i="3" l="1"/>
  <c r="AA218" i="3"/>
  <c r="AA215" i="3"/>
  <c r="AA216" i="3"/>
  <c r="AA214" i="3"/>
  <c r="L36" i="3"/>
  <c r="Y219" i="3" s="1"/>
  <c r="Y214" i="3" l="1"/>
  <c r="Y12" i="3"/>
  <c r="Y121" i="3"/>
</calcChain>
</file>

<file path=xl/sharedStrings.xml><?xml version="1.0" encoding="utf-8"?>
<sst xmlns="http://schemas.openxmlformats.org/spreadsheetml/2006/main" count="307" uniqueCount="171">
  <si>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</si>
  <si>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</si>
  <si>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</si>
  <si>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</si>
  <si>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</si>
  <si>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</si>
  <si>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</si>
  <si>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</si>
  <si>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</si>
  <si>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</si>
  <si>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</si>
  <si>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</si>
  <si>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</si>
  <si>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</si>
  <si>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</si>
  <si>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</si>
  <si>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</si>
  <si>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</si>
  <si>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</si>
  <si>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</si>
  <si>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</si>
  <si>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</si>
  <si>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</si>
  <si>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</si>
  <si>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</si>
  <si>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</si>
  <si>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</si>
  <si>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</si>
  <si>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</si>
  <si>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</si>
  <si>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</si>
  <si>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</si>
  <si>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</si>
  <si>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</si>
  <si>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</si>
  <si>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</si>
  <si>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</si>
  <si>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</si>
  <si>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</si>
  <si>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</si>
  <si>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</si>
  <si>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</si>
  <si>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</si>
  <si>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</si>
  <si>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</si>
  <si>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</si>
  <si>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</si>
  <si>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</si>
  <si>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</si>
  <si>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</si>
  <si>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</si>
  <si>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</si>
  <si>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</si>
  <si>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</si>
  <si>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</si>
  <si>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</si>
  <si>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</si>
  <si>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</si>
  <si>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</si>
  <si>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</si>
  <si>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</si>
  <si>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</si>
  <si>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</si>
  <si>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</si>
  <si>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</si>
  <si>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</si>
  <si>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</si>
  <si>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</si>
  <si>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</si>
  <si>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</si>
  <si>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</si>
  <si>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</si>
  <si>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</si>
  <si>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</si>
  <si>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</si>
  <si>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</si>
  <si>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</si>
  <si>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</si>
  <si>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</si>
  <si>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</si>
  <si>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</si>
  <si>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</si>
  <si>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</si>
  <si>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</si>
  <si>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</si>
  <si>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</si>
  <si>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</si>
  <si>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</si>
  <si>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</si>
  <si>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</si>
  <si>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</si>
  <si>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</si>
  <si>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</si>
  <si>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</si>
  <si>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</si>
  <si>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</si>
  <si>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</si>
  <si>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</si>
  <si>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</si>
  <si>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</si>
  <si>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</si>
  <si>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</si>
  <si>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</si>
  <si>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</si>
  <si>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</si>
  <si>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</si>
  <si>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</si>
  <si>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</si>
  <si>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</si>
  <si>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</si>
  <si>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</si>
  <si>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</si>
  <si>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</si>
  <si>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</si>
  <si>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</si>
  <si>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</si>
  <si>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</si>
  <si>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</si>
  <si>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</si>
  <si>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</si>
  <si>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</si>
  <si>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</si>
  <si>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</si>
  <si>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</si>
  <si>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</si>
  <si>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</si>
  <si>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</si>
  <si>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</si>
  <si>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</si>
  <si>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</si>
  <si>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</si>
  <si>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</si>
  <si>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</si>
  <si>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</si>
  <si>
    <t>New York</t>
  </si>
  <si>
    <t>New Jersey</t>
  </si>
  <si>
    <t>Rhode Island</t>
  </si>
  <si>
    <t>Connecticut</t>
  </si>
  <si>
    <t>Delaware</t>
  </si>
  <si>
    <t>Illinois</t>
  </si>
  <si>
    <t>Maryland</t>
  </si>
  <si>
    <t>District of Columbia</t>
  </si>
  <si>
    <t>Louisiana</t>
  </si>
  <si>
    <t>Percentages</t>
  </si>
  <si>
    <t>(000)</t>
  </si>
  <si>
    <t xml:space="preserve">Cases </t>
  </si>
  <si>
    <t>(000,000)</t>
  </si>
  <si>
    <t>State / Region</t>
  </si>
  <si>
    <t>On 4/14/20 NYC added an additional 3,778 deaths that happened since 3/11/20, the retroactive data effected both cases and deaths.  Other retroactive adjustments are also posted on this date.</t>
  </si>
  <si>
    <t>(5)</t>
  </si>
  <si>
    <t>Los Angelos county reported 11,247 cases retroactively due to reporting challenges.</t>
  </si>
  <si>
    <t>April</t>
  </si>
  <si>
    <t>May</t>
  </si>
  <si>
    <t>June</t>
  </si>
  <si>
    <t>Time Frame</t>
  </si>
  <si>
    <t>US COVID Death Rates</t>
  </si>
  <si>
    <t>July</t>
  </si>
  <si>
    <t xml:space="preserve"> 8/10</t>
  </si>
  <si>
    <t xml:space="preserve"> 8/3</t>
  </si>
  <si>
    <t xml:space="preserve"> 7/27</t>
  </si>
  <si>
    <t xml:space="preserve">Actual </t>
  </si>
  <si>
    <t>Ave</t>
  </si>
  <si>
    <t xml:space="preserve">Week </t>
  </si>
  <si>
    <t>Ended</t>
  </si>
  <si>
    <t>August</t>
  </si>
  <si>
    <t>September</t>
  </si>
  <si>
    <t>October</t>
  </si>
  <si>
    <t>For October we used data through the tenth and tripled the amount.</t>
  </si>
  <si>
    <t>Month</t>
  </si>
  <si>
    <t>Percent</t>
  </si>
  <si>
    <t>Cases ten days prior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</si>
</sst>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  <numFmt numFmtId="174" formatCode="[$-409]d\-mm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9"/>
      <color rgb="FF363945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73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10" fontId="0" fillId="14" borderId="0" xfId="2" applyNumberFormat="1" applyFont="1" applyFill="1" applyBorder="1"/>
    <xf numFmtId="10" fontId="0" fillId="6" borderId="0" xfId="2" applyNumberFormat="1" applyFont="1" applyFill="1" applyBorder="1"/>
    <xf numFmtId="0" fontId="0" fillId="5" borderId="1" xfId="0" applyFill="1" applyBorder="1" applyAlignment="1">
      <alignment horizontal="center"/>
    </xf>
    <xf numFmtId="166" fontId="0" fillId="8" borderId="0" xfId="2" applyNumberFormat="1" applyFont="1" applyFill="1" applyBorder="1"/>
    <xf numFmtId="164" fontId="0" fillId="0" borderId="1" xfId="1" applyNumberFormat="1" applyFont="1" applyBorder="1"/>
    <xf numFmtId="9" fontId="0" fillId="0" borderId="19" xfId="2" applyFont="1" applyBorder="1"/>
    <xf numFmtId="0" fontId="0" fillId="5" borderId="53" xfId="0" applyFill="1" applyBorder="1"/>
    <xf numFmtId="0" fontId="0" fillId="5" borderId="54" xfId="0" applyFill="1" applyBorder="1"/>
    <xf numFmtId="0" fontId="0" fillId="5" borderId="55" xfId="0" applyFill="1" applyBorder="1"/>
    <xf numFmtId="0" fontId="0" fillId="5" borderId="56" xfId="0" applyFill="1" applyBorder="1"/>
    <xf numFmtId="0" fontId="0" fillId="5" borderId="57" xfId="0" applyFill="1" applyBorder="1"/>
    <xf numFmtId="49" fontId="0" fillId="5" borderId="1" xfId="0" applyNumberFormat="1" applyFill="1" applyBorder="1" applyAlignment="1">
      <alignment horizontal="center"/>
    </xf>
    <xf numFmtId="164" fontId="0" fillId="5" borderId="1" xfId="1" applyNumberFormat="1" applyFont="1" applyFill="1" applyBorder="1"/>
    <xf numFmtId="164" fontId="0" fillId="5" borderId="1" xfId="0" applyNumberFormat="1" applyFill="1" applyBorder="1"/>
    <xf numFmtId="9" fontId="0" fillId="5" borderId="0" xfId="2" applyFont="1" applyFill="1" applyBorder="1"/>
    <xf numFmtId="9" fontId="0" fillId="5" borderId="19" xfId="2" applyFont="1" applyFill="1" applyBorder="1"/>
    <xf numFmtId="0" fontId="0" fillId="5" borderId="58" xfId="0" applyFill="1" applyBorder="1"/>
    <xf numFmtId="0" fontId="0" fillId="5" borderId="59" xfId="0" applyFill="1" applyBorder="1"/>
    <xf numFmtId="0" fontId="0" fillId="5" borderId="60" xfId="0" applyFill="1" applyBorder="1"/>
    <xf numFmtId="0" fontId="0" fillId="5" borderId="20" xfId="0" applyFill="1" applyBorder="1"/>
    <xf numFmtId="0" fontId="0" fillId="5" borderId="13" xfId="0" applyFill="1" applyBorder="1" applyAlignment="1">
      <alignment horizontal="center"/>
    </xf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0" fillId="5" borderId="22" xfId="0" applyFill="1" applyBorder="1"/>
    <xf numFmtId="164" fontId="0" fillId="7" borderId="0" xfId="1" applyNumberFormat="1" applyFont="1" applyFill="1"/>
    <xf numFmtId="10" fontId="0" fillId="3" borderId="0" xfId="2" applyNumberFormat="1" applyFont="1" applyFill="1" applyBorder="1"/>
    <xf numFmtId="49" fontId="5" fillId="2" borderId="0" xfId="1" applyNumberFormat="1" applyFont="1" applyFill="1" applyAlignment="1">
      <alignment horizontal="right"/>
    </xf>
    <xf numFmtId="10" fontId="10" fillId="7" borderId="26" xfId="2" applyNumberFormat="1" applyFont="1" applyFill="1" applyBorder="1"/>
    <xf numFmtId="0" fontId="0" fillId="13" borderId="20" xfId="0" applyFill="1" applyBorder="1"/>
    <xf numFmtId="0" fontId="0" fillId="13" borderId="21" xfId="0" applyFill="1" applyBorder="1"/>
    <xf numFmtId="0" fontId="0" fillId="13" borderId="22" xfId="0" applyFill="1" applyBorder="1"/>
    <xf numFmtId="0" fontId="0" fillId="13" borderId="14" xfId="0" applyFill="1" applyBorder="1"/>
    <xf numFmtId="0" fontId="0" fillId="13" borderId="15" xfId="0" applyFill="1" applyBorder="1"/>
    <xf numFmtId="164" fontId="0" fillId="13" borderId="0" xfId="0" applyNumberFormat="1" applyFill="1" applyBorder="1"/>
    <xf numFmtId="0" fontId="0" fillId="13" borderId="16" xfId="0" applyFill="1" applyBorder="1"/>
    <xf numFmtId="0" fontId="0" fillId="13" borderId="17" xfId="0" applyFill="1" applyBorder="1"/>
    <xf numFmtId="0" fontId="0" fillId="13" borderId="18" xfId="0" applyFill="1" applyBorder="1"/>
    <xf numFmtId="0" fontId="2" fillId="13" borderId="0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2" fillId="13" borderId="0" xfId="0" applyFont="1" applyFill="1" applyBorder="1"/>
    <xf numFmtId="164" fontId="0" fillId="13" borderId="0" xfId="0" applyNumberFormat="1" applyFont="1" applyFill="1" applyBorder="1" applyAlignment="1">
      <alignment horizontal="center"/>
    </xf>
    <xf numFmtId="0" fontId="0" fillId="13" borderId="0" xfId="0" applyFont="1" applyFill="1" applyBorder="1" applyAlignment="1">
      <alignment horizontal="center"/>
    </xf>
    <xf numFmtId="0" fontId="0" fillId="13" borderId="0" xfId="0" applyFont="1" applyFill="1" applyBorder="1"/>
    <xf numFmtId="0" fontId="3" fillId="13" borderId="1" xfId="0" applyFont="1" applyFill="1" applyBorder="1" applyAlignment="1">
      <alignment horizontal="center"/>
    </xf>
    <xf numFmtId="0" fontId="17" fillId="13" borderId="17" xfId="0" applyFont="1" applyFill="1" applyBorder="1" applyAlignment="1">
      <alignment horizontal="center"/>
    </xf>
    <xf numFmtId="0" fontId="17" fillId="13" borderId="17" xfId="0" applyFont="1" applyFill="1" applyBorder="1"/>
    <xf numFmtId="164" fontId="17" fillId="13" borderId="17" xfId="0" applyNumberFormat="1" applyFont="1" applyFill="1" applyBorder="1"/>
    <xf numFmtId="165" fontId="17" fillId="13" borderId="17" xfId="2" applyNumberFormat="1" applyFont="1" applyFill="1" applyBorder="1"/>
    <xf numFmtId="165" fontId="2" fillId="13" borderId="0" xfId="2" applyNumberFormat="1" applyFont="1" applyFill="1" applyBorder="1"/>
    <xf numFmtId="164" fontId="0" fillId="23" borderId="0" xfId="1" applyNumberFormat="1" applyFont="1" applyFill="1"/>
    <xf numFmtId="10" fontId="0" fillId="0" borderId="0" xfId="0" applyNumberFormat="1"/>
    <xf numFmtId="164" fontId="6" fillId="0" borderId="0" xfId="1" applyNumberFormat="1" applyFont="1" applyFill="1" applyBorder="1"/>
    <xf numFmtId="0" fontId="6" fillId="0" borderId="0" xfId="0" applyFont="1" applyFill="1" applyBorder="1"/>
    <xf numFmtId="10" fontId="0" fillId="13" borderId="0" xfId="2" applyNumberFormat="1" applyFont="1" applyFill="1" applyBorder="1"/>
    <xf numFmtId="49" fontId="5" fillId="10" borderId="0" xfId="1" applyNumberFormat="1" applyFont="1" applyFill="1" applyAlignment="1">
      <alignment horizontal="right"/>
    </xf>
    <xf numFmtId="10" fontId="1" fillId="13" borderId="0" xfId="2" applyNumberFormat="1" applyFont="1" applyFill="1" applyBorder="1" applyAlignment="1">
      <alignment horizontal="right"/>
    </xf>
    <xf numFmtId="164" fontId="0" fillId="17" borderId="0" xfId="1" applyNumberFormat="1" applyFont="1" applyFill="1"/>
    <xf numFmtId="164" fontId="1" fillId="0" borderId="0" xfId="1" applyNumberFormat="1" applyFont="1" applyFill="1" applyBorder="1"/>
    <xf numFmtId="165" fontId="1" fillId="0" borderId="0" xfId="2" applyNumberFormat="1" applyFont="1" applyFill="1" applyBorder="1"/>
    <xf numFmtId="0" fontId="1" fillId="0" borderId="0" xfId="0" applyFont="1"/>
    <xf numFmtId="9" fontId="1" fillId="0" borderId="0" xfId="2" applyNumberFormat="1" applyFont="1" applyFill="1" applyBorder="1"/>
    <xf numFmtId="0" fontId="3" fillId="13" borderId="0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24" borderId="0" xfId="0" applyFill="1"/>
    <xf numFmtId="174" fontId="0" fillId="0" borderId="0" xfId="1" applyNumberFormat="1" applyFont="1" applyFill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5" borderId="0" xfId="0" applyFill="1"/>
    <xf numFmtId="0" fontId="0" fillId="20" borderId="0" xfId="0" applyFill="1"/>
    <xf numFmtId="43" fontId="0" fillId="24" borderId="0" xfId="1" applyFont="1" applyFill="1"/>
    <xf numFmtId="164" fontId="0" fillId="24" borderId="0" xfId="1" applyNumberFormat="1" applyFont="1" applyFill="1"/>
    <xf numFmtId="9" fontId="0" fillId="24" borderId="0" xfId="2" applyFont="1" applyFill="1"/>
    <xf numFmtId="165" fontId="0" fillId="24" borderId="0" xfId="2" applyNumberFormat="1" applyFont="1" applyFill="1"/>
    <xf numFmtId="0" fontId="0" fillId="2" borderId="20" xfId="0" applyFill="1" applyBorder="1"/>
    <xf numFmtId="0" fontId="0" fillId="2" borderId="22" xfId="0" applyFill="1" applyBorder="1"/>
    <xf numFmtId="0" fontId="0" fillId="2" borderId="14" xfId="0" applyFill="1" applyBorder="1"/>
    <xf numFmtId="0" fontId="0" fillId="2" borderId="15" xfId="0" applyFill="1" applyBorder="1"/>
    <xf numFmtId="0" fontId="2" fillId="2" borderId="1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164" fontId="0" fillId="2" borderId="0" xfId="0" applyNumberFormat="1" applyFill="1" applyBorder="1"/>
    <xf numFmtId="9" fontId="0" fillId="2" borderId="0" xfId="2" applyFont="1" applyFill="1" applyBorder="1"/>
    <xf numFmtId="0" fontId="0" fillId="2" borderId="16" xfId="0" applyFill="1" applyBorder="1"/>
    <xf numFmtId="0" fontId="0" fillId="2" borderId="17" xfId="0" applyFill="1" applyBorder="1"/>
    <xf numFmtId="43" fontId="0" fillId="2" borderId="17" xfId="0" applyNumberFormat="1" applyFill="1" applyBorder="1"/>
    <xf numFmtId="0" fontId="0" fillId="2" borderId="18" xfId="0" applyFill="1" applyBorder="1"/>
    <xf numFmtId="164" fontId="0" fillId="24" borderId="0" xfId="1" applyNumberFormat="1" applyFont="1" applyFill="1" applyBorder="1"/>
    <xf numFmtId="164" fontId="2" fillId="24" borderId="0" xfId="1" applyNumberFormat="1" applyFont="1" applyFill="1" applyBorder="1" applyAlignment="1"/>
    <xf numFmtId="174" fontId="0" fillId="24" borderId="0" xfId="1" applyNumberFormat="1" applyFont="1" applyFill="1"/>
    <xf numFmtId="174" fontId="0" fillId="24" borderId="0" xfId="0" applyNumberFormat="1" applyFill="1"/>
    <xf numFmtId="14" fontId="0" fillId="24" borderId="0" xfId="1" applyNumberFormat="1" applyFont="1" applyFill="1"/>
    <xf numFmtId="164" fontId="0" fillId="24" borderId="0" xfId="1" applyNumberFormat="1" applyFont="1" applyFill="1" applyBorder="1" applyAlignment="1"/>
    <xf numFmtId="0" fontId="0" fillId="24" borderId="0" xfId="0" applyFill="1" applyBorder="1"/>
    <xf numFmtId="41" fontId="0" fillId="0" borderId="0" xfId="4" applyFont="1"/>
    <xf numFmtId="0" fontId="0" fillId="24" borderId="0" xfId="0" applyFont="1" applyFill="1"/>
    <xf numFmtId="0" fontId="0" fillId="13" borderId="0" xfId="0" applyFill="1"/>
    <xf numFmtId="0" fontId="3" fillId="13" borderId="0" xfId="0" applyFont="1" applyFill="1" applyAlignment="1">
      <alignment horizontal="center"/>
    </xf>
    <xf numFmtId="0" fontId="3" fillId="13" borderId="17" xfId="0" applyFont="1" applyFill="1" applyBorder="1" applyAlignment="1">
      <alignment horizontal="center"/>
    </xf>
    <xf numFmtId="0" fontId="21" fillId="13" borderId="0" xfId="0" applyFont="1" applyFill="1"/>
    <xf numFmtId="0" fontId="20" fillId="13" borderId="0" xfId="0" applyFont="1" applyFill="1"/>
    <xf numFmtId="164" fontId="20" fillId="13" borderId="0" xfId="0" applyNumberFormat="1" applyFont="1" applyFill="1"/>
    <xf numFmtId="165" fontId="20" fillId="13" borderId="0" xfId="2" applyNumberFormat="1" applyFont="1" applyFill="1"/>
    <xf numFmtId="49" fontId="19" fillId="13" borderId="0" xfId="0" applyNumberFormat="1" applyFont="1" applyFill="1"/>
    <xf numFmtId="49" fontId="19" fillId="13" borderId="0" xfId="0" applyNumberFormat="1" applyFont="1" applyFill="1" applyAlignment="1">
      <alignment horizontal="right"/>
    </xf>
    <xf numFmtId="0" fontId="7" fillId="13" borderId="0" xfId="0" applyFont="1" applyFill="1"/>
    <xf numFmtId="0" fontId="18" fillId="13" borderId="0" xfId="0" applyFont="1" applyFill="1" applyBorder="1" applyAlignment="1">
      <alignment horizontal="center"/>
    </xf>
    <xf numFmtId="164" fontId="0" fillId="13" borderId="0" xfId="0" applyNumberFormat="1" applyFill="1"/>
    <xf numFmtId="3" fontId="22" fillId="0" borderId="0" xfId="0" applyNumberFormat="1" applyFont="1"/>
    <xf numFmtId="164" fontId="0" fillId="13" borderId="0" xfId="1" applyNumberFormat="1" applyFont="1" applyFill="1"/>
    <xf numFmtId="164" fontId="0" fillId="24" borderId="17" xfId="1" applyNumberFormat="1" applyFont="1" applyFill="1" applyBorder="1"/>
    <xf numFmtId="164" fontId="0" fillId="13" borderId="17" xfId="1" applyNumberFormat="1" applyFont="1" applyFill="1" applyBorder="1"/>
    <xf numFmtId="9" fontId="0" fillId="13" borderId="0" xfId="2" applyFont="1" applyFill="1" applyBorder="1"/>
    <xf numFmtId="16" fontId="18" fillId="13" borderId="0" xfId="0" applyNumberFormat="1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8" fillId="13" borderId="23" xfId="0" applyFont="1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13" borderId="17" xfId="0" applyFont="1" applyFill="1" applyBorder="1" applyAlignment="1">
      <alignment horizontal="center"/>
    </xf>
    <xf numFmtId="17" fontId="18" fillId="13" borderId="0" xfId="0" applyNumberFormat="1" applyFont="1" applyFill="1" applyBorder="1" applyAlignment="1">
      <alignment horizontal="center"/>
    </xf>
    <xf numFmtId="0" fontId="18" fillId="13" borderId="0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5">
    <cellStyle name="Comma" xfId="1" builtinId="3"/>
    <cellStyle name="Comma [0]" xfId="4" builtinId="6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'Main Table'!$AG$21:$AG$25</c:f>
              <c:strCache>
                <c:ptCount val="5"/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val>
            <c:numRef>
              <c:f>'Main Table'!$AG$26:$AG$243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Table'!$Q$26:$Q$124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Tests Performed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'Main Table'!$BK$40:$BK$271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rgbClr val="C00000"/>
                </a:solidFill>
              </a:ln>
              <a:effectLst/>
            </c:spPr>
            <c:trendlineType val="linear"/>
            <c:dispRSqr val="0"/>
            <c:dispEq val="0"/>
          </c:trendline>
          <c:cat>
            <c:strLit>
              <c:ptCount val="11"/>
              <c:pt idx="0">
                <c:v>1</c:v>
              </c:pt>
              <c:pt idx="1">
                <c:v>8</c:v>
              </c:pt>
              <c:pt idx="2">
                <c:v>15</c:v>
              </c:pt>
              <c:pt idx="3">
                <c:v>22</c:v>
              </c:pt>
              <c:pt idx="4">
                <c:v>29</c:v>
              </c:pt>
              <c:pt idx="5">
                <c:v>36</c:v>
              </c:pt>
              <c:pt idx="6">
                <c:v>43</c:v>
              </c:pt>
              <c:pt idx="7">
                <c:v>50</c:v>
              </c:pt>
              <c:pt idx="8">
                <c:v>57</c:v>
              </c:pt>
              <c:pt idx="9">
                <c:v>64</c:v>
              </c:pt>
              <c:pt idx="10">
                <c:v>71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'Main Table'!$N$131:$N$201</c15:sqref>
                  </c15:fullRef>
                </c:ext>
              </c:extLst>
              <c:f>('Main Table'!$N$131,'Main Table'!$N$138,'Main Table'!$N$145,'Main Table'!$N$152,'Main Table'!$N$159,'Main Table'!$N$166,'Main Table'!$N$173,'Main Table'!$N$180,'Main Table'!$N$187,'Main Table'!$N$194,'Main Table'!$N$201)</c:f>
              <c:numCache>
                <c:formatCode>_(* #,##0_);_(* \(#,##0\);_(* "-"??_);_(@_)</c:formatCode>
                <c:ptCount val="11"/>
                <c:pt idx="0">
                  <c:v>480454</c:v>
                </c:pt>
                <c:pt idx="1">
                  <c:v>473289</c:v>
                </c:pt>
                <c:pt idx="2">
                  <c:v>440452</c:v>
                </c:pt>
                <c:pt idx="3">
                  <c:v>382362</c:v>
                </c:pt>
                <c:pt idx="4">
                  <c:v>364994</c:v>
                </c:pt>
                <c:pt idx="5">
                  <c:v>301969</c:v>
                </c:pt>
                <c:pt idx="6">
                  <c:v>298467</c:v>
                </c:pt>
                <c:pt idx="7">
                  <c:v>293265</c:v>
                </c:pt>
                <c:pt idx="8">
                  <c:v>245652</c:v>
                </c:pt>
                <c:pt idx="9">
                  <c:v>289312</c:v>
                </c:pt>
                <c:pt idx="10">
                  <c:v>290088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E-4DBC-B59C-002FB23B63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2033567856"/>
        <c:axId val="543524000"/>
      </c:barChart>
      <c:catAx>
        <c:axId val="2033567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For Weeks Ending July 19 through September</a:t>
                </a:r>
                <a:r>
                  <a:rPr lang="en-US" sz="1000" b="1" baseline="0"/>
                  <a:t> 13</a:t>
                </a:r>
                <a:r>
                  <a:rPr lang="en-US" sz="1000" b="1"/>
                  <a:t>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3524000"/>
        <c:crosses val="autoZero"/>
        <c:auto val="1"/>
        <c:lblAlgn val="ctr"/>
        <c:lblOffset val="100"/>
        <c:noMultiLvlLbl val="0"/>
      </c:catAx>
      <c:valAx>
        <c:axId val="5435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/>
                  <a:t>Number of New Cases per Week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3567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91</xdr:col>
      <xdr:colOff>259080</xdr:colOff>
      <xdr:row>4</xdr:row>
      <xdr:rowOff>60960</xdr:rowOff>
    </xdr:from>
    <xdr:to>
      <xdr:col>91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5</xdr:row>
      <xdr:rowOff>76200</xdr:rowOff>
    </xdr:from>
    <xdr:to>
      <xdr:col>91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289560</xdr:colOff>
      <xdr:row>7</xdr:row>
      <xdr:rowOff>45720</xdr:rowOff>
    </xdr:from>
    <xdr:to>
      <xdr:col>91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15</xdr:row>
      <xdr:rowOff>0</xdr:rowOff>
    </xdr:from>
    <xdr:to>
      <xdr:col>45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</xdr:row>
      <xdr:rowOff>0</xdr:rowOff>
    </xdr:from>
    <xdr:to>
      <xdr:col>45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</xdr:row>
      <xdr:rowOff>0</xdr:rowOff>
    </xdr:from>
    <xdr:to>
      <xdr:col>45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</xdr:row>
      <xdr:rowOff>0</xdr:rowOff>
    </xdr:from>
    <xdr:to>
      <xdr:col>45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281940</xdr:colOff>
      <xdr:row>5</xdr:row>
      <xdr:rowOff>45720</xdr:rowOff>
    </xdr:from>
    <xdr:to>
      <xdr:col>92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</xdr:row>
      <xdr:rowOff>0</xdr:rowOff>
    </xdr:from>
    <xdr:to>
      <xdr:col>45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</xdr:row>
      <xdr:rowOff>0</xdr:rowOff>
    </xdr:from>
    <xdr:to>
      <xdr:col>45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</xdr:row>
      <xdr:rowOff>0</xdr:rowOff>
    </xdr:from>
    <xdr:to>
      <xdr:col>45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92</xdr:col>
      <xdr:colOff>274320</xdr:colOff>
      <xdr:row>4</xdr:row>
      <xdr:rowOff>22860</xdr:rowOff>
    </xdr:from>
    <xdr:to>
      <xdr:col>92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</xdr:row>
      <xdr:rowOff>0</xdr:rowOff>
    </xdr:from>
    <xdr:to>
      <xdr:col>39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</xdr:row>
      <xdr:rowOff>0</xdr:rowOff>
    </xdr:from>
    <xdr:to>
      <xdr:col>39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</xdr:row>
      <xdr:rowOff>0</xdr:rowOff>
    </xdr:from>
    <xdr:to>
      <xdr:col>39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</xdr:row>
      <xdr:rowOff>0</xdr:rowOff>
    </xdr:from>
    <xdr:to>
      <xdr:col>39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</xdr:row>
      <xdr:rowOff>0</xdr:rowOff>
    </xdr:from>
    <xdr:to>
      <xdr:col>39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</xdr:row>
      <xdr:rowOff>0</xdr:rowOff>
    </xdr:from>
    <xdr:to>
      <xdr:col>39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</xdr:row>
      <xdr:rowOff>0</xdr:rowOff>
    </xdr:from>
    <xdr:to>
      <xdr:col>24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</xdr:row>
      <xdr:rowOff>0</xdr:rowOff>
    </xdr:from>
    <xdr:to>
      <xdr:col>24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</xdr:row>
      <xdr:rowOff>0</xdr:rowOff>
    </xdr:from>
    <xdr:to>
      <xdr:col>24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</xdr:row>
      <xdr:rowOff>0</xdr:rowOff>
    </xdr:from>
    <xdr:to>
      <xdr:col>24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</xdr:row>
      <xdr:rowOff>0</xdr:rowOff>
    </xdr:from>
    <xdr:to>
      <xdr:col>24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</xdr:row>
      <xdr:rowOff>0</xdr:rowOff>
    </xdr:from>
    <xdr:to>
      <xdr:col>24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</xdr:row>
      <xdr:rowOff>0</xdr:rowOff>
    </xdr:from>
    <xdr:to>
      <xdr:col>45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</xdr:row>
      <xdr:rowOff>0</xdr:rowOff>
    </xdr:from>
    <xdr:to>
      <xdr:col>39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</xdr:row>
      <xdr:rowOff>0</xdr:rowOff>
    </xdr:from>
    <xdr:to>
      <xdr:col>24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</xdr:row>
      <xdr:rowOff>0</xdr:rowOff>
    </xdr:from>
    <xdr:to>
      <xdr:col>45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</xdr:row>
      <xdr:rowOff>0</xdr:rowOff>
    </xdr:from>
    <xdr:to>
      <xdr:col>45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</xdr:row>
      <xdr:rowOff>0</xdr:rowOff>
    </xdr:from>
    <xdr:to>
      <xdr:col>45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</xdr:row>
      <xdr:rowOff>0</xdr:rowOff>
    </xdr:from>
    <xdr:to>
      <xdr:col>39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</xdr:row>
      <xdr:rowOff>0</xdr:rowOff>
    </xdr:from>
    <xdr:to>
      <xdr:col>39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</xdr:row>
      <xdr:rowOff>0</xdr:rowOff>
    </xdr:from>
    <xdr:to>
      <xdr:col>39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</xdr:row>
      <xdr:rowOff>0</xdr:rowOff>
    </xdr:from>
    <xdr:to>
      <xdr:col>39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</xdr:row>
      <xdr:rowOff>0</xdr:rowOff>
    </xdr:from>
    <xdr:to>
      <xdr:col>39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</xdr:row>
      <xdr:rowOff>0</xdr:rowOff>
    </xdr:from>
    <xdr:to>
      <xdr:col>24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</xdr:row>
      <xdr:rowOff>0</xdr:rowOff>
    </xdr:from>
    <xdr:to>
      <xdr:col>24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</xdr:row>
      <xdr:rowOff>0</xdr:rowOff>
    </xdr:from>
    <xdr:to>
      <xdr:col>24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</xdr:row>
      <xdr:rowOff>0</xdr:rowOff>
    </xdr:from>
    <xdr:to>
      <xdr:col>24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</xdr:row>
      <xdr:rowOff>0</xdr:rowOff>
    </xdr:from>
    <xdr:to>
      <xdr:col>24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</xdr:row>
      <xdr:rowOff>0</xdr:rowOff>
    </xdr:from>
    <xdr:to>
      <xdr:col>24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9</xdr:row>
      <xdr:rowOff>0</xdr:rowOff>
    </xdr:from>
    <xdr:to>
      <xdr:col>24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11</xdr:row>
      <xdr:rowOff>0</xdr:rowOff>
    </xdr:from>
    <xdr:to>
      <xdr:col>40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10</xdr:row>
      <xdr:rowOff>0</xdr:rowOff>
    </xdr:from>
    <xdr:to>
      <xdr:col>24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</xdr:row>
      <xdr:rowOff>38100</xdr:rowOff>
    </xdr:from>
    <xdr:to>
      <xdr:col>45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</xdr:row>
      <xdr:rowOff>30480</xdr:rowOff>
    </xdr:from>
    <xdr:to>
      <xdr:col>39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</xdr:row>
      <xdr:rowOff>0</xdr:rowOff>
    </xdr:from>
    <xdr:to>
      <xdr:col>71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</xdr:row>
      <xdr:rowOff>0</xdr:rowOff>
    </xdr:from>
    <xdr:to>
      <xdr:col>24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</xdr:row>
      <xdr:rowOff>38100</xdr:rowOff>
    </xdr:from>
    <xdr:to>
      <xdr:col>45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</xdr:row>
      <xdr:rowOff>30480</xdr:rowOff>
    </xdr:from>
    <xdr:to>
      <xdr:col>39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</xdr:row>
      <xdr:rowOff>30480</xdr:rowOff>
    </xdr:from>
    <xdr:to>
      <xdr:col>24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</xdr:row>
      <xdr:rowOff>38100</xdr:rowOff>
    </xdr:from>
    <xdr:to>
      <xdr:col>45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</xdr:row>
      <xdr:rowOff>53340</xdr:rowOff>
    </xdr:from>
    <xdr:to>
      <xdr:col>39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</xdr:row>
      <xdr:rowOff>0</xdr:rowOff>
    </xdr:from>
    <xdr:to>
      <xdr:col>71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25</xdr:row>
      <xdr:rowOff>0</xdr:rowOff>
    </xdr:from>
    <xdr:to>
      <xdr:col>71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26</xdr:row>
      <xdr:rowOff>0</xdr:rowOff>
    </xdr:from>
    <xdr:to>
      <xdr:col>71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27</xdr:row>
      <xdr:rowOff>38100</xdr:rowOff>
    </xdr:from>
    <xdr:to>
      <xdr:col>45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27</xdr:row>
      <xdr:rowOff>0</xdr:rowOff>
    </xdr:from>
    <xdr:to>
      <xdr:col>71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28</xdr:row>
      <xdr:rowOff>0</xdr:rowOff>
    </xdr:from>
    <xdr:to>
      <xdr:col>71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28</xdr:row>
      <xdr:rowOff>60960</xdr:rowOff>
    </xdr:from>
    <xdr:to>
      <xdr:col>45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29</xdr:row>
      <xdr:rowOff>0</xdr:rowOff>
    </xdr:from>
    <xdr:to>
      <xdr:col>71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28</xdr:row>
      <xdr:rowOff>0</xdr:rowOff>
    </xdr:from>
    <xdr:to>
      <xdr:col>39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27</xdr:row>
      <xdr:rowOff>0</xdr:rowOff>
    </xdr:from>
    <xdr:to>
      <xdr:col>39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7620</xdr:colOff>
      <xdr:row>29</xdr:row>
      <xdr:rowOff>53340</xdr:rowOff>
    </xdr:from>
    <xdr:to>
      <xdr:col>45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30</xdr:row>
      <xdr:rowOff>0</xdr:rowOff>
    </xdr:from>
    <xdr:to>
      <xdr:col>71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60960</xdr:colOff>
      <xdr:row>30</xdr:row>
      <xdr:rowOff>30480</xdr:rowOff>
    </xdr:from>
    <xdr:to>
      <xdr:col>39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30</xdr:row>
      <xdr:rowOff>53340</xdr:rowOff>
    </xdr:from>
    <xdr:to>
      <xdr:col>45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31</xdr:row>
      <xdr:rowOff>0</xdr:rowOff>
    </xdr:from>
    <xdr:to>
      <xdr:col>71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29</xdr:row>
      <xdr:rowOff>0</xdr:rowOff>
    </xdr:from>
    <xdr:to>
      <xdr:col>39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31</xdr:row>
      <xdr:rowOff>0</xdr:rowOff>
    </xdr:from>
    <xdr:to>
      <xdr:col>39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31</xdr:row>
      <xdr:rowOff>0</xdr:rowOff>
    </xdr:from>
    <xdr:to>
      <xdr:col>45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31</xdr:row>
      <xdr:rowOff>0</xdr:rowOff>
    </xdr:from>
    <xdr:to>
      <xdr:col>24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29</xdr:row>
      <xdr:rowOff>0</xdr:rowOff>
    </xdr:from>
    <xdr:to>
      <xdr:col>24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27</xdr:row>
      <xdr:rowOff>0</xdr:rowOff>
    </xdr:from>
    <xdr:to>
      <xdr:col>24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</xdr:row>
      <xdr:rowOff>0</xdr:rowOff>
    </xdr:from>
    <xdr:to>
      <xdr:col>24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30</xdr:row>
      <xdr:rowOff>0</xdr:rowOff>
    </xdr:from>
    <xdr:to>
      <xdr:col>24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28</xdr:row>
      <xdr:rowOff>0</xdr:rowOff>
    </xdr:from>
    <xdr:to>
      <xdr:col>24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32</xdr:row>
      <xdr:rowOff>0</xdr:rowOff>
    </xdr:from>
    <xdr:to>
      <xdr:col>71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32</xdr:row>
      <xdr:rowOff>0</xdr:rowOff>
    </xdr:from>
    <xdr:to>
      <xdr:col>24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32</xdr:row>
      <xdr:rowOff>0</xdr:rowOff>
    </xdr:from>
    <xdr:to>
      <xdr:col>39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32</xdr:row>
      <xdr:rowOff>0</xdr:rowOff>
    </xdr:from>
    <xdr:to>
      <xdr:col>45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33</xdr:row>
      <xdr:rowOff>0</xdr:rowOff>
    </xdr:from>
    <xdr:to>
      <xdr:col>71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33</xdr:row>
      <xdr:rowOff>0</xdr:rowOff>
    </xdr:from>
    <xdr:to>
      <xdr:col>45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33</xdr:row>
      <xdr:rowOff>0</xdr:rowOff>
    </xdr:from>
    <xdr:to>
      <xdr:col>39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33</xdr:row>
      <xdr:rowOff>0</xdr:rowOff>
    </xdr:from>
    <xdr:to>
      <xdr:col>24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34</xdr:row>
      <xdr:rowOff>0</xdr:rowOff>
    </xdr:from>
    <xdr:to>
      <xdr:col>71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34</xdr:row>
      <xdr:rowOff>0</xdr:rowOff>
    </xdr:from>
    <xdr:to>
      <xdr:col>45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34</xdr:row>
      <xdr:rowOff>0</xdr:rowOff>
    </xdr:from>
    <xdr:to>
      <xdr:col>24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34</xdr:row>
      <xdr:rowOff>0</xdr:rowOff>
    </xdr:from>
    <xdr:to>
      <xdr:col>39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35</xdr:row>
      <xdr:rowOff>0</xdr:rowOff>
    </xdr:from>
    <xdr:to>
      <xdr:col>71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35</xdr:row>
      <xdr:rowOff>0</xdr:rowOff>
    </xdr:from>
    <xdr:to>
      <xdr:col>45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35</xdr:row>
      <xdr:rowOff>0</xdr:rowOff>
    </xdr:from>
    <xdr:to>
      <xdr:col>39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35</xdr:row>
      <xdr:rowOff>0</xdr:rowOff>
    </xdr:from>
    <xdr:to>
      <xdr:col>24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36</xdr:row>
      <xdr:rowOff>0</xdr:rowOff>
    </xdr:from>
    <xdr:to>
      <xdr:col>71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36</xdr:row>
      <xdr:rowOff>0</xdr:rowOff>
    </xdr:from>
    <xdr:to>
      <xdr:col>45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36</xdr:row>
      <xdr:rowOff>0</xdr:rowOff>
    </xdr:from>
    <xdr:to>
      <xdr:col>24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36</xdr:row>
      <xdr:rowOff>0</xdr:rowOff>
    </xdr:from>
    <xdr:to>
      <xdr:col>39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71</xdr:col>
      <xdr:colOff>0</xdr:colOff>
      <xdr:row>37</xdr:row>
      <xdr:rowOff>0</xdr:rowOff>
    </xdr:from>
    <xdr:to>
      <xdr:col>71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37</xdr:row>
      <xdr:rowOff>0</xdr:rowOff>
    </xdr:from>
    <xdr:to>
      <xdr:col>24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37</xdr:row>
      <xdr:rowOff>0</xdr:rowOff>
    </xdr:from>
    <xdr:to>
      <xdr:col>39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37</xdr:row>
      <xdr:rowOff>0</xdr:rowOff>
    </xdr:from>
    <xdr:to>
      <xdr:col>45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38</xdr:row>
      <xdr:rowOff>0</xdr:rowOff>
    </xdr:from>
    <xdr:to>
      <xdr:col>71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38</xdr:row>
      <xdr:rowOff>0</xdr:rowOff>
    </xdr:from>
    <xdr:to>
      <xdr:col>39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38</xdr:row>
      <xdr:rowOff>0</xdr:rowOff>
    </xdr:from>
    <xdr:to>
      <xdr:col>45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38</xdr:row>
      <xdr:rowOff>0</xdr:rowOff>
    </xdr:from>
    <xdr:to>
      <xdr:col>24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39</xdr:row>
      <xdr:rowOff>0</xdr:rowOff>
    </xdr:from>
    <xdr:to>
      <xdr:col>24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39</xdr:row>
      <xdr:rowOff>0</xdr:rowOff>
    </xdr:from>
    <xdr:to>
      <xdr:col>45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39</xdr:row>
      <xdr:rowOff>0</xdr:rowOff>
    </xdr:from>
    <xdr:to>
      <xdr:col>39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40</xdr:row>
      <xdr:rowOff>0</xdr:rowOff>
    </xdr:from>
    <xdr:to>
      <xdr:col>39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40</xdr:row>
      <xdr:rowOff>0</xdr:rowOff>
    </xdr:from>
    <xdr:to>
      <xdr:col>24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40</xdr:row>
      <xdr:rowOff>0</xdr:rowOff>
    </xdr:from>
    <xdr:to>
      <xdr:col>45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41</xdr:row>
      <xdr:rowOff>0</xdr:rowOff>
    </xdr:from>
    <xdr:to>
      <xdr:col>24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41</xdr:row>
      <xdr:rowOff>0</xdr:rowOff>
    </xdr:from>
    <xdr:to>
      <xdr:col>39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41</xdr:row>
      <xdr:rowOff>0</xdr:rowOff>
    </xdr:from>
    <xdr:to>
      <xdr:col>45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42</xdr:row>
      <xdr:rowOff>0</xdr:rowOff>
    </xdr:from>
    <xdr:to>
      <xdr:col>24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42</xdr:row>
      <xdr:rowOff>0</xdr:rowOff>
    </xdr:from>
    <xdr:to>
      <xdr:col>39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42</xdr:row>
      <xdr:rowOff>0</xdr:rowOff>
    </xdr:from>
    <xdr:to>
      <xdr:col>45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43</xdr:row>
      <xdr:rowOff>0</xdr:rowOff>
    </xdr:from>
    <xdr:to>
      <xdr:col>24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43</xdr:row>
      <xdr:rowOff>0</xdr:rowOff>
    </xdr:from>
    <xdr:to>
      <xdr:col>39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43</xdr:row>
      <xdr:rowOff>0</xdr:rowOff>
    </xdr:from>
    <xdr:to>
      <xdr:col>71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39</xdr:row>
      <xdr:rowOff>0</xdr:rowOff>
    </xdr:from>
    <xdr:to>
      <xdr:col>71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40</xdr:row>
      <xdr:rowOff>0</xdr:rowOff>
    </xdr:from>
    <xdr:to>
      <xdr:col>71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41</xdr:row>
      <xdr:rowOff>0</xdr:rowOff>
    </xdr:from>
    <xdr:to>
      <xdr:col>71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42</xdr:row>
      <xdr:rowOff>0</xdr:rowOff>
    </xdr:from>
    <xdr:to>
      <xdr:col>71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43</xdr:row>
      <xdr:rowOff>0</xdr:rowOff>
    </xdr:from>
    <xdr:to>
      <xdr:col>45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40</xdr:row>
      <xdr:rowOff>0</xdr:rowOff>
    </xdr:from>
    <xdr:to>
      <xdr:col>60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41</xdr:row>
      <xdr:rowOff>0</xdr:rowOff>
    </xdr:from>
    <xdr:to>
      <xdr:col>60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42</xdr:row>
      <xdr:rowOff>0</xdr:rowOff>
    </xdr:from>
    <xdr:to>
      <xdr:col>60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43</xdr:row>
      <xdr:rowOff>0</xdr:rowOff>
    </xdr:from>
    <xdr:to>
      <xdr:col>60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39</xdr:row>
      <xdr:rowOff>0</xdr:rowOff>
    </xdr:from>
    <xdr:to>
      <xdr:col>60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44</xdr:row>
      <xdr:rowOff>0</xdr:rowOff>
    </xdr:from>
    <xdr:to>
      <xdr:col>39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44</xdr:row>
      <xdr:rowOff>0</xdr:rowOff>
    </xdr:from>
    <xdr:to>
      <xdr:col>45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44</xdr:row>
      <xdr:rowOff>0</xdr:rowOff>
    </xdr:from>
    <xdr:to>
      <xdr:col>60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44</xdr:row>
      <xdr:rowOff>0</xdr:rowOff>
    </xdr:from>
    <xdr:to>
      <xdr:col>71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44</xdr:row>
      <xdr:rowOff>0</xdr:rowOff>
    </xdr:from>
    <xdr:to>
      <xdr:col>24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45</xdr:row>
      <xdr:rowOff>0</xdr:rowOff>
    </xdr:from>
    <xdr:to>
      <xdr:col>45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45</xdr:row>
      <xdr:rowOff>0</xdr:rowOff>
    </xdr:from>
    <xdr:to>
      <xdr:col>24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45</xdr:row>
      <xdr:rowOff>0</xdr:rowOff>
    </xdr:from>
    <xdr:to>
      <xdr:col>60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45</xdr:row>
      <xdr:rowOff>0</xdr:rowOff>
    </xdr:from>
    <xdr:to>
      <xdr:col>71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45</xdr:row>
      <xdr:rowOff>0</xdr:rowOff>
    </xdr:from>
    <xdr:to>
      <xdr:col>39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46</xdr:row>
      <xdr:rowOff>0</xdr:rowOff>
    </xdr:from>
    <xdr:to>
      <xdr:col>71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24</xdr:col>
      <xdr:colOff>0</xdr:colOff>
      <xdr:row>46</xdr:row>
      <xdr:rowOff>0</xdr:rowOff>
    </xdr:from>
    <xdr:to>
      <xdr:col>24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46</xdr:row>
      <xdr:rowOff>0</xdr:rowOff>
    </xdr:from>
    <xdr:to>
      <xdr:col>60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46</xdr:row>
      <xdr:rowOff>0</xdr:rowOff>
    </xdr:from>
    <xdr:to>
      <xdr:col>45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46</xdr:row>
      <xdr:rowOff>0</xdr:rowOff>
    </xdr:from>
    <xdr:to>
      <xdr:col>39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47</xdr:row>
      <xdr:rowOff>0</xdr:rowOff>
    </xdr:from>
    <xdr:to>
      <xdr:col>39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47</xdr:row>
      <xdr:rowOff>0</xdr:rowOff>
    </xdr:from>
    <xdr:to>
      <xdr:col>45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47</xdr:row>
      <xdr:rowOff>0</xdr:rowOff>
    </xdr:from>
    <xdr:to>
      <xdr:col>60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47</xdr:row>
      <xdr:rowOff>0</xdr:rowOff>
    </xdr:from>
    <xdr:to>
      <xdr:col>71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47</xdr:row>
      <xdr:rowOff>0</xdr:rowOff>
    </xdr:from>
    <xdr:to>
      <xdr:col>24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48</xdr:row>
      <xdr:rowOff>0</xdr:rowOff>
    </xdr:from>
    <xdr:to>
      <xdr:col>24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48</xdr:row>
      <xdr:rowOff>0</xdr:rowOff>
    </xdr:from>
    <xdr:to>
      <xdr:col>39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48</xdr:row>
      <xdr:rowOff>0</xdr:rowOff>
    </xdr:from>
    <xdr:to>
      <xdr:col>71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49</xdr:row>
      <xdr:rowOff>0</xdr:rowOff>
    </xdr:from>
    <xdr:to>
      <xdr:col>60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49</xdr:row>
      <xdr:rowOff>0</xdr:rowOff>
    </xdr:from>
    <xdr:to>
      <xdr:col>24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49</xdr:row>
      <xdr:rowOff>0</xdr:rowOff>
    </xdr:from>
    <xdr:to>
      <xdr:col>71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49</xdr:row>
      <xdr:rowOff>0</xdr:rowOff>
    </xdr:from>
    <xdr:to>
      <xdr:col>45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49</xdr:row>
      <xdr:rowOff>0</xdr:rowOff>
    </xdr:from>
    <xdr:to>
      <xdr:col>39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50</xdr:row>
      <xdr:rowOff>0</xdr:rowOff>
    </xdr:from>
    <xdr:to>
      <xdr:col>24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50</xdr:row>
      <xdr:rowOff>0</xdr:rowOff>
    </xdr:from>
    <xdr:to>
      <xdr:col>45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50</xdr:row>
      <xdr:rowOff>0</xdr:rowOff>
    </xdr:from>
    <xdr:to>
      <xdr:col>71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60</xdr:col>
      <xdr:colOff>0</xdr:colOff>
      <xdr:row>50</xdr:row>
      <xdr:rowOff>0</xdr:rowOff>
    </xdr:from>
    <xdr:to>
      <xdr:col>60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48</xdr:row>
      <xdr:rowOff>0</xdr:rowOff>
    </xdr:from>
    <xdr:to>
      <xdr:col>60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50</xdr:row>
      <xdr:rowOff>0</xdr:rowOff>
    </xdr:from>
    <xdr:to>
      <xdr:col>39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51</xdr:row>
      <xdr:rowOff>0</xdr:rowOff>
    </xdr:from>
    <xdr:to>
      <xdr:col>24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51</xdr:row>
      <xdr:rowOff>0</xdr:rowOff>
    </xdr:from>
    <xdr:to>
      <xdr:col>45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51</xdr:row>
      <xdr:rowOff>0</xdr:rowOff>
    </xdr:from>
    <xdr:to>
      <xdr:col>39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51</xdr:row>
      <xdr:rowOff>0</xdr:rowOff>
    </xdr:from>
    <xdr:to>
      <xdr:col>60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51</xdr:row>
      <xdr:rowOff>0</xdr:rowOff>
    </xdr:from>
    <xdr:to>
      <xdr:col>71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52</xdr:row>
      <xdr:rowOff>0</xdr:rowOff>
    </xdr:from>
    <xdr:to>
      <xdr:col>45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52</xdr:row>
      <xdr:rowOff>0</xdr:rowOff>
    </xdr:from>
    <xdr:to>
      <xdr:col>39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52</xdr:row>
      <xdr:rowOff>0</xdr:rowOff>
    </xdr:from>
    <xdr:to>
      <xdr:col>60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52</xdr:row>
      <xdr:rowOff>0</xdr:rowOff>
    </xdr:from>
    <xdr:to>
      <xdr:col>71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52</xdr:row>
      <xdr:rowOff>0</xdr:rowOff>
    </xdr:from>
    <xdr:to>
      <xdr:col>24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53</xdr:row>
      <xdr:rowOff>0</xdr:rowOff>
    </xdr:from>
    <xdr:to>
      <xdr:col>45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53</xdr:row>
      <xdr:rowOff>0</xdr:rowOff>
    </xdr:from>
    <xdr:to>
      <xdr:col>24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53</xdr:row>
      <xdr:rowOff>0</xdr:rowOff>
    </xdr:from>
    <xdr:to>
      <xdr:col>71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53</xdr:row>
      <xdr:rowOff>0</xdr:rowOff>
    </xdr:from>
    <xdr:to>
      <xdr:col>60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53</xdr:row>
      <xdr:rowOff>0</xdr:rowOff>
    </xdr:from>
    <xdr:to>
      <xdr:col>39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54</xdr:row>
      <xdr:rowOff>0</xdr:rowOff>
    </xdr:from>
    <xdr:to>
      <xdr:col>45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54</xdr:row>
      <xdr:rowOff>0</xdr:rowOff>
    </xdr:from>
    <xdr:to>
      <xdr:col>71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54</xdr:row>
      <xdr:rowOff>0</xdr:rowOff>
    </xdr:from>
    <xdr:to>
      <xdr:col>60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54</xdr:row>
      <xdr:rowOff>0</xdr:rowOff>
    </xdr:from>
    <xdr:to>
      <xdr:col>39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54</xdr:row>
      <xdr:rowOff>0</xdr:rowOff>
    </xdr:from>
    <xdr:to>
      <xdr:col>24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55</xdr:row>
      <xdr:rowOff>0</xdr:rowOff>
    </xdr:from>
    <xdr:to>
      <xdr:col>45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55</xdr:row>
      <xdr:rowOff>0</xdr:rowOff>
    </xdr:from>
    <xdr:to>
      <xdr:col>71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55</xdr:row>
      <xdr:rowOff>0</xdr:rowOff>
    </xdr:from>
    <xdr:to>
      <xdr:col>39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55</xdr:row>
      <xdr:rowOff>0</xdr:rowOff>
    </xdr:from>
    <xdr:to>
      <xdr:col>24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55</xdr:row>
      <xdr:rowOff>0</xdr:rowOff>
    </xdr:from>
    <xdr:to>
      <xdr:col>60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56</xdr:row>
      <xdr:rowOff>0</xdr:rowOff>
    </xdr:from>
    <xdr:to>
      <xdr:col>45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56</xdr:row>
      <xdr:rowOff>0</xdr:rowOff>
    </xdr:from>
    <xdr:to>
      <xdr:col>71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56</xdr:row>
      <xdr:rowOff>0</xdr:rowOff>
    </xdr:from>
    <xdr:to>
      <xdr:col>24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56</xdr:row>
      <xdr:rowOff>0</xdr:rowOff>
    </xdr:from>
    <xdr:to>
      <xdr:col>39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56</xdr:row>
      <xdr:rowOff>0</xdr:rowOff>
    </xdr:from>
    <xdr:to>
      <xdr:col>60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57</xdr:row>
      <xdr:rowOff>0</xdr:rowOff>
    </xdr:from>
    <xdr:to>
      <xdr:col>45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57</xdr:row>
      <xdr:rowOff>0</xdr:rowOff>
    </xdr:from>
    <xdr:to>
      <xdr:col>39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57</xdr:row>
      <xdr:rowOff>0</xdr:rowOff>
    </xdr:from>
    <xdr:to>
      <xdr:col>60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57</xdr:row>
      <xdr:rowOff>0</xdr:rowOff>
    </xdr:from>
    <xdr:to>
      <xdr:col>71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57</xdr:row>
      <xdr:rowOff>0</xdr:rowOff>
    </xdr:from>
    <xdr:to>
      <xdr:col>24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58</xdr:row>
      <xdr:rowOff>0</xdr:rowOff>
    </xdr:from>
    <xdr:to>
      <xdr:col>45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58</xdr:row>
      <xdr:rowOff>0</xdr:rowOff>
    </xdr:from>
    <xdr:to>
      <xdr:col>39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58</xdr:row>
      <xdr:rowOff>0</xdr:rowOff>
    </xdr:from>
    <xdr:to>
      <xdr:col>60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58</xdr:row>
      <xdr:rowOff>0</xdr:rowOff>
    </xdr:from>
    <xdr:to>
      <xdr:col>71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58</xdr:row>
      <xdr:rowOff>0</xdr:rowOff>
    </xdr:from>
    <xdr:to>
      <xdr:col>24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59</xdr:row>
      <xdr:rowOff>0</xdr:rowOff>
    </xdr:from>
    <xdr:to>
      <xdr:col>45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59</xdr:row>
      <xdr:rowOff>0</xdr:rowOff>
    </xdr:from>
    <xdr:to>
      <xdr:col>39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59</xdr:row>
      <xdr:rowOff>0</xdr:rowOff>
    </xdr:from>
    <xdr:to>
      <xdr:col>71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59</xdr:row>
      <xdr:rowOff>0</xdr:rowOff>
    </xdr:from>
    <xdr:to>
      <xdr:col>24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59</xdr:row>
      <xdr:rowOff>0</xdr:rowOff>
    </xdr:from>
    <xdr:to>
      <xdr:col>60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60</xdr:row>
      <xdr:rowOff>0</xdr:rowOff>
    </xdr:from>
    <xdr:to>
      <xdr:col>45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60</xdr:row>
      <xdr:rowOff>0</xdr:rowOff>
    </xdr:from>
    <xdr:to>
      <xdr:col>39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60</xdr:row>
      <xdr:rowOff>0</xdr:rowOff>
    </xdr:from>
    <xdr:to>
      <xdr:col>71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60</xdr:row>
      <xdr:rowOff>0</xdr:rowOff>
    </xdr:from>
    <xdr:to>
      <xdr:col>24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60</xdr:row>
      <xdr:rowOff>0</xdr:rowOff>
    </xdr:from>
    <xdr:to>
      <xdr:col>60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61</xdr:row>
      <xdr:rowOff>0</xdr:rowOff>
    </xdr:from>
    <xdr:to>
      <xdr:col>45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24</xdr:col>
      <xdr:colOff>0</xdr:colOff>
      <xdr:row>61</xdr:row>
      <xdr:rowOff>0</xdr:rowOff>
    </xdr:from>
    <xdr:to>
      <xdr:col>24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61</xdr:row>
      <xdr:rowOff>0</xdr:rowOff>
    </xdr:from>
    <xdr:to>
      <xdr:col>39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61</xdr:row>
      <xdr:rowOff>0</xdr:rowOff>
    </xdr:from>
    <xdr:to>
      <xdr:col>60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61</xdr:row>
      <xdr:rowOff>0</xdr:rowOff>
    </xdr:from>
    <xdr:to>
      <xdr:col>71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45</xdr:col>
      <xdr:colOff>0</xdr:colOff>
      <xdr:row>62</xdr:row>
      <xdr:rowOff>0</xdr:rowOff>
    </xdr:from>
    <xdr:to>
      <xdr:col>45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62</xdr:row>
      <xdr:rowOff>0</xdr:rowOff>
    </xdr:from>
    <xdr:to>
      <xdr:col>24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62</xdr:row>
      <xdr:rowOff>0</xdr:rowOff>
    </xdr:from>
    <xdr:to>
      <xdr:col>39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62</xdr:row>
      <xdr:rowOff>0</xdr:rowOff>
    </xdr:from>
    <xdr:to>
      <xdr:col>60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62</xdr:row>
      <xdr:rowOff>0</xdr:rowOff>
    </xdr:from>
    <xdr:to>
      <xdr:col>71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63</xdr:row>
      <xdr:rowOff>0</xdr:rowOff>
    </xdr:from>
    <xdr:to>
      <xdr:col>45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63</xdr:row>
      <xdr:rowOff>0</xdr:rowOff>
    </xdr:from>
    <xdr:to>
      <xdr:col>24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63</xdr:row>
      <xdr:rowOff>0</xdr:rowOff>
    </xdr:from>
    <xdr:to>
      <xdr:col>39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63</xdr:row>
      <xdr:rowOff>0</xdr:rowOff>
    </xdr:from>
    <xdr:to>
      <xdr:col>60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63</xdr:row>
      <xdr:rowOff>0</xdr:rowOff>
    </xdr:from>
    <xdr:to>
      <xdr:col>71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64</xdr:row>
      <xdr:rowOff>0</xdr:rowOff>
    </xdr:from>
    <xdr:to>
      <xdr:col>45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64</xdr:row>
      <xdr:rowOff>0</xdr:rowOff>
    </xdr:from>
    <xdr:to>
      <xdr:col>71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64</xdr:row>
      <xdr:rowOff>0</xdr:rowOff>
    </xdr:from>
    <xdr:to>
      <xdr:col>60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64</xdr:row>
      <xdr:rowOff>0</xdr:rowOff>
    </xdr:from>
    <xdr:to>
      <xdr:col>24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64</xdr:row>
      <xdr:rowOff>0</xdr:rowOff>
    </xdr:from>
    <xdr:to>
      <xdr:col>39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65</xdr:row>
      <xdr:rowOff>0</xdr:rowOff>
    </xdr:from>
    <xdr:to>
      <xdr:col>45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65</xdr:row>
      <xdr:rowOff>0</xdr:rowOff>
    </xdr:from>
    <xdr:to>
      <xdr:col>71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65</xdr:row>
      <xdr:rowOff>0</xdr:rowOff>
    </xdr:from>
    <xdr:to>
      <xdr:col>24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65</xdr:row>
      <xdr:rowOff>0</xdr:rowOff>
    </xdr:from>
    <xdr:to>
      <xdr:col>39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65</xdr:row>
      <xdr:rowOff>0</xdr:rowOff>
    </xdr:from>
    <xdr:to>
      <xdr:col>60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66</xdr:row>
      <xdr:rowOff>0</xdr:rowOff>
    </xdr:from>
    <xdr:to>
      <xdr:col>45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66</xdr:row>
      <xdr:rowOff>0</xdr:rowOff>
    </xdr:from>
    <xdr:to>
      <xdr:col>71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66</xdr:row>
      <xdr:rowOff>0</xdr:rowOff>
    </xdr:from>
    <xdr:to>
      <xdr:col>24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66</xdr:row>
      <xdr:rowOff>0</xdr:rowOff>
    </xdr:from>
    <xdr:to>
      <xdr:col>39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66</xdr:row>
      <xdr:rowOff>0</xdr:rowOff>
    </xdr:from>
    <xdr:to>
      <xdr:col>60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48</xdr:row>
      <xdr:rowOff>0</xdr:rowOff>
    </xdr:from>
    <xdr:to>
      <xdr:col>45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67</xdr:row>
      <xdr:rowOff>0</xdr:rowOff>
    </xdr:from>
    <xdr:to>
      <xdr:col>45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67</xdr:row>
      <xdr:rowOff>0</xdr:rowOff>
    </xdr:from>
    <xdr:to>
      <xdr:col>71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67</xdr:row>
      <xdr:rowOff>0</xdr:rowOff>
    </xdr:from>
    <xdr:to>
      <xdr:col>24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22</xdr:col>
      <xdr:colOff>137160</xdr:colOff>
      <xdr:row>287</xdr:row>
      <xdr:rowOff>99060</xdr:rowOff>
    </xdr:from>
    <xdr:to>
      <xdr:col>22</xdr:col>
      <xdr:colOff>312420</xdr:colOff>
      <xdr:row>288</xdr:row>
      <xdr:rowOff>83820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4846320" y="26906220"/>
          <a:ext cx="175260" cy="18288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22</xdr:col>
      <xdr:colOff>525780</xdr:colOff>
      <xdr:row>287</xdr:row>
      <xdr:rowOff>129540</xdr:rowOff>
    </xdr:from>
    <xdr:to>
      <xdr:col>23</xdr:col>
      <xdr:colOff>68580</xdr:colOff>
      <xdr:row>288</xdr:row>
      <xdr:rowOff>114300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5234940" y="26936700"/>
          <a:ext cx="152400" cy="18288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39</xdr:col>
      <xdr:colOff>0</xdr:colOff>
      <xdr:row>67</xdr:row>
      <xdr:rowOff>0</xdr:rowOff>
    </xdr:from>
    <xdr:to>
      <xdr:col>39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67</xdr:row>
      <xdr:rowOff>0</xdr:rowOff>
    </xdr:from>
    <xdr:to>
      <xdr:col>60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68</xdr:row>
      <xdr:rowOff>0</xdr:rowOff>
    </xdr:from>
    <xdr:to>
      <xdr:col>45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68</xdr:row>
      <xdr:rowOff>0</xdr:rowOff>
    </xdr:from>
    <xdr:to>
      <xdr:col>71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68</xdr:row>
      <xdr:rowOff>0</xdr:rowOff>
    </xdr:from>
    <xdr:to>
      <xdr:col>24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68</xdr:row>
      <xdr:rowOff>0</xdr:rowOff>
    </xdr:from>
    <xdr:to>
      <xdr:col>39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68</xdr:row>
      <xdr:rowOff>0</xdr:rowOff>
    </xdr:from>
    <xdr:to>
      <xdr:col>60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69</xdr:row>
      <xdr:rowOff>0</xdr:rowOff>
    </xdr:from>
    <xdr:to>
      <xdr:col>71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69</xdr:row>
      <xdr:rowOff>0</xdr:rowOff>
    </xdr:from>
    <xdr:to>
      <xdr:col>24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69</xdr:row>
      <xdr:rowOff>0</xdr:rowOff>
    </xdr:from>
    <xdr:to>
      <xdr:col>39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69</xdr:row>
      <xdr:rowOff>0</xdr:rowOff>
    </xdr:from>
    <xdr:to>
      <xdr:col>60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69</xdr:row>
      <xdr:rowOff>0</xdr:rowOff>
    </xdr:from>
    <xdr:to>
      <xdr:col>46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70</xdr:row>
      <xdr:rowOff>0</xdr:rowOff>
    </xdr:from>
    <xdr:to>
      <xdr:col>71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70</xdr:row>
      <xdr:rowOff>0</xdr:rowOff>
    </xdr:from>
    <xdr:to>
      <xdr:col>24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70</xdr:row>
      <xdr:rowOff>0</xdr:rowOff>
    </xdr:from>
    <xdr:to>
      <xdr:col>39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70</xdr:row>
      <xdr:rowOff>0</xdr:rowOff>
    </xdr:from>
    <xdr:to>
      <xdr:col>45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70</xdr:row>
      <xdr:rowOff>0</xdr:rowOff>
    </xdr:from>
    <xdr:to>
      <xdr:col>60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71</xdr:row>
      <xdr:rowOff>0</xdr:rowOff>
    </xdr:from>
    <xdr:to>
      <xdr:col>71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71</xdr:row>
      <xdr:rowOff>0</xdr:rowOff>
    </xdr:from>
    <xdr:to>
      <xdr:col>39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71</xdr:row>
      <xdr:rowOff>0</xdr:rowOff>
    </xdr:from>
    <xdr:to>
      <xdr:col>45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71</xdr:row>
      <xdr:rowOff>0</xdr:rowOff>
    </xdr:from>
    <xdr:to>
      <xdr:col>60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71</xdr:row>
      <xdr:rowOff>0</xdr:rowOff>
    </xdr:from>
    <xdr:to>
      <xdr:col>24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72</xdr:row>
      <xdr:rowOff>0</xdr:rowOff>
    </xdr:from>
    <xdr:to>
      <xdr:col>71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72</xdr:row>
      <xdr:rowOff>0</xdr:rowOff>
    </xdr:from>
    <xdr:to>
      <xdr:col>39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72</xdr:row>
      <xdr:rowOff>0</xdr:rowOff>
    </xdr:from>
    <xdr:to>
      <xdr:col>45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60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72</xdr:row>
      <xdr:rowOff>0</xdr:rowOff>
    </xdr:from>
    <xdr:to>
      <xdr:col>24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73</xdr:row>
      <xdr:rowOff>0</xdr:rowOff>
    </xdr:from>
    <xdr:to>
      <xdr:col>71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73</xdr:row>
      <xdr:rowOff>0</xdr:rowOff>
    </xdr:from>
    <xdr:to>
      <xdr:col>45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73</xdr:row>
      <xdr:rowOff>0</xdr:rowOff>
    </xdr:from>
    <xdr:to>
      <xdr:col>60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24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73</xdr:row>
      <xdr:rowOff>0</xdr:rowOff>
    </xdr:from>
    <xdr:to>
      <xdr:col>39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74</xdr:row>
      <xdr:rowOff>0</xdr:rowOff>
    </xdr:from>
    <xdr:to>
      <xdr:col>71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74</xdr:row>
      <xdr:rowOff>0</xdr:rowOff>
    </xdr:from>
    <xdr:to>
      <xdr:col>24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74</xdr:row>
      <xdr:rowOff>0</xdr:rowOff>
    </xdr:from>
    <xdr:to>
      <xdr:col>39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22</xdr:col>
      <xdr:colOff>480060</xdr:colOff>
      <xdr:row>6</xdr:row>
      <xdr:rowOff>121920</xdr:rowOff>
    </xdr:from>
    <xdr:to>
      <xdr:col>34</xdr:col>
      <xdr:colOff>464820</xdr:colOff>
      <xdr:row>24</xdr:row>
      <xdr:rowOff>83820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80</xdr:col>
      <xdr:colOff>91440</xdr:colOff>
      <xdr:row>26</xdr:row>
      <xdr:rowOff>160020</xdr:rowOff>
    </xdr:from>
    <xdr:to>
      <xdr:col>90</xdr:col>
      <xdr:colOff>144780</xdr:colOff>
      <xdr:row>44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49</xdr:col>
      <xdr:colOff>259080</xdr:colOff>
      <xdr:row>4</xdr:row>
      <xdr:rowOff>7620</xdr:rowOff>
    </xdr:from>
    <xdr:to>
      <xdr:col>65</xdr:col>
      <xdr:colOff>281940</xdr:colOff>
      <xdr:row>21</xdr:row>
      <xdr:rowOff>129540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45</xdr:col>
      <xdr:colOff>0</xdr:colOff>
      <xdr:row>74</xdr:row>
      <xdr:rowOff>0</xdr:rowOff>
    </xdr:from>
    <xdr:to>
      <xdr:col>45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74</xdr:row>
      <xdr:rowOff>0</xdr:rowOff>
    </xdr:from>
    <xdr:to>
      <xdr:col>60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75</xdr:row>
      <xdr:rowOff>0</xdr:rowOff>
    </xdr:from>
    <xdr:to>
      <xdr:col>71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75</xdr:row>
      <xdr:rowOff>0</xdr:rowOff>
    </xdr:from>
    <xdr:to>
      <xdr:col>24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75</xdr:row>
      <xdr:rowOff>0</xdr:rowOff>
    </xdr:from>
    <xdr:to>
      <xdr:col>39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75</xdr:row>
      <xdr:rowOff>0</xdr:rowOff>
    </xdr:from>
    <xdr:to>
      <xdr:col>45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60</xdr:col>
      <xdr:colOff>0</xdr:colOff>
      <xdr:row>75</xdr:row>
      <xdr:rowOff>0</xdr:rowOff>
    </xdr:from>
    <xdr:to>
      <xdr:col>60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76</xdr:row>
      <xdr:rowOff>0</xdr:rowOff>
    </xdr:from>
    <xdr:to>
      <xdr:col>71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76</xdr:row>
      <xdr:rowOff>0</xdr:rowOff>
    </xdr:from>
    <xdr:to>
      <xdr:col>39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76</xdr:row>
      <xdr:rowOff>0</xdr:rowOff>
    </xdr:from>
    <xdr:to>
      <xdr:col>45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76</xdr:row>
      <xdr:rowOff>0</xdr:rowOff>
    </xdr:from>
    <xdr:to>
      <xdr:col>60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76</xdr:row>
      <xdr:rowOff>0</xdr:rowOff>
    </xdr:from>
    <xdr:to>
      <xdr:col>24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77</xdr:row>
      <xdr:rowOff>0</xdr:rowOff>
    </xdr:from>
    <xdr:to>
      <xdr:col>71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77</xdr:row>
      <xdr:rowOff>0</xdr:rowOff>
    </xdr:from>
    <xdr:to>
      <xdr:col>45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77</xdr:row>
      <xdr:rowOff>0</xdr:rowOff>
    </xdr:from>
    <xdr:to>
      <xdr:col>60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77</xdr:row>
      <xdr:rowOff>0</xdr:rowOff>
    </xdr:from>
    <xdr:to>
      <xdr:col>24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77</xdr:row>
      <xdr:rowOff>0</xdr:rowOff>
    </xdr:from>
    <xdr:to>
      <xdr:col>39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78</xdr:row>
      <xdr:rowOff>0</xdr:rowOff>
    </xdr:from>
    <xdr:to>
      <xdr:col>71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78</xdr:row>
      <xdr:rowOff>0</xdr:rowOff>
    </xdr:from>
    <xdr:to>
      <xdr:col>45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78</xdr:row>
      <xdr:rowOff>0</xdr:rowOff>
    </xdr:from>
    <xdr:to>
      <xdr:col>39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78</xdr:row>
      <xdr:rowOff>0</xdr:rowOff>
    </xdr:from>
    <xdr:to>
      <xdr:col>24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78</xdr:row>
      <xdr:rowOff>0</xdr:rowOff>
    </xdr:from>
    <xdr:to>
      <xdr:col>60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79</xdr:row>
      <xdr:rowOff>0</xdr:rowOff>
    </xdr:from>
    <xdr:to>
      <xdr:col>24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79</xdr:row>
      <xdr:rowOff>0</xdr:rowOff>
    </xdr:from>
    <xdr:to>
      <xdr:col>45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79</xdr:row>
      <xdr:rowOff>0</xdr:rowOff>
    </xdr:from>
    <xdr:to>
      <xdr:col>60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79</xdr:row>
      <xdr:rowOff>0</xdr:rowOff>
    </xdr:from>
    <xdr:to>
      <xdr:col>71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80</xdr:row>
      <xdr:rowOff>0</xdr:rowOff>
    </xdr:from>
    <xdr:to>
      <xdr:col>24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80</xdr:row>
      <xdr:rowOff>0</xdr:rowOff>
    </xdr:from>
    <xdr:to>
      <xdr:col>45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80</xdr:row>
      <xdr:rowOff>0</xdr:rowOff>
    </xdr:from>
    <xdr:to>
      <xdr:col>71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80</xdr:row>
      <xdr:rowOff>0</xdr:rowOff>
    </xdr:from>
    <xdr:to>
      <xdr:col>39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80</xdr:row>
      <xdr:rowOff>0</xdr:rowOff>
    </xdr:from>
    <xdr:to>
      <xdr:col>60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81</xdr:row>
      <xdr:rowOff>0</xdr:rowOff>
    </xdr:from>
    <xdr:to>
      <xdr:col>45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81</xdr:row>
      <xdr:rowOff>0</xdr:rowOff>
    </xdr:from>
    <xdr:to>
      <xdr:col>71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81</xdr:row>
      <xdr:rowOff>0</xdr:rowOff>
    </xdr:from>
    <xdr:to>
      <xdr:col>24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81</xdr:row>
      <xdr:rowOff>0</xdr:rowOff>
    </xdr:from>
    <xdr:to>
      <xdr:col>39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81</xdr:row>
      <xdr:rowOff>0</xdr:rowOff>
    </xdr:from>
    <xdr:to>
      <xdr:col>60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45</xdr:col>
      <xdr:colOff>0</xdr:colOff>
      <xdr:row>82</xdr:row>
      <xdr:rowOff>0</xdr:rowOff>
    </xdr:from>
    <xdr:to>
      <xdr:col>45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82</xdr:row>
      <xdr:rowOff>0</xdr:rowOff>
    </xdr:from>
    <xdr:to>
      <xdr:col>71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82</xdr:row>
      <xdr:rowOff>0</xdr:rowOff>
    </xdr:from>
    <xdr:to>
      <xdr:col>60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82</xdr:row>
      <xdr:rowOff>0</xdr:rowOff>
    </xdr:from>
    <xdr:to>
      <xdr:col>24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82</xdr:row>
      <xdr:rowOff>0</xdr:rowOff>
    </xdr:from>
    <xdr:to>
      <xdr:col>39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83</xdr:row>
      <xdr:rowOff>0</xdr:rowOff>
    </xdr:from>
    <xdr:to>
      <xdr:col>45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83</xdr:row>
      <xdr:rowOff>0</xdr:rowOff>
    </xdr:from>
    <xdr:to>
      <xdr:col>71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83</xdr:row>
      <xdr:rowOff>0</xdr:rowOff>
    </xdr:from>
    <xdr:to>
      <xdr:col>24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83</xdr:row>
      <xdr:rowOff>0</xdr:rowOff>
    </xdr:from>
    <xdr:to>
      <xdr:col>39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83</xdr:row>
      <xdr:rowOff>0</xdr:rowOff>
    </xdr:from>
    <xdr:to>
      <xdr:col>60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84</xdr:row>
      <xdr:rowOff>0</xdr:rowOff>
    </xdr:from>
    <xdr:to>
      <xdr:col>45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84</xdr:row>
      <xdr:rowOff>0</xdr:rowOff>
    </xdr:from>
    <xdr:to>
      <xdr:col>71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84</xdr:row>
      <xdr:rowOff>0</xdr:rowOff>
    </xdr:from>
    <xdr:to>
      <xdr:col>39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84</xdr:row>
      <xdr:rowOff>0</xdr:rowOff>
    </xdr:from>
    <xdr:to>
      <xdr:col>60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24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45</xdr:col>
      <xdr:colOff>0</xdr:colOff>
      <xdr:row>85</xdr:row>
      <xdr:rowOff>0</xdr:rowOff>
    </xdr:from>
    <xdr:to>
      <xdr:col>45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85</xdr:row>
      <xdr:rowOff>0</xdr:rowOff>
    </xdr:from>
    <xdr:to>
      <xdr:col>71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85</xdr:row>
      <xdr:rowOff>0</xdr:rowOff>
    </xdr:from>
    <xdr:to>
      <xdr:col>24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85</xdr:row>
      <xdr:rowOff>0</xdr:rowOff>
    </xdr:from>
    <xdr:to>
      <xdr:col>39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85</xdr:row>
      <xdr:rowOff>0</xdr:rowOff>
    </xdr:from>
    <xdr:to>
      <xdr:col>60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86</xdr:row>
      <xdr:rowOff>0</xdr:rowOff>
    </xdr:from>
    <xdr:to>
      <xdr:col>45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86</xdr:row>
      <xdr:rowOff>0</xdr:rowOff>
    </xdr:from>
    <xdr:to>
      <xdr:col>71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86</xdr:row>
      <xdr:rowOff>0</xdr:rowOff>
    </xdr:from>
    <xdr:to>
      <xdr:col>24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86</xdr:row>
      <xdr:rowOff>0</xdr:rowOff>
    </xdr:from>
    <xdr:to>
      <xdr:col>39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86</xdr:row>
      <xdr:rowOff>0</xdr:rowOff>
    </xdr:from>
    <xdr:to>
      <xdr:col>60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87</xdr:row>
      <xdr:rowOff>0</xdr:rowOff>
    </xdr:from>
    <xdr:to>
      <xdr:col>45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87</xdr:row>
      <xdr:rowOff>0</xdr:rowOff>
    </xdr:from>
    <xdr:to>
      <xdr:col>71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87</xdr:row>
      <xdr:rowOff>0</xdr:rowOff>
    </xdr:from>
    <xdr:to>
      <xdr:col>24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87</xdr:row>
      <xdr:rowOff>0</xdr:rowOff>
    </xdr:from>
    <xdr:to>
      <xdr:col>60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87</xdr:row>
      <xdr:rowOff>0</xdr:rowOff>
    </xdr:from>
    <xdr:to>
      <xdr:col>39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88</xdr:row>
      <xdr:rowOff>0</xdr:rowOff>
    </xdr:from>
    <xdr:to>
      <xdr:col>45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88</xdr:row>
      <xdr:rowOff>0</xdr:rowOff>
    </xdr:from>
    <xdr:to>
      <xdr:col>71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88</xdr:row>
      <xdr:rowOff>0</xdr:rowOff>
    </xdr:from>
    <xdr:to>
      <xdr:col>24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88</xdr:row>
      <xdr:rowOff>0</xdr:rowOff>
    </xdr:from>
    <xdr:to>
      <xdr:col>60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88</xdr:row>
      <xdr:rowOff>0</xdr:rowOff>
    </xdr:from>
    <xdr:to>
      <xdr:col>39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89</xdr:row>
      <xdr:rowOff>0</xdr:rowOff>
    </xdr:from>
    <xdr:to>
      <xdr:col>45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89</xdr:row>
      <xdr:rowOff>0</xdr:rowOff>
    </xdr:from>
    <xdr:to>
      <xdr:col>71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89</xdr:row>
      <xdr:rowOff>0</xdr:rowOff>
    </xdr:from>
    <xdr:to>
      <xdr:col>24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89</xdr:row>
      <xdr:rowOff>0</xdr:rowOff>
    </xdr:from>
    <xdr:to>
      <xdr:col>39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89</xdr:row>
      <xdr:rowOff>0</xdr:rowOff>
    </xdr:from>
    <xdr:to>
      <xdr:col>60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90</xdr:row>
      <xdr:rowOff>0</xdr:rowOff>
    </xdr:from>
    <xdr:to>
      <xdr:col>45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90</xdr:row>
      <xdr:rowOff>0</xdr:rowOff>
    </xdr:from>
    <xdr:to>
      <xdr:col>71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90</xdr:row>
      <xdr:rowOff>0</xdr:rowOff>
    </xdr:from>
    <xdr:to>
      <xdr:col>24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90</xdr:row>
      <xdr:rowOff>0</xdr:rowOff>
    </xdr:from>
    <xdr:to>
      <xdr:col>39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90</xdr:row>
      <xdr:rowOff>0</xdr:rowOff>
    </xdr:from>
    <xdr:to>
      <xdr:col>60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91</xdr:row>
      <xdr:rowOff>0</xdr:rowOff>
    </xdr:from>
    <xdr:to>
      <xdr:col>45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91</xdr:row>
      <xdr:rowOff>0</xdr:rowOff>
    </xdr:from>
    <xdr:to>
      <xdr:col>71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91</xdr:row>
      <xdr:rowOff>0</xdr:rowOff>
    </xdr:from>
    <xdr:to>
      <xdr:col>39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91</xdr:row>
      <xdr:rowOff>0</xdr:rowOff>
    </xdr:from>
    <xdr:to>
      <xdr:col>60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91</xdr:row>
      <xdr:rowOff>0</xdr:rowOff>
    </xdr:from>
    <xdr:to>
      <xdr:col>24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92</xdr:row>
      <xdr:rowOff>0</xdr:rowOff>
    </xdr:from>
    <xdr:to>
      <xdr:col>71</xdr:col>
      <xdr:colOff>83820</xdr:colOff>
      <xdr:row>92</xdr:row>
      <xdr:rowOff>114300</xdr:rowOff>
    </xdr:to>
    <xdr:sp macro="" textlink="">
      <xdr:nvSpPr>
        <xdr:cNvPr id="617" name="Arrow: Down 616">
          <a:extLst>
            <a:ext uri="{FF2B5EF4-FFF2-40B4-BE49-F238E27FC236}">
              <a16:creationId xmlns:a16="http://schemas.microsoft.com/office/drawing/2014/main" id="{024DB0A9-E788-428F-B8D0-BDCDBA5B50DF}"/>
            </a:ext>
          </a:extLst>
        </xdr:cNvPr>
        <xdr:cNvSpPr/>
      </xdr:nvSpPr>
      <xdr:spPr>
        <a:xfrm>
          <a:off x="1706880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92</xdr:row>
      <xdr:rowOff>0</xdr:rowOff>
    </xdr:from>
    <xdr:to>
      <xdr:col>5</xdr:col>
      <xdr:colOff>83820</xdr:colOff>
      <xdr:row>92</xdr:row>
      <xdr:rowOff>114300</xdr:rowOff>
    </xdr:to>
    <xdr:sp macro="" textlink="">
      <xdr:nvSpPr>
        <xdr:cNvPr id="624" name="Arrow: Down 623">
          <a:extLst>
            <a:ext uri="{FF2B5EF4-FFF2-40B4-BE49-F238E27FC236}">
              <a16:creationId xmlns:a16="http://schemas.microsoft.com/office/drawing/2014/main" id="{39BDD6D1-CF4A-4679-AA55-4BEC82B4F433}"/>
            </a:ext>
          </a:extLst>
        </xdr:cNvPr>
        <xdr:cNvSpPr/>
      </xdr:nvSpPr>
      <xdr:spPr>
        <a:xfrm rot="10800000">
          <a:off x="192786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92</xdr:row>
      <xdr:rowOff>0</xdr:rowOff>
    </xdr:from>
    <xdr:to>
      <xdr:col>24</xdr:col>
      <xdr:colOff>83820</xdr:colOff>
      <xdr:row>92</xdr:row>
      <xdr:rowOff>114300</xdr:rowOff>
    </xdr:to>
    <xdr:sp macro="" textlink="">
      <xdr:nvSpPr>
        <xdr:cNvPr id="626" name="Arrow: Down 625">
          <a:extLst>
            <a:ext uri="{FF2B5EF4-FFF2-40B4-BE49-F238E27FC236}">
              <a16:creationId xmlns:a16="http://schemas.microsoft.com/office/drawing/2014/main" id="{AC17A3B8-EA6C-47AF-B0B5-6D478F3ADB6B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92</xdr:row>
      <xdr:rowOff>0</xdr:rowOff>
    </xdr:from>
    <xdr:to>
      <xdr:col>11</xdr:col>
      <xdr:colOff>83820</xdr:colOff>
      <xdr:row>92</xdr:row>
      <xdr:rowOff>114300</xdr:rowOff>
    </xdr:to>
    <xdr:sp macro="" textlink="">
      <xdr:nvSpPr>
        <xdr:cNvPr id="627" name="Arrow: Down 626">
          <a:extLst>
            <a:ext uri="{FF2B5EF4-FFF2-40B4-BE49-F238E27FC236}">
              <a16:creationId xmlns:a16="http://schemas.microsoft.com/office/drawing/2014/main" id="{DABDA057-06DE-4344-B004-6861DE62F37F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92</xdr:row>
      <xdr:rowOff>0</xdr:rowOff>
    </xdr:from>
    <xdr:to>
      <xdr:col>39</xdr:col>
      <xdr:colOff>83820</xdr:colOff>
      <xdr:row>92</xdr:row>
      <xdr:rowOff>114300</xdr:rowOff>
    </xdr:to>
    <xdr:sp macro="" textlink="">
      <xdr:nvSpPr>
        <xdr:cNvPr id="628" name="Arrow: Down 627">
          <a:extLst>
            <a:ext uri="{FF2B5EF4-FFF2-40B4-BE49-F238E27FC236}">
              <a16:creationId xmlns:a16="http://schemas.microsoft.com/office/drawing/2014/main" id="{D60F4993-4DB6-4717-9569-B73B1AB0A8DB}"/>
            </a:ext>
          </a:extLst>
        </xdr:cNvPr>
        <xdr:cNvSpPr/>
      </xdr:nvSpPr>
      <xdr:spPr>
        <a:xfrm>
          <a:off x="854964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92</xdr:row>
      <xdr:rowOff>0</xdr:rowOff>
    </xdr:from>
    <xdr:to>
      <xdr:col>45</xdr:col>
      <xdr:colOff>83820</xdr:colOff>
      <xdr:row>92</xdr:row>
      <xdr:rowOff>114300</xdr:rowOff>
    </xdr:to>
    <xdr:sp macro="" textlink="">
      <xdr:nvSpPr>
        <xdr:cNvPr id="629" name="Arrow: Down 628">
          <a:extLst>
            <a:ext uri="{FF2B5EF4-FFF2-40B4-BE49-F238E27FC236}">
              <a16:creationId xmlns:a16="http://schemas.microsoft.com/office/drawing/2014/main" id="{08FD601C-109C-4519-9D9D-1C9650FDBF73}"/>
            </a:ext>
          </a:extLst>
        </xdr:cNvPr>
        <xdr:cNvSpPr/>
      </xdr:nvSpPr>
      <xdr:spPr>
        <a:xfrm>
          <a:off x="101346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93</xdr:row>
      <xdr:rowOff>0</xdr:rowOff>
    </xdr:from>
    <xdr:to>
      <xdr:col>71</xdr:col>
      <xdr:colOff>83820</xdr:colOff>
      <xdr:row>93</xdr:row>
      <xdr:rowOff>114300</xdr:rowOff>
    </xdr:to>
    <xdr:sp macro="" textlink="">
      <xdr:nvSpPr>
        <xdr:cNvPr id="638" name="Arrow: Down 637">
          <a:extLst>
            <a:ext uri="{FF2B5EF4-FFF2-40B4-BE49-F238E27FC236}">
              <a16:creationId xmlns:a16="http://schemas.microsoft.com/office/drawing/2014/main" id="{15042096-613B-454F-A913-FB19A4135B1C}"/>
            </a:ext>
          </a:extLst>
        </xdr:cNvPr>
        <xdr:cNvSpPr/>
      </xdr:nvSpPr>
      <xdr:spPr>
        <a:xfrm>
          <a:off x="1706880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93</xdr:row>
      <xdr:rowOff>0</xdr:rowOff>
    </xdr:from>
    <xdr:to>
      <xdr:col>5</xdr:col>
      <xdr:colOff>83820</xdr:colOff>
      <xdr:row>93</xdr:row>
      <xdr:rowOff>114300</xdr:rowOff>
    </xdr:to>
    <xdr:sp macro="" textlink="">
      <xdr:nvSpPr>
        <xdr:cNvPr id="639" name="Arrow: Down 638">
          <a:extLst>
            <a:ext uri="{FF2B5EF4-FFF2-40B4-BE49-F238E27FC236}">
              <a16:creationId xmlns:a16="http://schemas.microsoft.com/office/drawing/2014/main" id="{83B40CA9-CC29-4956-891B-A62E0FAEB507}"/>
            </a:ext>
          </a:extLst>
        </xdr:cNvPr>
        <xdr:cNvSpPr/>
      </xdr:nvSpPr>
      <xdr:spPr>
        <a:xfrm rot="10800000">
          <a:off x="192786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93</xdr:row>
      <xdr:rowOff>0</xdr:rowOff>
    </xdr:from>
    <xdr:to>
      <xdr:col>24</xdr:col>
      <xdr:colOff>83820</xdr:colOff>
      <xdr:row>93</xdr:row>
      <xdr:rowOff>114300</xdr:rowOff>
    </xdr:to>
    <xdr:sp macro="" textlink="">
      <xdr:nvSpPr>
        <xdr:cNvPr id="640" name="Arrow: Down 639">
          <a:extLst>
            <a:ext uri="{FF2B5EF4-FFF2-40B4-BE49-F238E27FC236}">
              <a16:creationId xmlns:a16="http://schemas.microsoft.com/office/drawing/2014/main" id="{41EDA0A4-5574-4A8B-A136-050B540E81FD}"/>
            </a:ext>
          </a:extLst>
        </xdr:cNvPr>
        <xdr:cNvSpPr/>
      </xdr:nvSpPr>
      <xdr:spPr>
        <a:xfrm>
          <a:off x="5440680" y="1692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93</xdr:row>
      <xdr:rowOff>0</xdr:rowOff>
    </xdr:from>
    <xdr:to>
      <xdr:col>11</xdr:col>
      <xdr:colOff>83820</xdr:colOff>
      <xdr:row>93</xdr:row>
      <xdr:rowOff>114300</xdr:rowOff>
    </xdr:to>
    <xdr:sp macro="" textlink="">
      <xdr:nvSpPr>
        <xdr:cNvPr id="641" name="Arrow: Down 640">
          <a:extLst>
            <a:ext uri="{FF2B5EF4-FFF2-40B4-BE49-F238E27FC236}">
              <a16:creationId xmlns:a16="http://schemas.microsoft.com/office/drawing/2014/main" id="{5FFBE935-49E2-4DE7-81B9-D7F4921B89A5}"/>
            </a:ext>
          </a:extLst>
        </xdr:cNvPr>
        <xdr:cNvSpPr/>
      </xdr:nvSpPr>
      <xdr:spPr>
        <a:xfrm rot="10800000">
          <a:off x="361950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92</xdr:row>
      <xdr:rowOff>0</xdr:rowOff>
    </xdr:from>
    <xdr:to>
      <xdr:col>60</xdr:col>
      <xdr:colOff>83820</xdr:colOff>
      <xdr:row>92</xdr:row>
      <xdr:rowOff>114300</xdr:rowOff>
    </xdr:to>
    <xdr:sp macro="" textlink="">
      <xdr:nvSpPr>
        <xdr:cNvPr id="645" name="Arrow: Down 644">
          <a:extLst>
            <a:ext uri="{FF2B5EF4-FFF2-40B4-BE49-F238E27FC236}">
              <a16:creationId xmlns:a16="http://schemas.microsoft.com/office/drawing/2014/main" id="{B20EC97E-D93C-4C14-9E7A-5CCF5193EC9F}"/>
            </a:ext>
          </a:extLst>
        </xdr:cNvPr>
        <xdr:cNvSpPr/>
      </xdr:nvSpPr>
      <xdr:spPr>
        <a:xfrm rot="10800000">
          <a:off x="14752320" y="1692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94</xdr:row>
      <xdr:rowOff>0</xdr:rowOff>
    </xdr:from>
    <xdr:to>
      <xdr:col>71</xdr:col>
      <xdr:colOff>83820</xdr:colOff>
      <xdr:row>94</xdr:row>
      <xdr:rowOff>114300</xdr:rowOff>
    </xdr:to>
    <xdr:sp macro="" textlink="">
      <xdr:nvSpPr>
        <xdr:cNvPr id="625" name="Arrow: Down 624">
          <a:extLst>
            <a:ext uri="{FF2B5EF4-FFF2-40B4-BE49-F238E27FC236}">
              <a16:creationId xmlns:a16="http://schemas.microsoft.com/office/drawing/2014/main" id="{1E7C5BAA-05E3-4CB1-BB0C-1D6A77243D25}"/>
            </a:ext>
          </a:extLst>
        </xdr:cNvPr>
        <xdr:cNvSpPr/>
      </xdr:nvSpPr>
      <xdr:spPr>
        <a:xfrm>
          <a:off x="170688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94</xdr:row>
      <xdr:rowOff>0</xdr:rowOff>
    </xdr:from>
    <xdr:to>
      <xdr:col>24</xdr:col>
      <xdr:colOff>83820</xdr:colOff>
      <xdr:row>94</xdr:row>
      <xdr:rowOff>114300</xdr:rowOff>
    </xdr:to>
    <xdr:sp macro="" textlink="">
      <xdr:nvSpPr>
        <xdr:cNvPr id="630" name="Arrow: Down 629">
          <a:extLst>
            <a:ext uri="{FF2B5EF4-FFF2-40B4-BE49-F238E27FC236}">
              <a16:creationId xmlns:a16="http://schemas.microsoft.com/office/drawing/2014/main" id="{071888A3-487A-4F27-A9BA-59DFA8109128}"/>
            </a:ext>
          </a:extLst>
        </xdr:cNvPr>
        <xdr:cNvSpPr/>
      </xdr:nvSpPr>
      <xdr:spPr>
        <a:xfrm>
          <a:off x="544068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94</xdr:row>
      <xdr:rowOff>0</xdr:rowOff>
    </xdr:from>
    <xdr:to>
      <xdr:col>39</xdr:col>
      <xdr:colOff>83820</xdr:colOff>
      <xdr:row>94</xdr:row>
      <xdr:rowOff>114300</xdr:rowOff>
    </xdr:to>
    <xdr:sp macro="" textlink="">
      <xdr:nvSpPr>
        <xdr:cNvPr id="631" name="Arrow: Down 630">
          <a:extLst>
            <a:ext uri="{FF2B5EF4-FFF2-40B4-BE49-F238E27FC236}">
              <a16:creationId xmlns:a16="http://schemas.microsoft.com/office/drawing/2014/main" id="{2268B0A0-A228-4712-85BD-33A942D4DAF5}"/>
            </a:ext>
          </a:extLst>
        </xdr:cNvPr>
        <xdr:cNvSpPr/>
      </xdr:nvSpPr>
      <xdr:spPr>
        <a:xfrm>
          <a:off x="8549640" y="1710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93</xdr:row>
      <xdr:rowOff>0</xdr:rowOff>
    </xdr:from>
    <xdr:to>
      <xdr:col>45</xdr:col>
      <xdr:colOff>83820</xdr:colOff>
      <xdr:row>93</xdr:row>
      <xdr:rowOff>114300</xdr:rowOff>
    </xdr:to>
    <xdr:sp macro="" textlink="">
      <xdr:nvSpPr>
        <xdr:cNvPr id="634" name="Arrow: Down 633">
          <a:extLst>
            <a:ext uri="{FF2B5EF4-FFF2-40B4-BE49-F238E27FC236}">
              <a16:creationId xmlns:a16="http://schemas.microsoft.com/office/drawing/2014/main" id="{698C5AE8-0A5B-4DAA-8338-59C2C2A63540}"/>
            </a:ext>
          </a:extLst>
        </xdr:cNvPr>
        <xdr:cNvSpPr/>
      </xdr:nvSpPr>
      <xdr:spPr>
        <a:xfrm rot="10800000">
          <a:off x="1013460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93</xdr:row>
      <xdr:rowOff>0</xdr:rowOff>
    </xdr:from>
    <xdr:to>
      <xdr:col>39</xdr:col>
      <xdr:colOff>83820</xdr:colOff>
      <xdr:row>93</xdr:row>
      <xdr:rowOff>114300</xdr:rowOff>
    </xdr:to>
    <xdr:sp macro="" textlink="">
      <xdr:nvSpPr>
        <xdr:cNvPr id="635" name="Arrow: Down 634">
          <a:extLst>
            <a:ext uri="{FF2B5EF4-FFF2-40B4-BE49-F238E27FC236}">
              <a16:creationId xmlns:a16="http://schemas.microsoft.com/office/drawing/2014/main" id="{B111E1BC-D5EF-480A-ABE5-3F05DA66B5FB}"/>
            </a:ext>
          </a:extLst>
        </xdr:cNvPr>
        <xdr:cNvSpPr/>
      </xdr:nvSpPr>
      <xdr:spPr>
        <a:xfrm rot="10800000">
          <a:off x="854964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93</xdr:row>
      <xdr:rowOff>0</xdr:rowOff>
    </xdr:from>
    <xdr:to>
      <xdr:col>60</xdr:col>
      <xdr:colOff>83820</xdr:colOff>
      <xdr:row>93</xdr:row>
      <xdr:rowOff>114300</xdr:rowOff>
    </xdr:to>
    <xdr:sp macro="" textlink="">
      <xdr:nvSpPr>
        <xdr:cNvPr id="636" name="Arrow: Down 635">
          <a:extLst>
            <a:ext uri="{FF2B5EF4-FFF2-40B4-BE49-F238E27FC236}">
              <a16:creationId xmlns:a16="http://schemas.microsoft.com/office/drawing/2014/main" id="{5CF3350C-9FA2-4923-92B7-BB816CF42634}"/>
            </a:ext>
          </a:extLst>
        </xdr:cNvPr>
        <xdr:cNvSpPr/>
      </xdr:nvSpPr>
      <xdr:spPr>
        <a:xfrm>
          <a:off x="14752320" y="1710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94</xdr:row>
      <xdr:rowOff>0</xdr:rowOff>
    </xdr:from>
    <xdr:to>
      <xdr:col>5</xdr:col>
      <xdr:colOff>83820</xdr:colOff>
      <xdr:row>94</xdr:row>
      <xdr:rowOff>114300</xdr:rowOff>
    </xdr:to>
    <xdr:sp macro="" textlink="">
      <xdr:nvSpPr>
        <xdr:cNvPr id="637" name="Arrow: Down 636">
          <a:extLst>
            <a:ext uri="{FF2B5EF4-FFF2-40B4-BE49-F238E27FC236}">
              <a16:creationId xmlns:a16="http://schemas.microsoft.com/office/drawing/2014/main" id="{9DFED798-20E6-4BDD-8300-7789B5A6544E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94</xdr:row>
      <xdr:rowOff>0</xdr:rowOff>
    </xdr:from>
    <xdr:to>
      <xdr:col>11</xdr:col>
      <xdr:colOff>83820</xdr:colOff>
      <xdr:row>94</xdr:row>
      <xdr:rowOff>114300</xdr:rowOff>
    </xdr:to>
    <xdr:sp macro="" textlink="">
      <xdr:nvSpPr>
        <xdr:cNvPr id="646" name="Arrow: Down 645">
          <a:extLst>
            <a:ext uri="{FF2B5EF4-FFF2-40B4-BE49-F238E27FC236}">
              <a16:creationId xmlns:a16="http://schemas.microsoft.com/office/drawing/2014/main" id="{51FCB514-7D07-48F1-B848-6867289C68A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94</xdr:row>
      <xdr:rowOff>0</xdr:rowOff>
    </xdr:from>
    <xdr:to>
      <xdr:col>45</xdr:col>
      <xdr:colOff>83820</xdr:colOff>
      <xdr:row>94</xdr:row>
      <xdr:rowOff>114300</xdr:rowOff>
    </xdr:to>
    <xdr:sp macro="" textlink="">
      <xdr:nvSpPr>
        <xdr:cNvPr id="647" name="Arrow: Down 646">
          <a:extLst>
            <a:ext uri="{FF2B5EF4-FFF2-40B4-BE49-F238E27FC236}">
              <a16:creationId xmlns:a16="http://schemas.microsoft.com/office/drawing/2014/main" id="{290DCA2A-1741-4EB6-A6F6-ACC01FED83C5}"/>
            </a:ext>
          </a:extLst>
        </xdr:cNvPr>
        <xdr:cNvSpPr/>
      </xdr:nvSpPr>
      <xdr:spPr>
        <a:xfrm rot="10800000">
          <a:off x="101346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94</xdr:row>
      <xdr:rowOff>0</xdr:rowOff>
    </xdr:from>
    <xdr:to>
      <xdr:col>60</xdr:col>
      <xdr:colOff>83820</xdr:colOff>
      <xdr:row>94</xdr:row>
      <xdr:rowOff>114300</xdr:rowOff>
    </xdr:to>
    <xdr:sp macro="" textlink="">
      <xdr:nvSpPr>
        <xdr:cNvPr id="648" name="Arrow: Down 647">
          <a:extLst>
            <a:ext uri="{FF2B5EF4-FFF2-40B4-BE49-F238E27FC236}">
              <a16:creationId xmlns:a16="http://schemas.microsoft.com/office/drawing/2014/main" id="{739541F8-F001-4E3A-8769-D095EDA8992F}"/>
            </a:ext>
          </a:extLst>
        </xdr:cNvPr>
        <xdr:cNvSpPr/>
      </xdr:nvSpPr>
      <xdr:spPr>
        <a:xfrm rot="10800000">
          <a:off x="1475232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95</xdr:row>
      <xdr:rowOff>0</xdr:rowOff>
    </xdr:from>
    <xdr:to>
      <xdr:col>71</xdr:col>
      <xdr:colOff>83820</xdr:colOff>
      <xdr:row>95</xdr:row>
      <xdr:rowOff>114300</xdr:rowOff>
    </xdr:to>
    <xdr:sp macro="" textlink="">
      <xdr:nvSpPr>
        <xdr:cNvPr id="656" name="Arrow: Down 655">
          <a:extLst>
            <a:ext uri="{FF2B5EF4-FFF2-40B4-BE49-F238E27FC236}">
              <a16:creationId xmlns:a16="http://schemas.microsoft.com/office/drawing/2014/main" id="{33DAF223-FB34-45E1-946C-F2CF963DA373}"/>
            </a:ext>
          </a:extLst>
        </xdr:cNvPr>
        <xdr:cNvSpPr/>
      </xdr:nvSpPr>
      <xdr:spPr>
        <a:xfrm>
          <a:off x="1706880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95</xdr:row>
      <xdr:rowOff>0</xdr:rowOff>
    </xdr:from>
    <xdr:to>
      <xdr:col>24</xdr:col>
      <xdr:colOff>83820</xdr:colOff>
      <xdr:row>95</xdr:row>
      <xdr:rowOff>114300</xdr:rowOff>
    </xdr:to>
    <xdr:sp macro="" textlink="">
      <xdr:nvSpPr>
        <xdr:cNvPr id="657" name="Arrow: Down 656">
          <a:extLst>
            <a:ext uri="{FF2B5EF4-FFF2-40B4-BE49-F238E27FC236}">
              <a16:creationId xmlns:a16="http://schemas.microsoft.com/office/drawing/2014/main" id="{A7A0FD03-DDE1-4B69-BC69-E1942004F7F4}"/>
            </a:ext>
          </a:extLst>
        </xdr:cNvPr>
        <xdr:cNvSpPr/>
      </xdr:nvSpPr>
      <xdr:spPr>
        <a:xfrm>
          <a:off x="5440680" y="1728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95</xdr:row>
      <xdr:rowOff>0</xdr:rowOff>
    </xdr:from>
    <xdr:to>
      <xdr:col>39</xdr:col>
      <xdr:colOff>83820</xdr:colOff>
      <xdr:row>95</xdr:row>
      <xdr:rowOff>114300</xdr:rowOff>
    </xdr:to>
    <xdr:sp macro="" textlink="">
      <xdr:nvSpPr>
        <xdr:cNvPr id="658" name="Arrow: Down 657">
          <a:extLst>
            <a:ext uri="{FF2B5EF4-FFF2-40B4-BE49-F238E27FC236}">
              <a16:creationId xmlns:a16="http://schemas.microsoft.com/office/drawing/2014/main" id="{92251FB9-DF2E-4C05-B34F-9816938C9BA3}"/>
            </a:ext>
          </a:extLst>
        </xdr:cNvPr>
        <xdr:cNvSpPr/>
      </xdr:nvSpPr>
      <xdr:spPr>
        <a:xfrm>
          <a:off x="8549640" y="1728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95</xdr:row>
      <xdr:rowOff>0</xdr:rowOff>
    </xdr:from>
    <xdr:to>
      <xdr:col>5</xdr:col>
      <xdr:colOff>83820</xdr:colOff>
      <xdr:row>95</xdr:row>
      <xdr:rowOff>114300</xdr:rowOff>
    </xdr:to>
    <xdr:sp macro="" textlink="">
      <xdr:nvSpPr>
        <xdr:cNvPr id="659" name="Arrow: Down 658">
          <a:extLst>
            <a:ext uri="{FF2B5EF4-FFF2-40B4-BE49-F238E27FC236}">
              <a16:creationId xmlns:a16="http://schemas.microsoft.com/office/drawing/2014/main" id="{CCE89A10-5CA7-4276-AAF3-86A86D6A0308}"/>
            </a:ext>
          </a:extLst>
        </xdr:cNvPr>
        <xdr:cNvSpPr/>
      </xdr:nvSpPr>
      <xdr:spPr>
        <a:xfrm>
          <a:off x="192786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11</xdr:col>
      <xdr:colOff>83820</xdr:colOff>
      <xdr:row>95</xdr:row>
      <xdr:rowOff>114300</xdr:rowOff>
    </xdr:to>
    <xdr:sp macro="" textlink="">
      <xdr:nvSpPr>
        <xdr:cNvPr id="660" name="Arrow: Down 659">
          <a:extLst>
            <a:ext uri="{FF2B5EF4-FFF2-40B4-BE49-F238E27FC236}">
              <a16:creationId xmlns:a16="http://schemas.microsoft.com/office/drawing/2014/main" id="{A64AA700-AB73-4232-9F4F-2018CC5A35E4}"/>
            </a:ext>
          </a:extLst>
        </xdr:cNvPr>
        <xdr:cNvSpPr/>
      </xdr:nvSpPr>
      <xdr:spPr>
        <a:xfrm>
          <a:off x="3619500" y="172897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95</xdr:row>
      <xdr:rowOff>0</xdr:rowOff>
    </xdr:from>
    <xdr:to>
      <xdr:col>60</xdr:col>
      <xdr:colOff>83820</xdr:colOff>
      <xdr:row>95</xdr:row>
      <xdr:rowOff>114300</xdr:rowOff>
    </xdr:to>
    <xdr:sp macro="" textlink="">
      <xdr:nvSpPr>
        <xdr:cNvPr id="664" name="Arrow: Down 663">
          <a:extLst>
            <a:ext uri="{FF2B5EF4-FFF2-40B4-BE49-F238E27FC236}">
              <a16:creationId xmlns:a16="http://schemas.microsoft.com/office/drawing/2014/main" id="{87597B27-B361-44F1-BE14-11DA3BB3CFBB}"/>
            </a:ext>
          </a:extLst>
        </xdr:cNvPr>
        <xdr:cNvSpPr/>
      </xdr:nvSpPr>
      <xdr:spPr>
        <a:xfrm>
          <a:off x="147523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95</xdr:row>
      <xdr:rowOff>0</xdr:rowOff>
    </xdr:from>
    <xdr:to>
      <xdr:col>46</xdr:col>
      <xdr:colOff>7620</xdr:colOff>
      <xdr:row>95</xdr:row>
      <xdr:rowOff>99060</xdr:rowOff>
    </xdr:to>
    <xdr:sp macro="" textlink="">
      <xdr:nvSpPr>
        <xdr:cNvPr id="665" name="Minus Sign 664">
          <a:extLst>
            <a:ext uri="{FF2B5EF4-FFF2-40B4-BE49-F238E27FC236}">
              <a16:creationId xmlns:a16="http://schemas.microsoft.com/office/drawing/2014/main" id="{8C9AE111-AC4F-43A3-80C6-1418EA81BE23}"/>
            </a:ext>
          </a:extLst>
        </xdr:cNvPr>
        <xdr:cNvSpPr/>
      </xdr:nvSpPr>
      <xdr:spPr>
        <a:xfrm>
          <a:off x="13106400" y="174726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71</xdr:col>
      <xdr:colOff>0</xdr:colOff>
      <xdr:row>96</xdr:row>
      <xdr:rowOff>0</xdr:rowOff>
    </xdr:from>
    <xdr:to>
      <xdr:col>71</xdr:col>
      <xdr:colOff>83820</xdr:colOff>
      <xdr:row>96</xdr:row>
      <xdr:rowOff>114300</xdr:rowOff>
    </xdr:to>
    <xdr:sp macro="" textlink="">
      <xdr:nvSpPr>
        <xdr:cNvPr id="649" name="Arrow: Down 648">
          <a:extLst>
            <a:ext uri="{FF2B5EF4-FFF2-40B4-BE49-F238E27FC236}">
              <a16:creationId xmlns:a16="http://schemas.microsoft.com/office/drawing/2014/main" id="{5847EBA7-5898-44CF-904F-6A6875B65818}"/>
            </a:ext>
          </a:extLst>
        </xdr:cNvPr>
        <xdr:cNvSpPr/>
      </xdr:nvSpPr>
      <xdr:spPr>
        <a:xfrm>
          <a:off x="21381720" y="1747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96</xdr:row>
      <xdr:rowOff>0</xdr:rowOff>
    </xdr:from>
    <xdr:to>
      <xdr:col>39</xdr:col>
      <xdr:colOff>83820</xdr:colOff>
      <xdr:row>96</xdr:row>
      <xdr:rowOff>114300</xdr:rowOff>
    </xdr:to>
    <xdr:sp macro="" textlink="">
      <xdr:nvSpPr>
        <xdr:cNvPr id="661" name="Arrow: Down 660">
          <a:extLst>
            <a:ext uri="{FF2B5EF4-FFF2-40B4-BE49-F238E27FC236}">
              <a16:creationId xmlns:a16="http://schemas.microsoft.com/office/drawing/2014/main" id="{E0E00F0C-D27C-4C33-B2CC-8AA0B58F8407}"/>
            </a:ext>
          </a:extLst>
        </xdr:cNvPr>
        <xdr:cNvSpPr/>
      </xdr:nvSpPr>
      <xdr:spPr>
        <a:xfrm rot="10800000">
          <a:off x="854964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96</xdr:row>
      <xdr:rowOff>0</xdr:rowOff>
    </xdr:from>
    <xdr:to>
      <xdr:col>45</xdr:col>
      <xdr:colOff>83820</xdr:colOff>
      <xdr:row>96</xdr:row>
      <xdr:rowOff>114300</xdr:rowOff>
    </xdr:to>
    <xdr:sp macro="" textlink="">
      <xdr:nvSpPr>
        <xdr:cNvPr id="662" name="Arrow: Down 661">
          <a:extLst>
            <a:ext uri="{FF2B5EF4-FFF2-40B4-BE49-F238E27FC236}">
              <a16:creationId xmlns:a16="http://schemas.microsoft.com/office/drawing/2014/main" id="{4841F28A-274D-4BB3-B2F2-FA3715044F92}"/>
            </a:ext>
          </a:extLst>
        </xdr:cNvPr>
        <xdr:cNvSpPr/>
      </xdr:nvSpPr>
      <xdr:spPr>
        <a:xfrm rot="10800000">
          <a:off x="101346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83820</xdr:colOff>
      <xdr:row>96</xdr:row>
      <xdr:rowOff>114300</xdr:rowOff>
    </xdr:to>
    <xdr:sp macro="" textlink="">
      <xdr:nvSpPr>
        <xdr:cNvPr id="663" name="Arrow: Down 662">
          <a:extLst>
            <a:ext uri="{FF2B5EF4-FFF2-40B4-BE49-F238E27FC236}">
              <a16:creationId xmlns:a16="http://schemas.microsoft.com/office/drawing/2014/main" id="{70D5C9FA-74E1-4956-8D4C-20C1F36B9A85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96</xdr:row>
      <xdr:rowOff>0</xdr:rowOff>
    </xdr:from>
    <xdr:to>
      <xdr:col>60</xdr:col>
      <xdr:colOff>83820</xdr:colOff>
      <xdr:row>96</xdr:row>
      <xdr:rowOff>114300</xdr:rowOff>
    </xdr:to>
    <xdr:sp macro="" textlink="">
      <xdr:nvSpPr>
        <xdr:cNvPr id="667" name="Arrow: Down 666">
          <a:extLst>
            <a:ext uri="{FF2B5EF4-FFF2-40B4-BE49-F238E27FC236}">
              <a16:creationId xmlns:a16="http://schemas.microsoft.com/office/drawing/2014/main" id="{585AF03E-C8B1-428A-9B60-7F96258683E7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96</xdr:row>
      <xdr:rowOff>0</xdr:rowOff>
    </xdr:from>
    <xdr:to>
      <xdr:col>5</xdr:col>
      <xdr:colOff>83820</xdr:colOff>
      <xdr:row>96</xdr:row>
      <xdr:rowOff>114300</xdr:rowOff>
    </xdr:to>
    <xdr:sp macro="" textlink="">
      <xdr:nvSpPr>
        <xdr:cNvPr id="668" name="Arrow: Down 667">
          <a:extLst>
            <a:ext uri="{FF2B5EF4-FFF2-40B4-BE49-F238E27FC236}">
              <a16:creationId xmlns:a16="http://schemas.microsoft.com/office/drawing/2014/main" id="{DE196F47-8C55-41AE-88FB-B6333FB5613D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11</xdr:col>
      <xdr:colOff>83820</xdr:colOff>
      <xdr:row>96</xdr:row>
      <xdr:rowOff>114300</xdr:rowOff>
    </xdr:to>
    <xdr:sp macro="" textlink="">
      <xdr:nvSpPr>
        <xdr:cNvPr id="670" name="Arrow: Down 669">
          <a:extLst>
            <a:ext uri="{FF2B5EF4-FFF2-40B4-BE49-F238E27FC236}">
              <a16:creationId xmlns:a16="http://schemas.microsoft.com/office/drawing/2014/main" id="{4576BB70-5993-470B-A4F7-C4C186BDC8EA}"/>
            </a:ext>
          </a:extLst>
        </xdr:cNvPr>
        <xdr:cNvSpPr/>
      </xdr:nvSpPr>
      <xdr:spPr>
        <a:xfrm rot="10800000">
          <a:off x="361950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97</xdr:row>
      <xdr:rowOff>0</xdr:rowOff>
    </xdr:from>
    <xdr:to>
      <xdr:col>71</xdr:col>
      <xdr:colOff>83820</xdr:colOff>
      <xdr:row>97</xdr:row>
      <xdr:rowOff>114300</xdr:rowOff>
    </xdr:to>
    <xdr:sp macro="" textlink="">
      <xdr:nvSpPr>
        <xdr:cNvPr id="671" name="Arrow: Down 670">
          <a:extLst>
            <a:ext uri="{FF2B5EF4-FFF2-40B4-BE49-F238E27FC236}">
              <a16:creationId xmlns:a16="http://schemas.microsoft.com/office/drawing/2014/main" id="{7C2C378F-4C3C-44CC-AEB9-95F4F9A4D99A}"/>
            </a:ext>
          </a:extLst>
        </xdr:cNvPr>
        <xdr:cNvSpPr/>
      </xdr:nvSpPr>
      <xdr:spPr>
        <a:xfrm>
          <a:off x="17068800" y="1765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97</xdr:row>
      <xdr:rowOff>0</xdr:rowOff>
    </xdr:from>
    <xdr:to>
      <xdr:col>24</xdr:col>
      <xdr:colOff>83820</xdr:colOff>
      <xdr:row>97</xdr:row>
      <xdr:rowOff>114300</xdr:rowOff>
    </xdr:to>
    <xdr:sp macro="" textlink="">
      <xdr:nvSpPr>
        <xdr:cNvPr id="674" name="Arrow: Down 673">
          <a:extLst>
            <a:ext uri="{FF2B5EF4-FFF2-40B4-BE49-F238E27FC236}">
              <a16:creationId xmlns:a16="http://schemas.microsoft.com/office/drawing/2014/main" id="{CC65563C-069E-4F8E-AA16-E0DFEB33BD09}"/>
            </a:ext>
          </a:extLst>
        </xdr:cNvPr>
        <xdr:cNvSpPr/>
      </xdr:nvSpPr>
      <xdr:spPr>
        <a:xfrm rot="10800000">
          <a:off x="544068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97</xdr:row>
      <xdr:rowOff>0</xdr:rowOff>
    </xdr:from>
    <xdr:to>
      <xdr:col>60</xdr:col>
      <xdr:colOff>83820</xdr:colOff>
      <xdr:row>97</xdr:row>
      <xdr:rowOff>114300</xdr:rowOff>
    </xdr:to>
    <xdr:sp macro="" textlink="">
      <xdr:nvSpPr>
        <xdr:cNvPr id="675" name="Arrow: Down 674">
          <a:extLst>
            <a:ext uri="{FF2B5EF4-FFF2-40B4-BE49-F238E27FC236}">
              <a16:creationId xmlns:a16="http://schemas.microsoft.com/office/drawing/2014/main" id="{41276574-AB95-4BE3-9088-BA00154FCC9E}"/>
            </a:ext>
          </a:extLst>
        </xdr:cNvPr>
        <xdr:cNvSpPr/>
      </xdr:nvSpPr>
      <xdr:spPr>
        <a:xfrm rot="10800000">
          <a:off x="1475232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97</xdr:row>
      <xdr:rowOff>0</xdr:rowOff>
    </xdr:from>
    <xdr:to>
      <xdr:col>5</xdr:col>
      <xdr:colOff>83820</xdr:colOff>
      <xdr:row>97</xdr:row>
      <xdr:rowOff>114300</xdr:rowOff>
    </xdr:to>
    <xdr:sp macro="" textlink="">
      <xdr:nvSpPr>
        <xdr:cNvPr id="676" name="Arrow: Down 675">
          <a:extLst>
            <a:ext uri="{FF2B5EF4-FFF2-40B4-BE49-F238E27FC236}">
              <a16:creationId xmlns:a16="http://schemas.microsoft.com/office/drawing/2014/main" id="{79F43E25-6A53-4E57-AB77-2AB02CE295AE}"/>
            </a:ext>
          </a:extLst>
        </xdr:cNvPr>
        <xdr:cNvSpPr/>
      </xdr:nvSpPr>
      <xdr:spPr>
        <a:xfrm rot="10800000">
          <a:off x="1927860" y="1765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97</xdr:row>
      <xdr:rowOff>0</xdr:rowOff>
    </xdr:from>
    <xdr:to>
      <xdr:col>11</xdr:col>
      <xdr:colOff>83820</xdr:colOff>
      <xdr:row>97</xdr:row>
      <xdr:rowOff>114300</xdr:rowOff>
    </xdr:to>
    <xdr:sp macro="" textlink="">
      <xdr:nvSpPr>
        <xdr:cNvPr id="677" name="Arrow: Down 676">
          <a:extLst>
            <a:ext uri="{FF2B5EF4-FFF2-40B4-BE49-F238E27FC236}">
              <a16:creationId xmlns:a16="http://schemas.microsoft.com/office/drawing/2014/main" id="{8CA75072-EA36-43FF-80F9-30AA6DE29B3E}"/>
            </a:ext>
          </a:extLst>
        </xdr:cNvPr>
        <xdr:cNvSpPr/>
      </xdr:nvSpPr>
      <xdr:spPr>
        <a:xfrm rot="10800000">
          <a:off x="361950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97</xdr:row>
      <xdr:rowOff>0</xdr:rowOff>
    </xdr:from>
    <xdr:to>
      <xdr:col>39</xdr:col>
      <xdr:colOff>83820</xdr:colOff>
      <xdr:row>97</xdr:row>
      <xdr:rowOff>114300</xdr:rowOff>
    </xdr:to>
    <xdr:sp macro="" textlink="">
      <xdr:nvSpPr>
        <xdr:cNvPr id="678" name="Arrow: Down 677">
          <a:extLst>
            <a:ext uri="{FF2B5EF4-FFF2-40B4-BE49-F238E27FC236}">
              <a16:creationId xmlns:a16="http://schemas.microsoft.com/office/drawing/2014/main" id="{0C158885-72F6-473B-984A-15439C91C63F}"/>
            </a:ext>
          </a:extLst>
        </xdr:cNvPr>
        <xdr:cNvSpPr/>
      </xdr:nvSpPr>
      <xdr:spPr>
        <a:xfrm>
          <a:off x="854964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97</xdr:row>
      <xdr:rowOff>0</xdr:rowOff>
    </xdr:from>
    <xdr:to>
      <xdr:col>45</xdr:col>
      <xdr:colOff>83820</xdr:colOff>
      <xdr:row>97</xdr:row>
      <xdr:rowOff>114300</xdr:rowOff>
    </xdr:to>
    <xdr:sp macro="" textlink="">
      <xdr:nvSpPr>
        <xdr:cNvPr id="680" name="Arrow: Down 679">
          <a:extLst>
            <a:ext uri="{FF2B5EF4-FFF2-40B4-BE49-F238E27FC236}">
              <a16:creationId xmlns:a16="http://schemas.microsoft.com/office/drawing/2014/main" id="{510722F3-8780-4C3D-A016-D558CECDB44E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98</xdr:row>
      <xdr:rowOff>0</xdr:rowOff>
    </xdr:from>
    <xdr:to>
      <xdr:col>71</xdr:col>
      <xdr:colOff>83820</xdr:colOff>
      <xdr:row>98</xdr:row>
      <xdr:rowOff>114300</xdr:rowOff>
    </xdr:to>
    <xdr:sp macro="" textlink="">
      <xdr:nvSpPr>
        <xdr:cNvPr id="688" name="Arrow: Down 687">
          <a:extLst>
            <a:ext uri="{FF2B5EF4-FFF2-40B4-BE49-F238E27FC236}">
              <a16:creationId xmlns:a16="http://schemas.microsoft.com/office/drawing/2014/main" id="{0CFA89DB-5EC9-4639-AA8F-A43C7D735F17}"/>
            </a:ext>
          </a:extLst>
        </xdr:cNvPr>
        <xdr:cNvSpPr/>
      </xdr:nvSpPr>
      <xdr:spPr>
        <a:xfrm>
          <a:off x="170688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98</xdr:row>
      <xdr:rowOff>0</xdr:rowOff>
    </xdr:from>
    <xdr:to>
      <xdr:col>5</xdr:col>
      <xdr:colOff>83820</xdr:colOff>
      <xdr:row>98</xdr:row>
      <xdr:rowOff>114300</xdr:rowOff>
    </xdr:to>
    <xdr:sp macro="" textlink="">
      <xdr:nvSpPr>
        <xdr:cNvPr id="691" name="Arrow: Down 690">
          <a:extLst>
            <a:ext uri="{FF2B5EF4-FFF2-40B4-BE49-F238E27FC236}">
              <a16:creationId xmlns:a16="http://schemas.microsoft.com/office/drawing/2014/main" id="{1F904F8C-22AC-477A-BB86-D39A0F14C1C4}"/>
            </a:ext>
          </a:extLst>
        </xdr:cNvPr>
        <xdr:cNvSpPr/>
      </xdr:nvSpPr>
      <xdr:spPr>
        <a:xfrm rot="10800000">
          <a:off x="1927860" y="1783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98</xdr:row>
      <xdr:rowOff>0</xdr:rowOff>
    </xdr:from>
    <xdr:to>
      <xdr:col>45</xdr:col>
      <xdr:colOff>83820</xdr:colOff>
      <xdr:row>98</xdr:row>
      <xdr:rowOff>114300</xdr:rowOff>
    </xdr:to>
    <xdr:sp macro="" textlink="">
      <xdr:nvSpPr>
        <xdr:cNvPr id="694" name="Arrow: Down 693">
          <a:extLst>
            <a:ext uri="{FF2B5EF4-FFF2-40B4-BE49-F238E27FC236}">
              <a16:creationId xmlns:a16="http://schemas.microsoft.com/office/drawing/2014/main" id="{6662D75B-8C06-4220-9C4F-6FCBDC0B60AC}"/>
            </a:ext>
          </a:extLst>
        </xdr:cNvPr>
        <xdr:cNvSpPr/>
      </xdr:nvSpPr>
      <xdr:spPr>
        <a:xfrm rot="10800000">
          <a:off x="10134600" y="1783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98</xdr:row>
      <xdr:rowOff>0</xdr:rowOff>
    </xdr:from>
    <xdr:to>
      <xdr:col>60</xdr:col>
      <xdr:colOff>83820</xdr:colOff>
      <xdr:row>98</xdr:row>
      <xdr:rowOff>114300</xdr:rowOff>
    </xdr:to>
    <xdr:sp macro="" textlink="">
      <xdr:nvSpPr>
        <xdr:cNvPr id="696" name="Arrow: Down 695">
          <a:extLst>
            <a:ext uri="{FF2B5EF4-FFF2-40B4-BE49-F238E27FC236}">
              <a16:creationId xmlns:a16="http://schemas.microsoft.com/office/drawing/2014/main" id="{DF4EC178-0A26-44DD-8193-DDCD2564A9E2}"/>
            </a:ext>
          </a:extLst>
        </xdr:cNvPr>
        <xdr:cNvSpPr/>
      </xdr:nvSpPr>
      <xdr:spPr>
        <a:xfrm>
          <a:off x="1475232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98</xdr:row>
      <xdr:rowOff>0</xdr:rowOff>
    </xdr:from>
    <xdr:to>
      <xdr:col>24</xdr:col>
      <xdr:colOff>83820</xdr:colOff>
      <xdr:row>98</xdr:row>
      <xdr:rowOff>114300</xdr:rowOff>
    </xdr:to>
    <xdr:sp macro="" textlink="">
      <xdr:nvSpPr>
        <xdr:cNvPr id="698" name="Arrow: Down 697">
          <a:extLst>
            <a:ext uri="{FF2B5EF4-FFF2-40B4-BE49-F238E27FC236}">
              <a16:creationId xmlns:a16="http://schemas.microsoft.com/office/drawing/2014/main" id="{D4085535-18A3-4042-BF14-C9FADAD2E69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98</xdr:row>
      <xdr:rowOff>0</xdr:rowOff>
    </xdr:from>
    <xdr:to>
      <xdr:col>39</xdr:col>
      <xdr:colOff>83820</xdr:colOff>
      <xdr:row>98</xdr:row>
      <xdr:rowOff>114300</xdr:rowOff>
    </xdr:to>
    <xdr:sp macro="" textlink="">
      <xdr:nvSpPr>
        <xdr:cNvPr id="701" name="Arrow: Down 700">
          <a:extLst>
            <a:ext uri="{FF2B5EF4-FFF2-40B4-BE49-F238E27FC236}">
              <a16:creationId xmlns:a16="http://schemas.microsoft.com/office/drawing/2014/main" id="{D9B0E07B-C28D-4696-800A-4429B065FA97}"/>
            </a:ext>
          </a:extLst>
        </xdr:cNvPr>
        <xdr:cNvSpPr/>
      </xdr:nvSpPr>
      <xdr:spPr>
        <a:xfrm rot="10800000">
          <a:off x="854964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98</xdr:row>
      <xdr:rowOff>0</xdr:rowOff>
    </xdr:from>
    <xdr:to>
      <xdr:col>11</xdr:col>
      <xdr:colOff>83820</xdr:colOff>
      <xdr:row>98</xdr:row>
      <xdr:rowOff>114300</xdr:rowOff>
    </xdr:to>
    <xdr:sp macro="" textlink="">
      <xdr:nvSpPr>
        <xdr:cNvPr id="703" name="Arrow: Down 702">
          <a:extLst>
            <a:ext uri="{FF2B5EF4-FFF2-40B4-BE49-F238E27FC236}">
              <a16:creationId xmlns:a16="http://schemas.microsoft.com/office/drawing/2014/main" id="{35852DCE-F526-4A02-9127-22365CAE0797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99</xdr:row>
      <xdr:rowOff>0</xdr:rowOff>
    </xdr:from>
    <xdr:to>
      <xdr:col>71</xdr:col>
      <xdr:colOff>83820</xdr:colOff>
      <xdr:row>99</xdr:row>
      <xdr:rowOff>114300</xdr:rowOff>
    </xdr:to>
    <xdr:sp macro="" textlink="">
      <xdr:nvSpPr>
        <xdr:cNvPr id="704" name="Arrow: Down 703">
          <a:extLst>
            <a:ext uri="{FF2B5EF4-FFF2-40B4-BE49-F238E27FC236}">
              <a16:creationId xmlns:a16="http://schemas.microsoft.com/office/drawing/2014/main" id="{C56B50BD-CAEE-407F-8DB7-9EABCC3571FF}"/>
            </a:ext>
          </a:extLst>
        </xdr:cNvPr>
        <xdr:cNvSpPr/>
      </xdr:nvSpPr>
      <xdr:spPr>
        <a:xfrm>
          <a:off x="170688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99</xdr:row>
      <xdr:rowOff>0</xdr:rowOff>
    </xdr:from>
    <xdr:to>
      <xdr:col>5</xdr:col>
      <xdr:colOff>83820</xdr:colOff>
      <xdr:row>99</xdr:row>
      <xdr:rowOff>114300</xdr:rowOff>
    </xdr:to>
    <xdr:sp macro="" textlink="">
      <xdr:nvSpPr>
        <xdr:cNvPr id="705" name="Arrow: Down 704">
          <a:extLst>
            <a:ext uri="{FF2B5EF4-FFF2-40B4-BE49-F238E27FC236}">
              <a16:creationId xmlns:a16="http://schemas.microsoft.com/office/drawing/2014/main" id="{42EE61F2-26B7-4BA0-A411-6CB755B53855}"/>
            </a:ext>
          </a:extLst>
        </xdr:cNvPr>
        <xdr:cNvSpPr/>
      </xdr:nvSpPr>
      <xdr:spPr>
        <a:xfrm rot="10800000">
          <a:off x="192786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99</xdr:row>
      <xdr:rowOff>0</xdr:rowOff>
    </xdr:from>
    <xdr:to>
      <xdr:col>45</xdr:col>
      <xdr:colOff>83820</xdr:colOff>
      <xdr:row>99</xdr:row>
      <xdr:rowOff>114300</xdr:rowOff>
    </xdr:to>
    <xdr:sp macro="" textlink="">
      <xdr:nvSpPr>
        <xdr:cNvPr id="706" name="Arrow: Down 705">
          <a:extLst>
            <a:ext uri="{FF2B5EF4-FFF2-40B4-BE49-F238E27FC236}">
              <a16:creationId xmlns:a16="http://schemas.microsoft.com/office/drawing/2014/main" id="{CD6440AC-B3D6-47ED-A0B8-EE53B1CE4E75}"/>
            </a:ext>
          </a:extLst>
        </xdr:cNvPr>
        <xdr:cNvSpPr/>
      </xdr:nvSpPr>
      <xdr:spPr>
        <a:xfrm rot="10800000">
          <a:off x="1013460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99</xdr:row>
      <xdr:rowOff>0</xdr:rowOff>
    </xdr:from>
    <xdr:to>
      <xdr:col>24</xdr:col>
      <xdr:colOff>83820</xdr:colOff>
      <xdr:row>99</xdr:row>
      <xdr:rowOff>114300</xdr:rowOff>
    </xdr:to>
    <xdr:sp macro="" textlink="">
      <xdr:nvSpPr>
        <xdr:cNvPr id="708" name="Arrow: Down 707">
          <a:extLst>
            <a:ext uri="{FF2B5EF4-FFF2-40B4-BE49-F238E27FC236}">
              <a16:creationId xmlns:a16="http://schemas.microsoft.com/office/drawing/2014/main" id="{85B768C0-9182-473F-8B0D-B194CDA271E9}"/>
            </a:ext>
          </a:extLst>
        </xdr:cNvPr>
        <xdr:cNvSpPr/>
      </xdr:nvSpPr>
      <xdr:spPr>
        <a:xfrm>
          <a:off x="5440680" y="1802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99</xdr:row>
      <xdr:rowOff>0</xdr:rowOff>
    </xdr:from>
    <xdr:to>
      <xdr:col>11</xdr:col>
      <xdr:colOff>83820</xdr:colOff>
      <xdr:row>99</xdr:row>
      <xdr:rowOff>114300</xdr:rowOff>
    </xdr:to>
    <xdr:sp macro="" textlink="">
      <xdr:nvSpPr>
        <xdr:cNvPr id="710" name="Arrow: Down 709">
          <a:extLst>
            <a:ext uri="{FF2B5EF4-FFF2-40B4-BE49-F238E27FC236}">
              <a16:creationId xmlns:a16="http://schemas.microsoft.com/office/drawing/2014/main" id="{3A279C93-B3B3-4B19-A95C-54FD30AD5540}"/>
            </a:ext>
          </a:extLst>
        </xdr:cNvPr>
        <xdr:cNvSpPr/>
      </xdr:nvSpPr>
      <xdr:spPr>
        <a:xfrm rot="10800000">
          <a:off x="3619500" y="1802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99</xdr:row>
      <xdr:rowOff>0</xdr:rowOff>
    </xdr:from>
    <xdr:to>
      <xdr:col>39</xdr:col>
      <xdr:colOff>83820</xdr:colOff>
      <xdr:row>99</xdr:row>
      <xdr:rowOff>114300</xdr:rowOff>
    </xdr:to>
    <xdr:sp macro="" textlink="">
      <xdr:nvSpPr>
        <xdr:cNvPr id="711" name="Arrow: Down 710">
          <a:extLst>
            <a:ext uri="{FF2B5EF4-FFF2-40B4-BE49-F238E27FC236}">
              <a16:creationId xmlns:a16="http://schemas.microsoft.com/office/drawing/2014/main" id="{9F7D5300-0BD1-42CB-8E4E-0B55FEE974BD}"/>
            </a:ext>
          </a:extLst>
        </xdr:cNvPr>
        <xdr:cNvSpPr/>
      </xdr:nvSpPr>
      <xdr:spPr>
        <a:xfrm>
          <a:off x="854964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99</xdr:row>
      <xdr:rowOff>0</xdr:rowOff>
    </xdr:from>
    <xdr:to>
      <xdr:col>60</xdr:col>
      <xdr:colOff>83820</xdr:colOff>
      <xdr:row>99</xdr:row>
      <xdr:rowOff>114300</xdr:rowOff>
    </xdr:to>
    <xdr:sp macro="" textlink="">
      <xdr:nvSpPr>
        <xdr:cNvPr id="713" name="Arrow: Down 712">
          <a:extLst>
            <a:ext uri="{FF2B5EF4-FFF2-40B4-BE49-F238E27FC236}">
              <a16:creationId xmlns:a16="http://schemas.microsoft.com/office/drawing/2014/main" id="{2568AB17-CF4C-48F5-9A2F-273F1D8532A2}"/>
            </a:ext>
          </a:extLst>
        </xdr:cNvPr>
        <xdr:cNvSpPr/>
      </xdr:nvSpPr>
      <xdr:spPr>
        <a:xfrm rot="10800000">
          <a:off x="1475232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100</xdr:row>
      <xdr:rowOff>0</xdr:rowOff>
    </xdr:from>
    <xdr:to>
      <xdr:col>71</xdr:col>
      <xdr:colOff>83820</xdr:colOff>
      <xdr:row>100</xdr:row>
      <xdr:rowOff>114300</xdr:rowOff>
    </xdr:to>
    <xdr:sp macro="" textlink="">
      <xdr:nvSpPr>
        <xdr:cNvPr id="650" name="Arrow: Down 649">
          <a:extLst>
            <a:ext uri="{FF2B5EF4-FFF2-40B4-BE49-F238E27FC236}">
              <a16:creationId xmlns:a16="http://schemas.microsoft.com/office/drawing/2014/main" id="{21C0FDF0-AD12-4483-BB38-01DD87A275C1}"/>
            </a:ext>
          </a:extLst>
        </xdr:cNvPr>
        <xdr:cNvSpPr/>
      </xdr:nvSpPr>
      <xdr:spPr>
        <a:xfrm>
          <a:off x="170688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100</xdr:row>
      <xdr:rowOff>0</xdr:rowOff>
    </xdr:from>
    <xdr:to>
      <xdr:col>5</xdr:col>
      <xdr:colOff>83820</xdr:colOff>
      <xdr:row>100</xdr:row>
      <xdr:rowOff>114300</xdr:rowOff>
    </xdr:to>
    <xdr:sp macro="" textlink="">
      <xdr:nvSpPr>
        <xdr:cNvPr id="651" name="Arrow: Down 650">
          <a:extLst>
            <a:ext uri="{FF2B5EF4-FFF2-40B4-BE49-F238E27FC236}">
              <a16:creationId xmlns:a16="http://schemas.microsoft.com/office/drawing/2014/main" id="{E1978D8D-A3D8-4459-9F4A-A7628A5DBD53}"/>
            </a:ext>
          </a:extLst>
        </xdr:cNvPr>
        <xdr:cNvSpPr/>
      </xdr:nvSpPr>
      <xdr:spPr>
        <a:xfrm rot="10800000">
          <a:off x="192786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100</xdr:row>
      <xdr:rowOff>0</xdr:rowOff>
    </xdr:from>
    <xdr:to>
      <xdr:col>45</xdr:col>
      <xdr:colOff>83820</xdr:colOff>
      <xdr:row>100</xdr:row>
      <xdr:rowOff>114300</xdr:rowOff>
    </xdr:to>
    <xdr:sp macro="" textlink="">
      <xdr:nvSpPr>
        <xdr:cNvPr id="652" name="Arrow: Down 651">
          <a:extLst>
            <a:ext uri="{FF2B5EF4-FFF2-40B4-BE49-F238E27FC236}">
              <a16:creationId xmlns:a16="http://schemas.microsoft.com/office/drawing/2014/main" id="{EBAE7C4F-91AE-408D-86AA-A1B8A669919B}"/>
            </a:ext>
          </a:extLst>
        </xdr:cNvPr>
        <xdr:cNvSpPr/>
      </xdr:nvSpPr>
      <xdr:spPr>
        <a:xfrm rot="10800000">
          <a:off x="1013460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100</xdr:row>
      <xdr:rowOff>0</xdr:rowOff>
    </xdr:from>
    <xdr:to>
      <xdr:col>24</xdr:col>
      <xdr:colOff>83820</xdr:colOff>
      <xdr:row>100</xdr:row>
      <xdr:rowOff>114300</xdr:rowOff>
    </xdr:to>
    <xdr:sp macro="" textlink="">
      <xdr:nvSpPr>
        <xdr:cNvPr id="653" name="Arrow: Down 652">
          <a:extLst>
            <a:ext uri="{FF2B5EF4-FFF2-40B4-BE49-F238E27FC236}">
              <a16:creationId xmlns:a16="http://schemas.microsoft.com/office/drawing/2014/main" id="{50A3186A-B56A-443C-8A14-A27FA1442693}"/>
            </a:ext>
          </a:extLst>
        </xdr:cNvPr>
        <xdr:cNvSpPr/>
      </xdr:nvSpPr>
      <xdr:spPr>
        <a:xfrm>
          <a:off x="5440680" y="1820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100</xdr:row>
      <xdr:rowOff>0</xdr:rowOff>
    </xdr:from>
    <xdr:to>
      <xdr:col>11</xdr:col>
      <xdr:colOff>83820</xdr:colOff>
      <xdr:row>100</xdr:row>
      <xdr:rowOff>114300</xdr:rowOff>
    </xdr:to>
    <xdr:sp macro="" textlink="">
      <xdr:nvSpPr>
        <xdr:cNvPr id="654" name="Arrow: Down 653">
          <a:extLst>
            <a:ext uri="{FF2B5EF4-FFF2-40B4-BE49-F238E27FC236}">
              <a16:creationId xmlns:a16="http://schemas.microsoft.com/office/drawing/2014/main" id="{AEA4EA92-27E6-4F8D-A22D-0B4A52516C01}"/>
            </a:ext>
          </a:extLst>
        </xdr:cNvPr>
        <xdr:cNvSpPr/>
      </xdr:nvSpPr>
      <xdr:spPr>
        <a:xfrm rot="10800000">
          <a:off x="3619500" y="1820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100</xdr:row>
      <xdr:rowOff>0</xdr:rowOff>
    </xdr:from>
    <xdr:to>
      <xdr:col>60</xdr:col>
      <xdr:colOff>83820</xdr:colOff>
      <xdr:row>100</xdr:row>
      <xdr:rowOff>114300</xdr:rowOff>
    </xdr:to>
    <xdr:sp macro="" textlink="">
      <xdr:nvSpPr>
        <xdr:cNvPr id="672" name="Arrow: Down 671">
          <a:extLst>
            <a:ext uri="{FF2B5EF4-FFF2-40B4-BE49-F238E27FC236}">
              <a16:creationId xmlns:a16="http://schemas.microsoft.com/office/drawing/2014/main" id="{DC778E3D-51D6-4D61-A15E-98C5B28B94D7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100</xdr:row>
      <xdr:rowOff>0</xdr:rowOff>
    </xdr:from>
    <xdr:to>
      <xdr:col>39</xdr:col>
      <xdr:colOff>83820</xdr:colOff>
      <xdr:row>100</xdr:row>
      <xdr:rowOff>114300</xdr:rowOff>
    </xdr:to>
    <xdr:sp macro="" textlink="">
      <xdr:nvSpPr>
        <xdr:cNvPr id="673" name="Arrow: Down 672">
          <a:extLst>
            <a:ext uri="{FF2B5EF4-FFF2-40B4-BE49-F238E27FC236}">
              <a16:creationId xmlns:a16="http://schemas.microsoft.com/office/drawing/2014/main" id="{6FF93F08-F2F3-424C-8829-8D4A5A503D3C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101</xdr:row>
      <xdr:rowOff>0</xdr:rowOff>
    </xdr:from>
    <xdr:to>
      <xdr:col>71</xdr:col>
      <xdr:colOff>83820</xdr:colOff>
      <xdr:row>101</xdr:row>
      <xdr:rowOff>114300</xdr:rowOff>
    </xdr:to>
    <xdr:sp macro="" textlink="">
      <xdr:nvSpPr>
        <xdr:cNvPr id="679" name="Arrow: Down 678">
          <a:extLst>
            <a:ext uri="{FF2B5EF4-FFF2-40B4-BE49-F238E27FC236}">
              <a16:creationId xmlns:a16="http://schemas.microsoft.com/office/drawing/2014/main" id="{1596CB42-77FA-4348-8D9F-26093B7703F8}"/>
            </a:ext>
          </a:extLst>
        </xdr:cNvPr>
        <xdr:cNvSpPr/>
      </xdr:nvSpPr>
      <xdr:spPr>
        <a:xfrm>
          <a:off x="184099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101</xdr:row>
      <xdr:rowOff>0</xdr:rowOff>
    </xdr:from>
    <xdr:to>
      <xdr:col>45</xdr:col>
      <xdr:colOff>83820</xdr:colOff>
      <xdr:row>101</xdr:row>
      <xdr:rowOff>114300</xdr:rowOff>
    </xdr:to>
    <xdr:sp macro="" textlink="">
      <xdr:nvSpPr>
        <xdr:cNvPr id="682" name="Arrow: Down 681">
          <a:extLst>
            <a:ext uri="{FF2B5EF4-FFF2-40B4-BE49-F238E27FC236}">
              <a16:creationId xmlns:a16="http://schemas.microsoft.com/office/drawing/2014/main" id="{A30310C9-2078-4E34-8882-73F20B634052}"/>
            </a:ext>
          </a:extLst>
        </xdr:cNvPr>
        <xdr:cNvSpPr/>
      </xdr:nvSpPr>
      <xdr:spPr>
        <a:xfrm rot="10800000">
          <a:off x="1013460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101</xdr:row>
      <xdr:rowOff>0</xdr:rowOff>
    </xdr:from>
    <xdr:to>
      <xdr:col>24</xdr:col>
      <xdr:colOff>83820</xdr:colOff>
      <xdr:row>101</xdr:row>
      <xdr:rowOff>114300</xdr:rowOff>
    </xdr:to>
    <xdr:sp macro="" textlink="">
      <xdr:nvSpPr>
        <xdr:cNvPr id="683" name="Arrow: Down 682">
          <a:extLst>
            <a:ext uri="{FF2B5EF4-FFF2-40B4-BE49-F238E27FC236}">
              <a16:creationId xmlns:a16="http://schemas.microsoft.com/office/drawing/2014/main" id="{F21797FB-F16E-4259-A583-53D50D35219B}"/>
            </a:ext>
          </a:extLst>
        </xdr:cNvPr>
        <xdr:cNvSpPr/>
      </xdr:nvSpPr>
      <xdr:spPr>
        <a:xfrm>
          <a:off x="544068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101</xdr:row>
      <xdr:rowOff>0</xdr:rowOff>
    </xdr:from>
    <xdr:to>
      <xdr:col>60</xdr:col>
      <xdr:colOff>83820</xdr:colOff>
      <xdr:row>101</xdr:row>
      <xdr:rowOff>114300</xdr:rowOff>
    </xdr:to>
    <xdr:sp macro="" textlink="">
      <xdr:nvSpPr>
        <xdr:cNvPr id="685" name="Arrow: Down 684">
          <a:extLst>
            <a:ext uri="{FF2B5EF4-FFF2-40B4-BE49-F238E27FC236}">
              <a16:creationId xmlns:a16="http://schemas.microsoft.com/office/drawing/2014/main" id="{657D62C2-106A-4283-B6EC-73AAAE06AC53}"/>
            </a:ext>
          </a:extLst>
        </xdr:cNvPr>
        <xdr:cNvSpPr/>
      </xdr:nvSpPr>
      <xdr:spPr>
        <a:xfrm>
          <a:off x="1475232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101</xdr:row>
      <xdr:rowOff>0</xdr:rowOff>
    </xdr:from>
    <xdr:to>
      <xdr:col>39</xdr:col>
      <xdr:colOff>83820</xdr:colOff>
      <xdr:row>101</xdr:row>
      <xdr:rowOff>114300</xdr:rowOff>
    </xdr:to>
    <xdr:sp macro="" textlink="">
      <xdr:nvSpPr>
        <xdr:cNvPr id="686" name="Arrow: Down 685">
          <a:extLst>
            <a:ext uri="{FF2B5EF4-FFF2-40B4-BE49-F238E27FC236}">
              <a16:creationId xmlns:a16="http://schemas.microsoft.com/office/drawing/2014/main" id="{324CABF2-70BE-467F-BDBA-03E9A95B4E72}"/>
            </a:ext>
          </a:extLst>
        </xdr:cNvPr>
        <xdr:cNvSpPr/>
      </xdr:nvSpPr>
      <xdr:spPr>
        <a:xfrm rot="10800000">
          <a:off x="8549640" y="1838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101</xdr:row>
      <xdr:rowOff>0</xdr:rowOff>
    </xdr:from>
    <xdr:to>
      <xdr:col>5</xdr:col>
      <xdr:colOff>83820</xdr:colOff>
      <xdr:row>101</xdr:row>
      <xdr:rowOff>114300</xdr:rowOff>
    </xdr:to>
    <xdr:sp macro="" textlink="">
      <xdr:nvSpPr>
        <xdr:cNvPr id="616" name="Arrow: Down 615">
          <a:extLst>
            <a:ext uri="{FF2B5EF4-FFF2-40B4-BE49-F238E27FC236}">
              <a16:creationId xmlns:a16="http://schemas.microsoft.com/office/drawing/2014/main" id="{4228C844-D9F4-413F-B565-2606A700E497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101</xdr:row>
      <xdr:rowOff>0</xdr:rowOff>
    </xdr:from>
    <xdr:to>
      <xdr:col>11</xdr:col>
      <xdr:colOff>83820</xdr:colOff>
      <xdr:row>101</xdr:row>
      <xdr:rowOff>114300</xdr:rowOff>
    </xdr:to>
    <xdr:sp macro="" textlink="">
      <xdr:nvSpPr>
        <xdr:cNvPr id="620" name="Arrow: Down 619">
          <a:extLst>
            <a:ext uri="{FF2B5EF4-FFF2-40B4-BE49-F238E27FC236}">
              <a16:creationId xmlns:a16="http://schemas.microsoft.com/office/drawing/2014/main" id="{D72D03B0-BF99-4BB8-8669-729136A6F11D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102</xdr:row>
      <xdr:rowOff>0</xdr:rowOff>
    </xdr:from>
    <xdr:to>
      <xdr:col>71</xdr:col>
      <xdr:colOff>83820</xdr:colOff>
      <xdr:row>102</xdr:row>
      <xdr:rowOff>114300</xdr:rowOff>
    </xdr:to>
    <xdr:sp macro="" textlink="">
      <xdr:nvSpPr>
        <xdr:cNvPr id="632" name="Arrow: Down 631">
          <a:extLst>
            <a:ext uri="{FF2B5EF4-FFF2-40B4-BE49-F238E27FC236}">
              <a16:creationId xmlns:a16="http://schemas.microsoft.com/office/drawing/2014/main" id="{DADEE258-4D72-4D81-96E2-11CB94D0C7C2}"/>
            </a:ext>
          </a:extLst>
        </xdr:cNvPr>
        <xdr:cNvSpPr/>
      </xdr:nvSpPr>
      <xdr:spPr>
        <a:xfrm>
          <a:off x="1706880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102</xdr:row>
      <xdr:rowOff>0</xdr:rowOff>
    </xdr:from>
    <xdr:to>
      <xdr:col>24</xdr:col>
      <xdr:colOff>83820</xdr:colOff>
      <xdr:row>102</xdr:row>
      <xdr:rowOff>114300</xdr:rowOff>
    </xdr:to>
    <xdr:sp macro="" textlink="">
      <xdr:nvSpPr>
        <xdr:cNvPr id="642" name="Arrow: Down 641">
          <a:extLst>
            <a:ext uri="{FF2B5EF4-FFF2-40B4-BE49-F238E27FC236}">
              <a16:creationId xmlns:a16="http://schemas.microsoft.com/office/drawing/2014/main" id="{11035576-FF6C-461A-8481-935D784F43B7}"/>
            </a:ext>
          </a:extLst>
        </xdr:cNvPr>
        <xdr:cNvSpPr/>
      </xdr:nvSpPr>
      <xdr:spPr>
        <a:xfrm>
          <a:off x="544068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60</xdr:col>
      <xdr:colOff>0</xdr:colOff>
      <xdr:row>102</xdr:row>
      <xdr:rowOff>0</xdr:rowOff>
    </xdr:from>
    <xdr:to>
      <xdr:col>60</xdr:col>
      <xdr:colOff>83820</xdr:colOff>
      <xdr:row>102</xdr:row>
      <xdr:rowOff>114300</xdr:rowOff>
    </xdr:to>
    <xdr:sp macro="" textlink="">
      <xdr:nvSpPr>
        <xdr:cNvPr id="643" name="Arrow: Down 642">
          <a:extLst>
            <a:ext uri="{FF2B5EF4-FFF2-40B4-BE49-F238E27FC236}">
              <a16:creationId xmlns:a16="http://schemas.microsoft.com/office/drawing/2014/main" id="{A283F9DB-5DBB-4DBA-9DFA-44710D0C731B}"/>
            </a:ext>
          </a:extLst>
        </xdr:cNvPr>
        <xdr:cNvSpPr/>
      </xdr:nvSpPr>
      <xdr:spPr>
        <a:xfrm>
          <a:off x="14752320" y="1856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102</xdr:row>
      <xdr:rowOff>0</xdr:rowOff>
    </xdr:from>
    <xdr:to>
      <xdr:col>5</xdr:col>
      <xdr:colOff>83820</xdr:colOff>
      <xdr:row>102</xdr:row>
      <xdr:rowOff>114300</xdr:rowOff>
    </xdr:to>
    <xdr:sp macro="" textlink="">
      <xdr:nvSpPr>
        <xdr:cNvPr id="655" name="Arrow: Down 654">
          <a:extLst>
            <a:ext uri="{FF2B5EF4-FFF2-40B4-BE49-F238E27FC236}">
              <a16:creationId xmlns:a16="http://schemas.microsoft.com/office/drawing/2014/main" id="{7968D2D2-A993-4611-901E-2128A0B1185A}"/>
            </a:ext>
          </a:extLst>
        </xdr:cNvPr>
        <xdr:cNvSpPr/>
      </xdr:nvSpPr>
      <xdr:spPr>
        <a:xfrm>
          <a:off x="192786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102</xdr:row>
      <xdr:rowOff>0</xdr:rowOff>
    </xdr:from>
    <xdr:to>
      <xdr:col>11</xdr:col>
      <xdr:colOff>83820</xdr:colOff>
      <xdr:row>102</xdr:row>
      <xdr:rowOff>114300</xdr:rowOff>
    </xdr:to>
    <xdr:sp macro="" textlink="">
      <xdr:nvSpPr>
        <xdr:cNvPr id="666" name="Arrow: Down 665">
          <a:extLst>
            <a:ext uri="{FF2B5EF4-FFF2-40B4-BE49-F238E27FC236}">
              <a16:creationId xmlns:a16="http://schemas.microsoft.com/office/drawing/2014/main" id="{E6C9C091-AB5F-4299-BB3B-8899E1E4F0A5}"/>
            </a:ext>
          </a:extLst>
        </xdr:cNvPr>
        <xdr:cNvSpPr/>
      </xdr:nvSpPr>
      <xdr:spPr>
        <a:xfrm>
          <a:off x="3619500" y="18569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102</xdr:row>
      <xdr:rowOff>0</xdr:rowOff>
    </xdr:from>
    <xdr:to>
      <xdr:col>39</xdr:col>
      <xdr:colOff>83820</xdr:colOff>
      <xdr:row>102</xdr:row>
      <xdr:rowOff>114300</xdr:rowOff>
    </xdr:to>
    <xdr:sp macro="" textlink="">
      <xdr:nvSpPr>
        <xdr:cNvPr id="669" name="Arrow: Down 668">
          <a:extLst>
            <a:ext uri="{FF2B5EF4-FFF2-40B4-BE49-F238E27FC236}">
              <a16:creationId xmlns:a16="http://schemas.microsoft.com/office/drawing/2014/main" id="{BB89D0BC-3517-4128-BFCE-68D4AB547BB1}"/>
            </a:ext>
          </a:extLst>
        </xdr:cNvPr>
        <xdr:cNvSpPr/>
      </xdr:nvSpPr>
      <xdr:spPr>
        <a:xfrm>
          <a:off x="854964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102</xdr:row>
      <xdr:rowOff>0</xdr:rowOff>
    </xdr:from>
    <xdr:to>
      <xdr:col>45</xdr:col>
      <xdr:colOff>83820</xdr:colOff>
      <xdr:row>102</xdr:row>
      <xdr:rowOff>114300</xdr:rowOff>
    </xdr:to>
    <xdr:sp macro="" textlink="">
      <xdr:nvSpPr>
        <xdr:cNvPr id="689" name="Arrow: Down 688">
          <a:extLst>
            <a:ext uri="{FF2B5EF4-FFF2-40B4-BE49-F238E27FC236}">
              <a16:creationId xmlns:a16="http://schemas.microsoft.com/office/drawing/2014/main" id="{9B2F6A0F-BB45-454D-8B63-EDDA6A379325}"/>
            </a:ext>
          </a:extLst>
        </xdr:cNvPr>
        <xdr:cNvSpPr/>
      </xdr:nvSpPr>
      <xdr:spPr>
        <a:xfrm>
          <a:off x="10134600" y="1875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103</xdr:row>
      <xdr:rowOff>0</xdr:rowOff>
    </xdr:from>
    <xdr:to>
      <xdr:col>71</xdr:col>
      <xdr:colOff>83820</xdr:colOff>
      <xdr:row>103</xdr:row>
      <xdr:rowOff>114300</xdr:rowOff>
    </xdr:to>
    <xdr:sp macro="" textlink="">
      <xdr:nvSpPr>
        <xdr:cNvPr id="690" name="Arrow: Down 689">
          <a:extLst>
            <a:ext uri="{FF2B5EF4-FFF2-40B4-BE49-F238E27FC236}">
              <a16:creationId xmlns:a16="http://schemas.microsoft.com/office/drawing/2014/main" id="{AC232909-9BDE-47EF-8AA7-475D5672810D}"/>
            </a:ext>
          </a:extLst>
        </xdr:cNvPr>
        <xdr:cNvSpPr/>
      </xdr:nvSpPr>
      <xdr:spPr>
        <a:xfrm>
          <a:off x="17068800" y="1875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103</xdr:row>
      <xdr:rowOff>0</xdr:rowOff>
    </xdr:from>
    <xdr:to>
      <xdr:col>24</xdr:col>
      <xdr:colOff>83820</xdr:colOff>
      <xdr:row>103</xdr:row>
      <xdr:rowOff>114300</xdr:rowOff>
    </xdr:to>
    <xdr:sp macro="" textlink="">
      <xdr:nvSpPr>
        <xdr:cNvPr id="702" name="Arrow: Down 701">
          <a:extLst>
            <a:ext uri="{FF2B5EF4-FFF2-40B4-BE49-F238E27FC236}">
              <a16:creationId xmlns:a16="http://schemas.microsoft.com/office/drawing/2014/main" id="{2FD6B09E-E273-409B-BB25-1324166EEAF3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103</xdr:row>
      <xdr:rowOff>0</xdr:rowOff>
    </xdr:from>
    <xdr:to>
      <xdr:col>39</xdr:col>
      <xdr:colOff>83820</xdr:colOff>
      <xdr:row>103</xdr:row>
      <xdr:rowOff>114300</xdr:rowOff>
    </xdr:to>
    <xdr:sp macro="" textlink="">
      <xdr:nvSpPr>
        <xdr:cNvPr id="707" name="Arrow: Down 706">
          <a:extLst>
            <a:ext uri="{FF2B5EF4-FFF2-40B4-BE49-F238E27FC236}">
              <a16:creationId xmlns:a16="http://schemas.microsoft.com/office/drawing/2014/main" id="{54BA0260-7093-4670-8D49-F13D67BBDC1C}"/>
            </a:ext>
          </a:extLst>
        </xdr:cNvPr>
        <xdr:cNvSpPr/>
      </xdr:nvSpPr>
      <xdr:spPr>
        <a:xfrm rot="10800000">
          <a:off x="854964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103</xdr:row>
      <xdr:rowOff>0</xdr:rowOff>
    </xdr:from>
    <xdr:to>
      <xdr:col>5</xdr:col>
      <xdr:colOff>83820</xdr:colOff>
      <xdr:row>103</xdr:row>
      <xdr:rowOff>114300</xdr:rowOff>
    </xdr:to>
    <xdr:sp macro="" textlink="">
      <xdr:nvSpPr>
        <xdr:cNvPr id="709" name="Arrow: Down 708">
          <a:extLst>
            <a:ext uri="{FF2B5EF4-FFF2-40B4-BE49-F238E27FC236}">
              <a16:creationId xmlns:a16="http://schemas.microsoft.com/office/drawing/2014/main" id="{314E60FE-27C5-4AB0-B276-FB75C2E0FFB5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103</xdr:row>
      <xdr:rowOff>0</xdr:rowOff>
    </xdr:from>
    <xdr:to>
      <xdr:col>11</xdr:col>
      <xdr:colOff>83820</xdr:colOff>
      <xdr:row>103</xdr:row>
      <xdr:rowOff>114300</xdr:rowOff>
    </xdr:to>
    <xdr:sp macro="" textlink="">
      <xdr:nvSpPr>
        <xdr:cNvPr id="714" name="Arrow: Down 713">
          <a:extLst>
            <a:ext uri="{FF2B5EF4-FFF2-40B4-BE49-F238E27FC236}">
              <a16:creationId xmlns:a16="http://schemas.microsoft.com/office/drawing/2014/main" id="{9606D00F-BE50-4920-A9A7-561938AC90C7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103</xdr:row>
      <xdr:rowOff>0</xdr:rowOff>
    </xdr:from>
    <xdr:to>
      <xdr:col>60</xdr:col>
      <xdr:colOff>83820</xdr:colOff>
      <xdr:row>103</xdr:row>
      <xdr:rowOff>114300</xdr:rowOff>
    </xdr:to>
    <xdr:sp macro="" textlink="">
      <xdr:nvSpPr>
        <xdr:cNvPr id="716" name="Arrow: Down 715">
          <a:extLst>
            <a:ext uri="{FF2B5EF4-FFF2-40B4-BE49-F238E27FC236}">
              <a16:creationId xmlns:a16="http://schemas.microsoft.com/office/drawing/2014/main" id="{5B8F6917-A1F5-4395-9959-F7E62DFEF8BA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103</xdr:row>
      <xdr:rowOff>0</xdr:rowOff>
    </xdr:from>
    <xdr:to>
      <xdr:col>45</xdr:col>
      <xdr:colOff>83820</xdr:colOff>
      <xdr:row>103</xdr:row>
      <xdr:rowOff>114300</xdr:rowOff>
    </xdr:to>
    <xdr:sp macro="" textlink="">
      <xdr:nvSpPr>
        <xdr:cNvPr id="717" name="Arrow: Down 716">
          <a:extLst>
            <a:ext uri="{FF2B5EF4-FFF2-40B4-BE49-F238E27FC236}">
              <a16:creationId xmlns:a16="http://schemas.microsoft.com/office/drawing/2014/main" id="{E8223D1A-DE3E-4921-B450-26BD1A30C557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104</xdr:row>
      <xdr:rowOff>0</xdr:rowOff>
    </xdr:from>
    <xdr:to>
      <xdr:col>71</xdr:col>
      <xdr:colOff>83820</xdr:colOff>
      <xdr:row>104</xdr:row>
      <xdr:rowOff>114300</xdr:rowOff>
    </xdr:to>
    <xdr:sp macro="" textlink="">
      <xdr:nvSpPr>
        <xdr:cNvPr id="718" name="Arrow: Down 717">
          <a:extLst>
            <a:ext uri="{FF2B5EF4-FFF2-40B4-BE49-F238E27FC236}">
              <a16:creationId xmlns:a16="http://schemas.microsoft.com/office/drawing/2014/main" id="{C89556FE-EC72-4E0E-96D1-F74C7EB33F07}"/>
            </a:ext>
          </a:extLst>
        </xdr:cNvPr>
        <xdr:cNvSpPr/>
      </xdr:nvSpPr>
      <xdr:spPr>
        <a:xfrm>
          <a:off x="170688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104</xdr:row>
      <xdr:rowOff>0</xdr:rowOff>
    </xdr:from>
    <xdr:to>
      <xdr:col>24</xdr:col>
      <xdr:colOff>83820</xdr:colOff>
      <xdr:row>104</xdr:row>
      <xdr:rowOff>114300</xdr:rowOff>
    </xdr:to>
    <xdr:sp macro="" textlink="">
      <xdr:nvSpPr>
        <xdr:cNvPr id="719" name="Arrow: Down 718">
          <a:extLst>
            <a:ext uri="{FF2B5EF4-FFF2-40B4-BE49-F238E27FC236}">
              <a16:creationId xmlns:a16="http://schemas.microsoft.com/office/drawing/2014/main" id="{F762D964-A5FF-468D-BE81-6D1FDADFEDC1}"/>
            </a:ext>
          </a:extLst>
        </xdr:cNvPr>
        <xdr:cNvSpPr/>
      </xdr:nvSpPr>
      <xdr:spPr>
        <a:xfrm rot="10800000">
          <a:off x="544068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104</xdr:row>
      <xdr:rowOff>0</xdr:rowOff>
    </xdr:from>
    <xdr:to>
      <xdr:col>5</xdr:col>
      <xdr:colOff>83820</xdr:colOff>
      <xdr:row>104</xdr:row>
      <xdr:rowOff>114300</xdr:rowOff>
    </xdr:to>
    <xdr:sp macro="" textlink="">
      <xdr:nvSpPr>
        <xdr:cNvPr id="721" name="Arrow: Down 720">
          <a:extLst>
            <a:ext uri="{FF2B5EF4-FFF2-40B4-BE49-F238E27FC236}">
              <a16:creationId xmlns:a16="http://schemas.microsoft.com/office/drawing/2014/main" id="{8376A525-BF86-41FC-9FE4-EE33834EC660}"/>
            </a:ext>
          </a:extLst>
        </xdr:cNvPr>
        <xdr:cNvSpPr/>
      </xdr:nvSpPr>
      <xdr:spPr>
        <a:xfrm rot="10800000">
          <a:off x="192786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104</xdr:row>
      <xdr:rowOff>0</xdr:rowOff>
    </xdr:from>
    <xdr:to>
      <xdr:col>11</xdr:col>
      <xdr:colOff>83820</xdr:colOff>
      <xdr:row>104</xdr:row>
      <xdr:rowOff>114300</xdr:rowOff>
    </xdr:to>
    <xdr:sp macro="" textlink="">
      <xdr:nvSpPr>
        <xdr:cNvPr id="722" name="Arrow: Down 721">
          <a:extLst>
            <a:ext uri="{FF2B5EF4-FFF2-40B4-BE49-F238E27FC236}">
              <a16:creationId xmlns:a16="http://schemas.microsoft.com/office/drawing/2014/main" id="{3C78DFAD-E752-4153-92D1-996D7D966E7C}"/>
            </a:ext>
          </a:extLst>
        </xdr:cNvPr>
        <xdr:cNvSpPr/>
      </xdr:nvSpPr>
      <xdr:spPr>
        <a:xfrm rot="10800000">
          <a:off x="361950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104</xdr:row>
      <xdr:rowOff>0</xdr:rowOff>
    </xdr:from>
    <xdr:to>
      <xdr:col>60</xdr:col>
      <xdr:colOff>83820</xdr:colOff>
      <xdr:row>104</xdr:row>
      <xdr:rowOff>114300</xdr:rowOff>
    </xdr:to>
    <xdr:sp macro="" textlink="">
      <xdr:nvSpPr>
        <xdr:cNvPr id="723" name="Arrow: Down 722">
          <a:extLst>
            <a:ext uri="{FF2B5EF4-FFF2-40B4-BE49-F238E27FC236}">
              <a16:creationId xmlns:a16="http://schemas.microsoft.com/office/drawing/2014/main" id="{3E43C398-337B-473A-B292-D4977DD9A523}"/>
            </a:ext>
          </a:extLst>
        </xdr:cNvPr>
        <xdr:cNvSpPr/>
      </xdr:nvSpPr>
      <xdr:spPr>
        <a:xfrm rot="10800000">
          <a:off x="14752320" y="1893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104</xdr:row>
      <xdr:rowOff>0</xdr:rowOff>
    </xdr:from>
    <xdr:to>
      <xdr:col>45</xdr:col>
      <xdr:colOff>83820</xdr:colOff>
      <xdr:row>104</xdr:row>
      <xdr:rowOff>114300</xdr:rowOff>
    </xdr:to>
    <xdr:sp macro="" textlink="">
      <xdr:nvSpPr>
        <xdr:cNvPr id="724" name="Arrow: Down 723">
          <a:extLst>
            <a:ext uri="{FF2B5EF4-FFF2-40B4-BE49-F238E27FC236}">
              <a16:creationId xmlns:a16="http://schemas.microsoft.com/office/drawing/2014/main" id="{83668B6D-7637-40B2-83F7-39F2E5BA28AA}"/>
            </a:ext>
          </a:extLst>
        </xdr:cNvPr>
        <xdr:cNvSpPr/>
      </xdr:nvSpPr>
      <xdr:spPr>
        <a:xfrm rot="10800000">
          <a:off x="10134600" y="1893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104</xdr:row>
      <xdr:rowOff>0</xdr:rowOff>
    </xdr:from>
    <xdr:to>
      <xdr:col>39</xdr:col>
      <xdr:colOff>83820</xdr:colOff>
      <xdr:row>104</xdr:row>
      <xdr:rowOff>114300</xdr:rowOff>
    </xdr:to>
    <xdr:sp macro="" textlink="">
      <xdr:nvSpPr>
        <xdr:cNvPr id="725" name="Arrow: Down 724">
          <a:extLst>
            <a:ext uri="{FF2B5EF4-FFF2-40B4-BE49-F238E27FC236}">
              <a16:creationId xmlns:a16="http://schemas.microsoft.com/office/drawing/2014/main" id="{78A0AC11-6352-448F-9711-DB84770F4355}"/>
            </a:ext>
          </a:extLst>
        </xdr:cNvPr>
        <xdr:cNvSpPr/>
      </xdr:nvSpPr>
      <xdr:spPr>
        <a:xfrm>
          <a:off x="854964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105</xdr:row>
      <xdr:rowOff>0</xdr:rowOff>
    </xdr:from>
    <xdr:to>
      <xdr:col>5</xdr:col>
      <xdr:colOff>83820</xdr:colOff>
      <xdr:row>105</xdr:row>
      <xdr:rowOff>114300</xdr:rowOff>
    </xdr:to>
    <xdr:sp macro="" textlink="">
      <xdr:nvSpPr>
        <xdr:cNvPr id="728" name="Arrow: Down 727">
          <a:extLst>
            <a:ext uri="{FF2B5EF4-FFF2-40B4-BE49-F238E27FC236}">
              <a16:creationId xmlns:a16="http://schemas.microsoft.com/office/drawing/2014/main" id="{B5814E62-707B-42CA-B129-D7898C9BEE3B}"/>
            </a:ext>
          </a:extLst>
        </xdr:cNvPr>
        <xdr:cNvSpPr/>
      </xdr:nvSpPr>
      <xdr:spPr>
        <a:xfrm rot="10800000">
          <a:off x="192786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105</xdr:row>
      <xdr:rowOff>0</xdr:rowOff>
    </xdr:from>
    <xdr:to>
      <xdr:col>11</xdr:col>
      <xdr:colOff>83820</xdr:colOff>
      <xdr:row>105</xdr:row>
      <xdr:rowOff>114300</xdr:rowOff>
    </xdr:to>
    <xdr:sp macro="" textlink="">
      <xdr:nvSpPr>
        <xdr:cNvPr id="729" name="Arrow: Down 728">
          <a:extLst>
            <a:ext uri="{FF2B5EF4-FFF2-40B4-BE49-F238E27FC236}">
              <a16:creationId xmlns:a16="http://schemas.microsoft.com/office/drawing/2014/main" id="{264AEA41-F46F-4E4D-A2F9-A165B95931B5}"/>
            </a:ext>
          </a:extLst>
        </xdr:cNvPr>
        <xdr:cNvSpPr/>
      </xdr:nvSpPr>
      <xdr:spPr>
        <a:xfrm rot="10800000">
          <a:off x="361950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105</xdr:row>
      <xdr:rowOff>0</xdr:rowOff>
    </xdr:from>
    <xdr:to>
      <xdr:col>60</xdr:col>
      <xdr:colOff>83820</xdr:colOff>
      <xdr:row>105</xdr:row>
      <xdr:rowOff>114300</xdr:rowOff>
    </xdr:to>
    <xdr:sp macro="" textlink="">
      <xdr:nvSpPr>
        <xdr:cNvPr id="730" name="Arrow: Down 729">
          <a:extLst>
            <a:ext uri="{FF2B5EF4-FFF2-40B4-BE49-F238E27FC236}">
              <a16:creationId xmlns:a16="http://schemas.microsoft.com/office/drawing/2014/main" id="{04FD3C15-9728-42AE-ABDA-A5813080D293}"/>
            </a:ext>
          </a:extLst>
        </xdr:cNvPr>
        <xdr:cNvSpPr/>
      </xdr:nvSpPr>
      <xdr:spPr>
        <a:xfrm rot="10800000">
          <a:off x="14752320" y="1911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105</xdr:row>
      <xdr:rowOff>0</xdr:rowOff>
    </xdr:from>
    <xdr:to>
      <xdr:col>45</xdr:col>
      <xdr:colOff>83820</xdr:colOff>
      <xdr:row>105</xdr:row>
      <xdr:rowOff>114300</xdr:rowOff>
    </xdr:to>
    <xdr:sp macro="" textlink="">
      <xdr:nvSpPr>
        <xdr:cNvPr id="731" name="Arrow: Down 730">
          <a:extLst>
            <a:ext uri="{FF2B5EF4-FFF2-40B4-BE49-F238E27FC236}">
              <a16:creationId xmlns:a16="http://schemas.microsoft.com/office/drawing/2014/main" id="{003F155B-7D41-468D-A9F6-D87F3937DA15}"/>
            </a:ext>
          </a:extLst>
        </xdr:cNvPr>
        <xdr:cNvSpPr/>
      </xdr:nvSpPr>
      <xdr:spPr>
        <a:xfrm rot="10800000">
          <a:off x="10134600" y="1911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83820</xdr:colOff>
      <xdr:row>105</xdr:row>
      <xdr:rowOff>114300</xdr:rowOff>
    </xdr:to>
    <xdr:sp macro="" textlink="">
      <xdr:nvSpPr>
        <xdr:cNvPr id="733" name="Arrow: Down 732">
          <a:extLst>
            <a:ext uri="{FF2B5EF4-FFF2-40B4-BE49-F238E27FC236}">
              <a16:creationId xmlns:a16="http://schemas.microsoft.com/office/drawing/2014/main" id="{4772179F-EFD1-4DAB-9021-F899DA14B4FB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39</xdr:col>
      <xdr:colOff>0</xdr:colOff>
      <xdr:row>105</xdr:row>
      <xdr:rowOff>0</xdr:rowOff>
    </xdr:from>
    <xdr:to>
      <xdr:col>39</xdr:col>
      <xdr:colOff>83820</xdr:colOff>
      <xdr:row>105</xdr:row>
      <xdr:rowOff>114300</xdr:rowOff>
    </xdr:to>
    <xdr:sp macro="" textlink="">
      <xdr:nvSpPr>
        <xdr:cNvPr id="734" name="Arrow: Down 733">
          <a:extLst>
            <a:ext uri="{FF2B5EF4-FFF2-40B4-BE49-F238E27FC236}">
              <a16:creationId xmlns:a16="http://schemas.microsoft.com/office/drawing/2014/main" id="{93B9A069-E962-454E-B250-3258F96FE66D}"/>
            </a:ext>
          </a:extLst>
        </xdr:cNvPr>
        <xdr:cNvSpPr/>
      </xdr:nvSpPr>
      <xdr:spPr>
        <a:xfrm rot="10800000">
          <a:off x="854964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105</xdr:row>
      <xdr:rowOff>0</xdr:rowOff>
    </xdr:from>
    <xdr:to>
      <xdr:col>71</xdr:col>
      <xdr:colOff>83820</xdr:colOff>
      <xdr:row>105</xdr:row>
      <xdr:rowOff>114300</xdr:rowOff>
    </xdr:to>
    <xdr:sp macro="" textlink="">
      <xdr:nvSpPr>
        <xdr:cNvPr id="736" name="Arrow: Down 735">
          <a:extLst>
            <a:ext uri="{FF2B5EF4-FFF2-40B4-BE49-F238E27FC236}">
              <a16:creationId xmlns:a16="http://schemas.microsoft.com/office/drawing/2014/main" id="{81C02E15-4497-435E-BABE-5352B55BB27E}"/>
            </a:ext>
          </a:extLst>
        </xdr:cNvPr>
        <xdr:cNvSpPr/>
      </xdr:nvSpPr>
      <xdr:spPr>
        <a:xfrm rot="10800000">
          <a:off x="170688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106</xdr:row>
      <xdr:rowOff>0</xdr:rowOff>
    </xdr:from>
    <xdr:to>
      <xdr:col>5</xdr:col>
      <xdr:colOff>83820</xdr:colOff>
      <xdr:row>106</xdr:row>
      <xdr:rowOff>114300</xdr:rowOff>
    </xdr:to>
    <xdr:sp macro="" textlink="">
      <xdr:nvSpPr>
        <xdr:cNvPr id="744" name="Arrow: Down 743">
          <a:extLst>
            <a:ext uri="{FF2B5EF4-FFF2-40B4-BE49-F238E27FC236}">
              <a16:creationId xmlns:a16="http://schemas.microsoft.com/office/drawing/2014/main" id="{200E3500-E13A-438F-8D4C-EB599018F4AC}"/>
            </a:ext>
          </a:extLst>
        </xdr:cNvPr>
        <xdr:cNvSpPr/>
      </xdr:nvSpPr>
      <xdr:spPr>
        <a:xfrm rot="10800000">
          <a:off x="192786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106</xdr:row>
      <xdr:rowOff>0</xdr:rowOff>
    </xdr:from>
    <xdr:to>
      <xdr:col>11</xdr:col>
      <xdr:colOff>83820</xdr:colOff>
      <xdr:row>106</xdr:row>
      <xdr:rowOff>114300</xdr:rowOff>
    </xdr:to>
    <xdr:sp macro="" textlink="">
      <xdr:nvSpPr>
        <xdr:cNvPr id="745" name="Arrow: Down 744">
          <a:extLst>
            <a:ext uri="{FF2B5EF4-FFF2-40B4-BE49-F238E27FC236}">
              <a16:creationId xmlns:a16="http://schemas.microsoft.com/office/drawing/2014/main" id="{7BD6008A-5672-4366-A5A9-0744691A9E10}"/>
            </a:ext>
          </a:extLst>
        </xdr:cNvPr>
        <xdr:cNvSpPr/>
      </xdr:nvSpPr>
      <xdr:spPr>
        <a:xfrm rot="10800000">
          <a:off x="3619500" y="1930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106</xdr:row>
      <xdr:rowOff>0</xdr:rowOff>
    </xdr:from>
    <xdr:to>
      <xdr:col>24</xdr:col>
      <xdr:colOff>83820</xdr:colOff>
      <xdr:row>106</xdr:row>
      <xdr:rowOff>114300</xdr:rowOff>
    </xdr:to>
    <xdr:sp macro="" textlink="">
      <xdr:nvSpPr>
        <xdr:cNvPr id="748" name="Arrow: Down 747">
          <a:extLst>
            <a:ext uri="{FF2B5EF4-FFF2-40B4-BE49-F238E27FC236}">
              <a16:creationId xmlns:a16="http://schemas.microsoft.com/office/drawing/2014/main" id="{37D1D4A8-E127-48B8-8420-EB3B50A620F6}"/>
            </a:ext>
          </a:extLst>
        </xdr:cNvPr>
        <xdr:cNvSpPr/>
      </xdr:nvSpPr>
      <xdr:spPr>
        <a:xfrm>
          <a:off x="5440680" y="19301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71</xdr:col>
      <xdr:colOff>0</xdr:colOff>
      <xdr:row>106</xdr:row>
      <xdr:rowOff>0</xdr:rowOff>
    </xdr:from>
    <xdr:to>
      <xdr:col>71</xdr:col>
      <xdr:colOff>83820</xdr:colOff>
      <xdr:row>106</xdr:row>
      <xdr:rowOff>114300</xdr:rowOff>
    </xdr:to>
    <xdr:sp macro="" textlink="">
      <xdr:nvSpPr>
        <xdr:cNvPr id="751" name="Arrow: Down 750">
          <a:extLst>
            <a:ext uri="{FF2B5EF4-FFF2-40B4-BE49-F238E27FC236}">
              <a16:creationId xmlns:a16="http://schemas.microsoft.com/office/drawing/2014/main" id="{5B4519AD-AE40-4B89-92EF-98B52FD8A4FD}"/>
            </a:ext>
          </a:extLst>
        </xdr:cNvPr>
        <xdr:cNvSpPr/>
      </xdr:nvSpPr>
      <xdr:spPr>
        <a:xfrm>
          <a:off x="1706880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106</xdr:row>
      <xdr:rowOff>0</xdr:rowOff>
    </xdr:from>
    <xdr:to>
      <xdr:col>60</xdr:col>
      <xdr:colOff>83820</xdr:colOff>
      <xdr:row>106</xdr:row>
      <xdr:rowOff>114300</xdr:rowOff>
    </xdr:to>
    <xdr:sp macro="" textlink="">
      <xdr:nvSpPr>
        <xdr:cNvPr id="752" name="Arrow: Down 751">
          <a:extLst>
            <a:ext uri="{FF2B5EF4-FFF2-40B4-BE49-F238E27FC236}">
              <a16:creationId xmlns:a16="http://schemas.microsoft.com/office/drawing/2014/main" id="{70381BF0-C654-4764-9EBC-42445E15E618}"/>
            </a:ext>
          </a:extLst>
        </xdr:cNvPr>
        <xdr:cNvSpPr/>
      </xdr:nvSpPr>
      <xdr:spPr>
        <a:xfrm>
          <a:off x="14752320" y="1948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106</xdr:row>
      <xdr:rowOff>0</xdr:rowOff>
    </xdr:from>
    <xdr:to>
      <xdr:col>39</xdr:col>
      <xdr:colOff>83820</xdr:colOff>
      <xdr:row>106</xdr:row>
      <xdr:rowOff>114300</xdr:rowOff>
    </xdr:to>
    <xdr:sp macro="" textlink="">
      <xdr:nvSpPr>
        <xdr:cNvPr id="754" name="Arrow: Down 753">
          <a:extLst>
            <a:ext uri="{FF2B5EF4-FFF2-40B4-BE49-F238E27FC236}">
              <a16:creationId xmlns:a16="http://schemas.microsoft.com/office/drawing/2014/main" id="{79DB80CF-E171-49AD-85D2-DA4F5227F33B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106</xdr:row>
      <xdr:rowOff>0</xdr:rowOff>
    </xdr:from>
    <xdr:to>
      <xdr:col>45</xdr:col>
      <xdr:colOff>83820</xdr:colOff>
      <xdr:row>106</xdr:row>
      <xdr:rowOff>114300</xdr:rowOff>
    </xdr:to>
    <xdr:sp macro="" textlink="">
      <xdr:nvSpPr>
        <xdr:cNvPr id="756" name="Arrow: Down 755">
          <a:extLst>
            <a:ext uri="{FF2B5EF4-FFF2-40B4-BE49-F238E27FC236}">
              <a16:creationId xmlns:a16="http://schemas.microsoft.com/office/drawing/2014/main" id="{70DFDCFA-DF9C-4EEF-9D3B-C02C7E42B8A0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107</xdr:row>
      <xdr:rowOff>0</xdr:rowOff>
    </xdr:from>
    <xdr:to>
      <xdr:col>5</xdr:col>
      <xdr:colOff>83820</xdr:colOff>
      <xdr:row>107</xdr:row>
      <xdr:rowOff>114300</xdr:rowOff>
    </xdr:to>
    <xdr:sp macro="" textlink="">
      <xdr:nvSpPr>
        <xdr:cNvPr id="681" name="Arrow: Down 680">
          <a:extLst>
            <a:ext uri="{FF2B5EF4-FFF2-40B4-BE49-F238E27FC236}">
              <a16:creationId xmlns:a16="http://schemas.microsoft.com/office/drawing/2014/main" id="{07E2EE87-64F7-448C-A441-2893689049AD}"/>
            </a:ext>
          </a:extLst>
        </xdr:cNvPr>
        <xdr:cNvSpPr/>
      </xdr:nvSpPr>
      <xdr:spPr>
        <a:xfrm rot="10800000">
          <a:off x="192786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107</xdr:row>
      <xdr:rowOff>0</xdr:rowOff>
    </xdr:from>
    <xdr:to>
      <xdr:col>11</xdr:col>
      <xdr:colOff>83820</xdr:colOff>
      <xdr:row>107</xdr:row>
      <xdr:rowOff>114300</xdr:rowOff>
    </xdr:to>
    <xdr:sp macro="" textlink="">
      <xdr:nvSpPr>
        <xdr:cNvPr id="684" name="Arrow: Down 683">
          <a:extLst>
            <a:ext uri="{FF2B5EF4-FFF2-40B4-BE49-F238E27FC236}">
              <a16:creationId xmlns:a16="http://schemas.microsoft.com/office/drawing/2014/main" id="{FBA310C7-B684-4B82-A7CF-A6A96BD839EB}"/>
            </a:ext>
          </a:extLst>
        </xdr:cNvPr>
        <xdr:cNvSpPr/>
      </xdr:nvSpPr>
      <xdr:spPr>
        <a:xfrm rot="10800000">
          <a:off x="36195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107</xdr:row>
      <xdr:rowOff>0</xdr:rowOff>
    </xdr:from>
    <xdr:to>
      <xdr:col>39</xdr:col>
      <xdr:colOff>83820</xdr:colOff>
      <xdr:row>107</xdr:row>
      <xdr:rowOff>114300</xdr:rowOff>
    </xdr:to>
    <xdr:sp macro="" textlink="">
      <xdr:nvSpPr>
        <xdr:cNvPr id="695" name="Arrow: Down 694">
          <a:extLst>
            <a:ext uri="{FF2B5EF4-FFF2-40B4-BE49-F238E27FC236}">
              <a16:creationId xmlns:a16="http://schemas.microsoft.com/office/drawing/2014/main" id="{1CEFFBA5-8F19-48FF-8F32-CE76AC445C63}"/>
            </a:ext>
          </a:extLst>
        </xdr:cNvPr>
        <xdr:cNvSpPr/>
      </xdr:nvSpPr>
      <xdr:spPr>
        <a:xfrm>
          <a:off x="854964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107</xdr:row>
      <xdr:rowOff>0</xdr:rowOff>
    </xdr:from>
    <xdr:to>
      <xdr:col>45</xdr:col>
      <xdr:colOff>83820</xdr:colOff>
      <xdr:row>107</xdr:row>
      <xdr:rowOff>114300</xdr:rowOff>
    </xdr:to>
    <xdr:sp macro="" textlink="">
      <xdr:nvSpPr>
        <xdr:cNvPr id="697" name="Arrow: Down 696">
          <a:extLst>
            <a:ext uri="{FF2B5EF4-FFF2-40B4-BE49-F238E27FC236}">
              <a16:creationId xmlns:a16="http://schemas.microsoft.com/office/drawing/2014/main" id="{C3891196-203F-4469-8959-0083D1A76668}"/>
            </a:ext>
          </a:extLst>
        </xdr:cNvPr>
        <xdr:cNvSpPr/>
      </xdr:nvSpPr>
      <xdr:spPr>
        <a:xfrm>
          <a:off x="10134600" y="1948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107</xdr:row>
      <xdr:rowOff>0</xdr:rowOff>
    </xdr:from>
    <xdr:to>
      <xdr:col>24</xdr:col>
      <xdr:colOff>83820</xdr:colOff>
      <xdr:row>107</xdr:row>
      <xdr:rowOff>114300</xdr:rowOff>
    </xdr:to>
    <xdr:sp macro="" textlink="">
      <xdr:nvSpPr>
        <xdr:cNvPr id="699" name="Arrow: Down 698">
          <a:extLst>
            <a:ext uri="{FF2B5EF4-FFF2-40B4-BE49-F238E27FC236}">
              <a16:creationId xmlns:a16="http://schemas.microsoft.com/office/drawing/2014/main" id="{74F8545B-D1E9-42F6-9B51-E9A4CDB56EB4}"/>
            </a:ext>
          </a:extLst>
        </xdr:cNvPr>
        <xdr:cNvSpPr/>
      </xdr:nvSpPr>
      <xdr:spPr>
        <a:xfrm rot="10800000">
          <a:off x="544068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107</xdr:row>
      <xdr:rowOff>0</xdr:rowOff>
    </xdr:from>
    <xdr:to>
      <xdr:col>60</xdr:col>
      <xdr:colOff>83820</xdr:colOff>
      <xdr:row>107</xdr:row>
      <xdr:rowOff>114300</xdr:rowOff>
    </xdr:to>
    <xdr:sp macro="" textlink="">
      <xdr:nvSpPr>
        <xdr:cNvPr id="712" name="Arrow: Down 711">
          <a:extLst>
            <a:ext uri="{FF2B5EF4-FFF2-40B4-BE49-F238E27FC236}">
              <a16:creationId xmlns:a16="http://schemas.microsoft.com/office/drawing/2014/main" id="{FF8F76A9-29EA-45AC-A948-3750963CE9C7}"/>
            </a:ext>
          </a:extLst>
        </xdr:cNvPr>
        <xdr:cNvSpPr/>
      </xdr:nvSpPr>
      <xdr:spPr>
        <a:xfrm rot="10800000">
          <a:off x="1475232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107</xdr:row>
      <xdr:rowOff>0</xdr:rowOff>
    </xdr:from>
    <xdr:to>
      <xdr:col>71</xdr:col>
      <xdr:colOff>83820</xdr:colOff>
      <xdr:row>107</xdr:row>
      <xdr:rowOff>114300</xdr:rowOff>
    </xdr:to>
    <xdr:sp macro="" textlink="">
      <xdr:nvSpPr>
        <xdr:cNvPr id="715" name="Arrow: Down 714">
          <a:extLst>
            <a:ext uri="{FF2B5EF4-FFF2-40B4-BE49-F238E27FC236}">
              <a16:creationId xmlns:a16="http://schemas.microsoft.com/office/drawing/2014/main" id="{4F1E5E70-ACE4-40C6-BC03-36F7CEC928C1}"/>
            </a:ext>
          </a:extLst>
        </xdr:cNvPr>
        <xdr:cNvSpPr/>
      </xdr:nvSpPr>
      <xdr:spPr>
        <a:xfrm rot="10800000">
          <a:off x="17068800" y="1966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108</xdr:row>
      <xdr:rowOff>0</xdr:rowOff>
    </xdr:from>
    <xdr:to>
      <xdr:col>5</xdr:col>
      <xdr:colOff>83820</xdr:colOff>
      <xdr:row>108</xdr:row>
      <xdr:rowOff>114300</xdr:rowOff>
    </xdr:to>
    <xdr:sp macro="" textlink="">
      <xdr:nvSpPr>
        <xdr:cNvPr id="740" name="Arrow: Down 739">
          <a:extLst>
            <a:ext uri="{FF2B5EF4-FFF2-40B4-BE49-F238E27FC236}">
              <a16:creationId xmlns:a16="http://schemas.microsoft.com/office/drawing/2014/main" id="{F534A5CF-53EF-4287-ACB7-F401B65A06D8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108</xdr:row>
      <xdr:rowOff>0</xdr:rowOff>
    </xdr:from>
    <xdr:to>
      <xdr:col>11</xdr:col>
      <xdr:colOff>83820</xdr:colOff>
      <xdr:row>108</xdr:row>
      <xdr:rowOff>114300</xdr:rowOff>
    </xdr:to>
    <xdr:sp macro="" textlink="">
      <xdr:nvSpPr>
        <xdr:cNvPr id="741" name="Arrow: Down 740">
          <a:extLst>
            <a:ext uri="{FF2B5EF4-FFF2-40B4-BE49-F238E27FC236}">
              <a16:creationId xmlns:a16="http://schemas.microsoft.com/office/drawing/2014/main" id="{F84D9B45-DB40-4CDD-920F-96123EE598F0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108</xdr:row>
      <xdr:rowOff>0</xdr:rowOff>
    </xdr:from>
    <xdr:to>
      <xdr:col>24</xdr:col>
      <xdr:colOff>83820</xdr:colOff>
      <xdr:row>108</xdr:row>
      <xdr:rowOff>114300</xdr:rowOff>
    </xdr:to>
    <xdr:sp macro="" textlink="">
      <xdr:nvSpPr>
        <xdr:cNvPr id="742" name="Arrow: Down 741">
          <a:extLst>
            <a:ext uri="{FF2B5EF4-FFF2-40B4-BE49-F238E27FC236}">
              <a16:creationId xmlns:a16="http://schemas.microsoft.com/office/drawing/2014/main" id="{BA492D6C-ADEE-4C84-BA77-73C2F1B1B3B6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108</xdr:row>
      <xdr:rowOff>0</xdr:rowOff>
    </xdr:from>
    <xdr:to>
      <xdr:col>45</xdr:col>
      <xdr:colOff>83820</xdr:colOff>
      <xdr:row>108</xdr:row>
      <xdr:rowOff>114300</xdr:rowOff>
    </xdr:to>
    <xdr:sp macro="" textlink="">
      <xdr:nvSpPr>
        <xdr:cNvPr id="746" name="Arrow: Down 745">
          <a:extLst>
            <a:ext uri="{FF2B5EF4-FFF2-40B4-BE49-F238E27FC236}">
              <a16:creationId xmlns:a16="http://schemas.microsoft.com/office/drawing/2014/main" id="{9187E80B-4CC6-486F-8DFF-8DD969BE2E77}"/>
            </a:ext>
          </a:extLst>
        </xdr:cNvPr>
        <xdr:cNvSpPr/>
      </xdr:nvSpPr>
      <xdr:spPr>
        <a:xfrm rot="10800000">
          <a:off x="101346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108</xdr:row>
      <xdr:rowOff>0</xdr:rowOff>
    </xdr:from>
    <xdr:to>
      <xdr:col>39</xdr:col>
      <xdr:colOff>83820</xdr:colOff>
      <xdr:row>108</xdr:row>
      <xdr:rowOff>114300</xdr:rowOff>
    </xdr:to>
    <xdr:sp macro="" textlink="">
      <xdr:nvSpPr>
        <xdr:cNvPr id="747" name="Arrow: Down 746">
          <a:extLst>
            <a:ext uri="{FF2B5EF4-FFF2-40B4-BE49-F238E27FC236}">
              <a16:creationId xmlns:a16="http://schemas.microsoft.com/office/drawing/2014/main" id="{55A91A82-1744-4D70-B351-14C89C5228A4}"/>
            </a:ext>
          </a:extLst>
        </xdr:cNvPr>
        <xdr:cNvSpPr/>
      </xdr:nvSpPr>
      <xdr:spPr>
        <a:xfrm>
          <a:off x="8549640" y="1985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108</xdr:row>
      <xdr:rowOff>0</xdr:rowOff>
    </xdr:from>
    <xdr:to>
      <xdr:col>60</xdr:col>
      <xdr:colOff>83820</xdr:colOff>
      <xdr:row>108</xdr:row>
      <xdr:rowOff>114300</xdr:rowOff>
    </xdr:to>
    <xdr:sp macro="" textlink="">
      <xdr:nvSpPr>
        <xdr:cNvPr id="750" name="Arrow: Down 749">
          <a:extLst>
            <a:ext uri="{FF2B5EF4-FFF2-40B4-BE49-F238E27FC236}">
              <a16:creationId xmlns:a16="http://schemas.microsoft.com/office/drawing/2014/main" id="{413885C1-CD87-4F3A-8344-F13A61837296}"/>
            </a:ext>
          </a:extLst>
        </xdr:cNvPr>
        <xdr:cNvSpPr/>
      </xdr:nvSpPr>
      <xdr:spPr>
        <a:xfrm>
          <a:off x="1475232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108</xdr:row>
      <xdr:rowOff>0</xdr:rowOff>
    </xdr:from>
    <xdr:to>
      <xdr:col>71</xdr:col>
      <xdr:colOff>83820</xdr:colOff>
      <xdr:row>108</xdr:row>
      <xdr:rowOff>114300</xdr:rowOff>
    </xdr:to>
    <xdr:sp macro="" textlink="">
      <xdr:nvSpPr>
        <xdr:cNvPr id="755" name="Arrow: Down 754">
          <a:extLst>
            <a:ext uri="{FF2B5EF4-FFF2-40B4-BE49-F238E27FC236}">
              <a16:creationId xmlns:a16="http://schemas.microsoft.com/office/drawing/2014/main" id="{646D31EB-450C-4985-BF33-3FBF78DA0067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109</xdr:row>
      <xdr:rowOff>0</xdr:rowOff>
    </xdr:from>
    <xdr:to>
      <xdr:col>5</xdr:col>
      <xdr:colOff>83820</xdr:colOff>
      <xdr:row>109</xdr:row>
      <xdr:rowOff>114300</xdr:rowOff>
    </xdr:to>
    <xdr:sp macro="" textlink="">
      <xdr:nvSpPr>
        <xdr:cNvPr id="757" name="Arrow: Down 756">
          <a:extLst>
            <a:ext uri="{FF2B5EF4-FFF2-40B4-BE49-F238E27FC236}">
              <a16:creationId xmlns:a16="http://schemas.microsoft.com/office/drawing/2014/main" id="{E0DE74F5-D035-4762-820F-E9D827E2A977}"/>
            </a:ext>
          </a:extLst>
        </xdr:cNvPr>
        <xdr:cNvSpPr/>
      </xdr:nvSpPr>
      <xdr:spPr>
        <a:xfrm>
          <a:off x="192786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109</xdr:row>
      <xdr:rowOff>0</xdr:rowOff>
    </xdr:from>
    <xdr:to>
      <xdr:col>11</xdr:col>
      <xdr:colOff>83820</xdr:colOff>
      <xdr:row>109</xdr:row>
      <xdr:rowOff>114300</xdr:rowOff>
    </xdr:to>
    <xdr:sp macro="" textlink="">
      <xdr:nvSpPr>
        <xdr:cNvPr id="758" name="Arrow: Down 757">
          <a:extLst>
            <a:ext uri="{FF2B5EF4-FFF2-40B4-BE49-F238E27FC236}">
              <a16:creationId xmlns:a16="http://schemas.microsoft.com/office/drawing/2014/main" id="{B32E33AE-E523-49E4-AFB5-6CB36D3A613E}"/>
            </a:ext>
          </a:extLst>
        </xdr:cNvPr>
        <xdr:cNvSpPr/>
      </xdr:nvSpPr>
      <xdr:spPr>
        <a:xfrm>
          <a:off x="361950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109</xdr:row>
      <xdr:rowOff>0</xdr:rowOff>
    </xdr:from>
    <xdr:to>
      <xdr:col>24</xdr:col>
      <xdr:colOff>83820</xdr:colOff>
      <xdr:row>109</xdr:row>
      <xdr:rowOff>114300</xdr:rowOff>
    </xdr:to>
    <xdr:sp macro="" textlink="">
      <xdr:nvSpPr>
        <xdr:cNvPr id="759" name="Arrow: Down 758">
          <a:extLst>
            <a:ext uri="{FF2B5EF4-FFF2-40B4-BE49-F238E27FC236}">
              <a16:creationId xmlns:a16="http://schemas.microsoft.com/office/drawing/2014/main" id="{61C57F89-773E-469E-8A25-F506E9BB92B9}"/>
            </a:ext>
          </a:extLst>
        </xdr:cNvPr>
        <xdr:cNvSpPr/>
      </xdr:nvSpPr>
      <xdr:spPr>
        <a:xfrm>
          <a:off x="5440680" y="19850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109</xdr:row>
      <xdr:rowOff>0</xdr:rowOff>
    </xdr:from>
    <xdr:to>
      <xdr:col>71</xdr:col>
      <xdr:colOff>83820</xdr:colOff>
      <xdr:row>109</xdr:row>
      <xdr:rowOff>114300</xdr:rowOff>
    </xdr:to>
    <xdr:sp macro="" textlink="">
      <xdr:nvSpPr>
        <xdr:cNvPr id="763" name="Arrow: Down 762">
          <a:extLst>
            <a:ext uri="{FF2B5EF4-FFF2-40B4-BE49-F238E27FC236}">
              <a16:creationId xmlns:a16="http://schemas.microsoft.com/office/drawing/2014/main" id="{6142D0DE-8D5C-4CC9-A3B3-04119C9E99C5}"/>
            </a:ext>
          </a:extLst>
        </xdr:cNvPr>
        <xdr:cNvSpPr/>
      </xdr:nvSpPr>
      <xdr:spPr>
        <a:xfrm>
          <a:off x="17068800" y="1985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109</xdr:row>
      <xdr:rowOff>0</xdr:rowOff>
    </xdr:from>
    <xdr:to>
      <xdr:col>60</xdr:col>
      <xdr:colOff>160020</xdr:colOff>
      <xdr:row>109</xdr:row>
      <xdr:rowOff>99060</xdr:rowOff>
    </xdr:to>
    <xdr:sp macro="" textlink="">
      <xdr:nvSpPr>
        <xdr:cNvPr id="770" name="Minus Sign 769">
          <a:extLst>
            <a:ext uri="{FF2B5EF4-FFF2-40B4-BE49-F238E27FC236}">
              <a16:creationId xmlns:a16="http://schemas.microsoft.com/office/drawing/2014/main" id="{70EB6C36-971A-41FC-B812-8AA187F73046}"/>
            </a:ext>
          </a:extLst>
        </xdr:cNvPr>
        <xdr:cNvSpPr/>
      </xdr:nvSpPr>
      <xdr:spPr>
        <a:xfrm>
          <a:off x="17724120" y="200329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39</xdr:col>
      <xdr:colOff>0</xdr:colOff>
      <xdr:row>109</xdr:row>
      <xdr:rowOff>0</xdr:rowOff>
    </xdr:from>
    <xdr:to>
      <xdr:col>39</xdr:col>
      <xdr:colOff>83820</xdr:colOff>
      <xdr:row>109</xdr:row>
      <xdr:rowOff>114300</xdr:rowOff>
    </xdr:to>
    <xdr:sp macro="" textlink="">
      <xdr:nvSpPr>
        <xdr:cNvPr id="771" name="Arrow: Down 770">
          <a:extLst>
            <a:ext uri="{FF2B5EF4-FFF2-40B4-BE49-F238E27FC236}">
              <a16:creationId xmlns:a16="http://schemas.microsoft.com/office/drawing/2014/main" id="{0EF9F8BC-6D6A-4118-BDA1-CB681024D265}"/>
            </a:ext>
          </a:extLst>
        </xdr:cNvPr>
        <xdr:cNvSpPr/>
      </xdr:nvSpPr>
      <xdr:spPr>
        <a:xfrm>
          <a:off x="1152144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109</xdr:row>
      <xdr:rowOff>0</xdr:rowOff>
    </xdr:from>
    <xdr:to>
      <xdr:col>45</xdr:col>
      <xdr:colOff>83820</xdr:colOff>
      <xdr:row>109</xdr:row>
      <xdr:rowOff>114300</xdr:rowOff>
    </xdr:to>
    <xdr:sp macro="" textlink="">
      <xdr:nvSpPr>
        <xdr:cNvPr id="775" name="Arrow: Down 774">
          <a:extLst>
            <a:ext uri="{FF2B5EF4-FFF2-40B4-BE49-F238E27FC236}">
              <a16:creationId xmlns:a16="http://schemas.microsoft.com/office/drawing/2014/main" id="{9A5BDF1A-0985-4E67-AE3E-5AD941ABB478}"/>
            </a:ext>
          </a:extLst>
        </xdr:cNvPr>
        <xdr:cNvSpPr/>
      </xdr:nvSpPr>
      <xdr:spPr>
        <a:xfrm>
          <a:off x="13106400" y="2003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110</xdr:row>
      <xdr:rowOff>0</xdr:rowOff>
    </xdr:from>
    <xdr:to>
      <xdr:col>24</xdr:col>
      <xdr:colOff>83820</xdr:colOff>
      <xdr:row>110</xdr:row>
      <xdr:rowOff>114300</xdr:rowOff>
    </xdr:to>
    <xdr:sp macro="" textlink="">
      <xdr:nvSpPr>
        <xdr:cNvPr id="735" name="Arrow: Down 734">
          <a:extLst>
            <a:ext uri="{FF2B5EF4-FFF2-40B4-BE49-F238E27FC236}">
              <a16:creationId xmlns:a16="http://schemas.microsoft.com/office/drawing/2014/main" id="{D408C349-D81F-482D-8DBA-695D5F847D0E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110</xdr:row>
      <xdr:rowOff>0</xdr:rowOff>
    </xdr:from>
    <xdr:to>
      <xdr:col>5</xdr:col>
      <xdr:colOff>83820</xdr:colOff>
      <xdr:row>110</xdr:row>
      <xdr:rowOff>114300</xdr:rowOff>
    </xdr:to>
    <xdr:sp macro="" textlink="">
      <xdr:nvSpPr>
        <xdr:cNvPr id="738" name="Arrow: Down 737">
          <a:extLst>
            <a:ext uri="{FF2B5EF4-FFF2-40B4-BE49-F238E27FC236}">
              <a16:creationId xmlns:a16="http://schemas.microsoft.com/office/drawing/2014/main" id="{A8F2E3E5-32D1-4D14-89C3-577A124A1FE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110</xdr:row>
      <xdr:rowOff>0</xdr:rowOff>
    </xdr:from>
    <xdr:to>
      <xdr:col>39</xdr:col>
      <xdr:colOff>83820</xdr:colOff>
      <xdr:row>110</xdr:row>
      <xdr:rowOff>114300</xdr:rowOff>
    </xdr:to>
    <xdr:sp macro="" textlink="">
      <xdr:nvSpPr>
        <xdr:cNvPr id="739" name="Arrow: Down 738">
          <a:extLst>
            <a:ext uri="{FF2B5EF4-FFF2-40B4-BE49-F238E27FC236}">
              <a16:creationId xmlns:a16="http://schemas.microsoft.com/office/drawing/2014/main" id="{9BE97AC5-0527-4B63-8D52-D9D25C1C31E7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110</xdr:row>
      <xdr:rowOff>0</xdr:rowOff>
    </xdr:from>
    <xdr:to>
      <xdr:col>45</xdr:col>
      <xdr:colOff>83820</xdr:colOff>
      <xdr:row>110</xdr:row>
      <xdr:rowOff>114300</xdr:rowOff>
    </xdr:to>
    <xdr:sp macro="" textlink="">
      <xdr:nvSpPr>
        <xdr:cNvPr id="749" name="Arrow: Down 748">
          <a:extLst>
            <a:ext uri="{FF2B5EF4-FFF2-40B4-BE49-F238E27FC236}">
              <a16:creationId xmlns:a16="http://schemas.microsoft.com/office/drawing/2014/main" id="{2A638162-0BF2-4CEC-BA8E-287F4FE1E4A5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110</xdr:row>
      <xdr:rowOff>0</xdr:rowOff>
    </xdr:from>
    <xdr:to>
      <xdr:col>11</xdr:col>
      <xdr:colOff>83820</xdr:colOff>
      <xdr:row>110</xdr:row>
      <xdr:rowOff>114300</xdr:rowOff>
    </xdr:to>
    <xdr:sp macro="" textlink="">
      <xdr:nvSpPr>
        <xdr:cNvPr id="753" name="Arrow: Down 752">
          <a:extLst>
            <a:ext uri="{FF2B5EF4-FFF2-40B4-BE49-F238E27FC236}">
              <a16:creationId xmlns:a16="http://schemas.microsoft.com/office/drawing/2014/main" id="{499B4929-1A03-442F-8D16-1B2BDECC545A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110</xdr:row>
      <xdr:rowOff>0</xdr:rowOff>
    </xdr:from>
    <xdr:to>
      <xdr:col>60</xdr:col>
      <xdr:colOff>83820</xdr:colOff>
      <xdr:row>110</xdr:row>
      <xdr:rowOff>114300</xdr:rowOff>
    </xdr:to>
    <xdr:sp macro="" textlink="">
      <xdr:nvSpPr>
        <xdr:cNvPr id="687" name="Arrow: Down 686">
          <a:extLst>
            <a:ext uri="{FF2B5EF4-FFF2-40B4-BE49-F238E27FC236}">
              <a16:creationId xmlns:a16="http://schemas.microsoft.com/office/drawing/2014/main" id="{BA38C92B-D6F2-45D4-99F7-5DA764983D75}"/>
            </a:ext>
          </a:extLst>
        </xdr:cNvPr>
        <xdr:cNvSpPr/>
      </xdr:nvSpPr>
      <xdr:spPr>
        <a:xfrm rot="10800000">
          <a:off x="1475232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110</xdr:row>
      <xdr:rowOff>0</xdr:rowOff>
    </xdr:from>
    <xdr:to>
      <xdr:col>71</xdr:col>
      <xdr:colOff>83820</xdr:colOff>
      <xdr:row>110</xdr:row>
      <xdr:rowOff>114300</xdr:rowOff>
    </xdr:to>
    <xdr:sp macro="" textlink="">
      <xdr:nvSpPr>
        <xdr:cNvPr id="692" name="Arrow: Down 691">
          <a:extLst>
            <a:ext uri="{FF2B5EF4-FFF2-40B4-BE49-F238E27FC236}">
              <a16:creationId xmlns:a16="http://schemas.microsoft.com/office/drawing/2014/main" id="{9BBD72C4-9006-4374-9F00-7722AFD21F53}"/>
            </a:ext>
          </a:extLst>
        </xdr:cNvPr>
        <xdr:cNvSpPr/>
      </xdr:nvSpPr>
      <xdr:spPr>
        <a:xfrm rot="10800000">
          <a:off x="170688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111</xdr:row>
      <xdr:rowOff>0</xdr:rowOff>
    </xdr:from>
    <xdr:to>
      <xdr:col>24</xdr:col>
      <xdr:colOff>83820</xdr:colOff>
      <xdr:row>111</xdr:row>
      <xdr:rowOff>114300</xdr:rowOff>
    </xdr:to>
    <xdr:sp macro="" textlink="">
      <xdr:nvSpPr>
        <xdr:cNvPr id="693" name="Arrow: Down 692">
          <a:extLst>
            <a:ext uri="{FF2B5EF4-FFF2-40B4-BE49-F238E27FC236}">
              <a16:creationId xmlns:a16="http://schemas.microsoft.com/office/drawing/2014/main" id="{32E00BAC-72BB-4822-B8EE-1A22F24B5D0F}"/>
            </a:ext>
          </a:extLst>
        </xdr:cNvPr>
        <xdr:cNvSpPr/>
      </xdr:nvSpPr>
      <xdr:spPr>
        <a:xfrm rot="10800000">
          <a:off x="544068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111</xdr:row>
      <xdr:rowOff>0</xdr:rowOff>
    </xdr:from>
    <xdr:to>
      <xdr:col>5</xdr:col>
      <xdr:colOff>83820</xdr:colOff>
      <xdr:row>111</xdr:row>
      <xdr:rowOff>114300</xdr:rowOff>
    </xdr:to>
    <xdr:sp macro="" textlink="">
      <xdr:nvSpPr>
        <xdr:cNvPr id="700" name="Arrow: Down 699">
          <a:extLst>
            <a:ext uri="{FF2B5EF4-FFF2-40B4-BE49-F238E27FC236}">
              <a16:creationId xmlns:a16="http://schemas.microsoft.com/office/drawing/2014/main" id="{2F23EF97-87D4-4AAF-A1C3-AF30CD74C6AA}"/>
            </a:ext>
          </a:extLst>
        </xdr:cNvPr>
        <xdr:cNvSpPr/>
      </xdr:nvSpPr>
      <xdr:spPr>
        <a:xfrm rot="10800000">
          <a:off x="192786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111</xdr:row>
      <xdr:rowOff>0</xdr:rowOff>
    </xdr:from>
    <xdr:to>
      <xdr:col>39</xdr:col>
      <xdr:colOff>83820</xdr:colOff>
      <xdr:row>111</xdr:row>
      <xdr:rowOff>114300</xdr:rowOff>
    </xdr:to>
    <xdr:sp macro="" textlink="">
      <xdr:nvSpPr>
        <xdr:cNvPr id="720" name="Arrow: Down 719">
          <a:extLst>
            <a:ext uri="{FF2B5EF4-FFF2-40B4-BE49-F238E27FC236}">
              <a16:creationId xmlns:a16="http://schemas.microsoft.com/office/drawing/2014/main" id="{7205720B-19A7-4E7D-A9F6-570F11439F61}"/>
            </a:ext>
          </a:extLst>
        </xdr:cNvPr>
        <xdr:cNvSpPr/>
      </xdr:nvSpPr>
      <xdr:spPr>
        <a:xfrm rot="10800000">
          <a:off x="854964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111</xdr:row>
      <xdr:rowOff>0</xdr:rowOff>
    </xdr:from>
    <xdr:to>
      <xdr:col>45</xdr:col>
      <xdr:colOff>83820</xdr:colOff>
      <xdr:row>111</xdr:row>
      <xdr:rowOff>114300</xdr:rowOff>
    </xdr:to>
    <xdr:sp macro="" textlink="">
      <xdr:nvSpPr>
        <xdr:cNvPr id="726" name="Arrow: Down 725">
          <a:extLst>
            <a:ext uri="{FF2B5EF4-FFF2-40B4-BE49-F238E27FC236}">
              <a16:creationId xmlns:a16="http://schemas.microsoft.com/office/drawing/2014/main" id="{72E9C2B8-7940-469A-8329-AA311F50E6D6}"/>
            </a:ext>
          </a:extLst>
        </xdr:cNvPr>
        <xdr:cNvSpPr/>
      </xdr:nvSpPr>
      <xdr:spPr>
        <a:xfrm rot="10800000">
          <a:off x="10134600" y="2021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11</xdr:col>
      <xdr:colOff>83820</xdr:colOff>
      <xdr:row>111</xdr:row>
      <xdr:rowOff>114300</xdr:rowOff>
    </xdr:to>
    <xdr:sp macro="" textlink="">
      <xdr:nvSpPr>
        <xdr:cNvPr id="727" name="Arrow: Down 726">
          <a:extLst>
            <a:ext uri="{FF2B5EF4-FFF2-40B4-BE49-F238E27FC236}">
              <a16:creationId xmlns:a16="http://schemas.microsoft.com/office/drawing/2014/main" id="{A165C0A3-96BD-4A61-BE82-1BC02716DE04}"/>
            </a:ext>
          </a:extLst>
        </xdr:cNvPr>
        <xdr:cNvSpPr/>
      </xdr:nvSpPr>
      <xdr:spPr>
        <a:xfrm rot="10800000">
          <a:off x="3619500" y="2021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111</xdr:row>
      <xdr:rowOff>0</xdr:rowOff>
    </xdr:from>
    <xdr:to>
      <xdr:col>60</xdr:col>
      <xdr:colOff>83820</xdr:colOff>
      <xdr:row>111</xdr:row>
      <xdr:rowOff>114300</xdr:rowOff>
    </xdr:to>
    <xdr:sp macro="" textlink="">
      <xdr:nvSpPr>
        <xdr:cNvPr id="743" name="Arrow: Down 742">
          <a:extLst>
            <a:ext uri="{FF2B5EF4-FFF2-40B4-BE49-F238E27FC236}">
              <a16:creationId xmlns:a16="http://schemas.microsoft.com/office/drawing/2014/main" id="{504C92D6-C0A1-4D22-8356-82BDA1430204}"/>
            </a:ext>
          </a:extLst>
        </xdr:cNvPr>
        <xdr:cNvSpPr/>
      </xdr:nvSpPr>
      <xdr:spPr>
        <a:xfrm>
          <a:off x="1475232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111</xdr:row>
      <xdr:rowOff>0</xdr:rowOff>
    </xdr:from>
    <xdr:to>
      <xdr:col>71</xdr:col>
      <xdr:colOff>83820</xdr:colOff>
      <xdr:row>111</xdr:row>
      <xdr:rowOff>114300</xdr:rowOff>
    </xdr:to>
    <xdr:sp macro="" textlink="">
      <xdr:nvSpPr>
        <xdr:cNvPr id="761" name="Arrow: Down 760">
          <a:extLst>
            <a:ext uri="{FF2B5EF4-FFF2-40B4-BE49-F238E27FC236}">
              <a16:creationId xmlns:a16="http://schemas.microsoft.com/office/drawing/2014/main" id="{65B1DCC6-1D6D-4085-82F4-F609503A082E}"/>
            </a:ext>
          </a:extLst>
        </xdr:cNvPr>
        <xdr:cNvSpPr/>
      </xdr:nvSpPr>
      <xdr:spPr>
        <a:xfrm>
          <a:off x="170688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112</xdr:row>
      <xdr:rowOff>0</xdr:rowOff>
    </xdr:from>
    <xdr:to>
      <xdr:col>5</xdr:col>
      <xdr:colOff>83820</xdr:colOff>
      <xdr:row>112</xdr:row>
      <xdr:rowOff>114300</xdr:rowOff>
    </xdr:to>
    <xdr:sp macro="" textlink="">
      <xdr:nvSpPr>
        <xdr:cNvPr id="764" name="Arrow: Down 763">
          <a:extLst>
            <a:ext uri="{FF2B5EF4-FFF2-40B4-BE49-F238E27FC236}">
              <a16:creationId xmlns:a16="http://schemas.microsoft.com/office/drawing/2014/main" id="{BFAF3E4C-E1B2-484B-8237-853F2082F034}"/>
            </a:ext>
          </a:extLst>
        </xdr:cNvPr>
        <xdr:cNvSpPr/>
      </xdr:nvSpPr>
      <xdr:spPr>
        <a:xfrm rot="10800000">
          <a:off x="192786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112</xdr:row>
      <xdr:rowOff>0</xdr:rowOff>
    </xdr:from>
    <xdr:to>
      <xdr:col>45</xdr:col>
      <xdr:colOff>83820</xdr:colOff>
      <xdr:row>112</xdr:row>
      <xdr:rowOff>114300</xdr:rowOff>
    </xdr:to>
    <xdr:sp macro="" textlink="">
      <xdr:nvSpPr>
        <xdr:cNvPr id="766" name="Arrow: Down 765">
          <a:extLst>
            <a:ext uri="{FF2B5EF4-FFF2-40B4-BE49-F238E27FC236}">
              <a16:creationId xmlns:a16="http://schemas.microsoft.com/office/drawing/2014/main" id="{D82C32EC-ED33-4B15-83C1-9EC5E3B2ECD6}"/>
            </a:ext>
          </a:extLst>
        </xdr:cNvPr>
        <xdr:cNvSpPr/>
      </xdr:nvSpPr>
      <xdr:spPr>
        <a:xfrm rot="10800000">
          <a:off x="10134600" y="2039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112</xdr:row>
      <xdr:rowOff>0</xdr:rowOff>
    </xdr:from>
    <xdr:to>
      <xdr:col>11</xdr:col>
      <xdr:colOff>83820</xdr:colOff>
      <xdr:row>112</xdr:row>
      <xdr:rowOff>114300</xdr:rowOff>
    </xdr:to>
    <xdr:sp macro="" textlink="">
      <xdr:nvSpPr>
        <xdr:cNvPr id="767" name="Arrow: Down 766">
          <a:extLst>
            <a:ext uri="{FF2B5EF4-FFF2-40B4-BE49-F238E27FC236}">
              <a16:creationId xmlns:a16="http://schemas.microsoft.com/office/drawing/2014/main" id="{FC4463F0-39DB-4A94-AD5A-C375E27DA7A6}"/>
            </a:ext>
          </a:extLst>
        </xdr:cNvPr>
        <xdr:cNvSpPr/>
      </xdr:nvSpPr>
      <xdr:spPr>
        <a:xfrm rot="10800000">
          <a:off x="3619500" y="2039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113</xdr:row>
      <xdr:rowOff>0</xdr:rowOff>
    </xdr:from>
    <xdr:to>
      <xdr:col>5</xdr:col>
      <xdr:colOff>83820</xdr:colOff>
      <xdr:row>113</xdr:row>
      <xdr:rowOff>114300</xdr:rowOff>
    </xdr:to>
    <xdr:sp macro="" textlink="">
      <xdr:nvSpPr>
        <xdr:cNvPr id="773" name="Arrow: Down 772">
          <a:extLst>
            <a:ext uri="{FF2B5EF4-FFF2-40B4-BE49-F238E27FC236}">
              <a16:creationId xmlns:a16="http://schemas.microsoft.com/office/drawing/2014/main" id="{95BCFE93-843B-4B04-B735-214D63DC7C99}"/>
            </a:ext>
          </a:extLst>
        </xdr:cNvPr>
        <xdr:cNvSpPr/>
      </xdr:nvSpPr>
      <xdr:spPr>
        <a:xfrm rot="10800000">
          <a:off x="192786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113</xdr:row>
      <xdr:rowOff>0</xdr:rowOff>
    </xdr:from>
    <xdr:to>
      <xdr:col>45</xdr:col>
      <xdr:colOff>83820</xdr:colOff>
      <xdr:row>113</xdr:row>
      <xdr:rowOff>114300</xdr:rowOff>
    </xdr:to>
    <xdr:sp macro="" textlink="">
      <xdr:nvSpPr>
        <xdr:cNvPr id="776" name="Arrow: Down 775">
          <a:extLst>
            <a:ext uri="{FF2B5EF4-FFF2-40B4-BE49-F238E27FC236}">
              <a16:creationId xmlns:a16="http://schemas.microsoft.com/office/drawing/2014/main" id="{54D49D89-BF04-4B76-9E82-3797F6F6A0E5}"/>
            </a:ext>
          </a:extLst>
        </xdr:cNvPr>
        <xdr:cNvSpPr/>
      </xdr:nvSpPr>
      <xdr:spPr>
        <a:xfrm rot="10800000">
          <a:off x="10134600" y="2058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113</xdr:row>
      <xdr:rowOff>0</xdr:rowOff>
    </xdr:from>
    <xdr:to>
      <xdr:col>11</xdr:col>
      <xdr:colOff>83820</xdr:colOff>
      <xdr:row>113</xdr:row>
      <xdr:rowOff>114300</xdr:rowOff>
    </xdr:to>
    <xdr:sp macro="" textlink="">
      <xdr:nvSpPr>
        <xdr:cNvPr id="777" name="Arrow: Down 776">
          <a:extLst>
            <a:ext uri="{FF2B5EF4-FFF2-40B4-BE49-F238E27FC236}">
              <a16:creationId xmlns:a16="http://schemas.microsoft.com/office/drawing/2014/main" id="{83AFB0A1-74F1-4667-BADE-7E12784C654C}"/>
            </a:ext>
          </a:extLst>
        </xdr:cNvPr>
        <xdr:cNvSpPr/>
      </xdr:nvSpPr>
      <xdr:spPr>
        <a:xfrm rot="10800000">
          <a:off x="36195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112</xdr:row>
      <xdr:rowOff>0</xdr:rowOff>
    </xdr:from>
    <xdr:to>
      <xdr:col>24</xdr:col>
      <xdr:colOff>83820</xdr:colOff>
      <xdr:row>112</xdr:row>
      <xdr:rowOff>114300</xdr:rowOff>
    </xdr:to>
    <xdr:sp macro="" textlink="">
      <xdr:nvSpPr>
        <xdr:cNvPr id="780" name="Arrow: Down 779">
          <a:extLst>
            <a:ext uri="{FF2B5EF4-FFF2-40B4-BE49-F238E27FC236}">
              <a16:creationId xmlns:a16="http://schemas.microsoft.com/office/drawing/2014/main" id="{ABC2F574-42B4-4EA8-90DF-D36AF2970FAD}"/>
            </a:ext>
          </a:extLst>
        </xdr:cNvPr>
        <xdr:cNvSpPr/>
      </xdr:nvSpPr>
      <xdr:spPr>
        <a:xfrm>
          <a:off x="5440680" y="20581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112</xdr:row>
      <xdr:rowOff>0</xdr:rowOff>
    </xdr:from>
    <xdr:to>
      <xdr:col>39</xdr:col>
      <xdr:colOff>83820</xdr:colOff>
      <xdr:row>112</xdr:row>
      <xdr:rowOff>114300</xdr:rowOff>
    </xdr:to>
    <xdr:sp macro="" textlink="">
      <xdr:nvSpPr>
        <xdr:cNvPr id="781" name="Arrow: Down 780">
          <a:extLst>
            <a:ext uri="{FF2B5EF4-FFF2-40B4-BE49-F238E27FC236}">
              <a16:creationId xmlns:a16="http://schemas.microsoft.com/office/drawing/2014/main" id="{FB53A926-3C6F-4C27-A761-D06A12A6DC7A}"/>
            </a:ext>
          </a:extLst>
        </xdr:cNvPr>
        <xdr:cNvSpPr/>
      </xdr:nvSpPr>
      <xdr:spPr>
        <a:xfrm>
          <a:off x="854964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112</xdr:row>
      <xdr:rowOff>0</xdr:rowOff>
    </xdr:from>
    <xdr:to>
      <xdr:col>60</xdr:col>
      <xdr:colOff>83820</xdr:colOff>
      <xdr:row>112</xdr:row>
      <xdr:rowOff>114300</xdr:rowOff>
    </xdr:to>
    <xdr:sp macro="" textlink="">
      <xdr:nvSpPr>
        <xdr:cNvPr id="782" name="Arrow: Down 781">
          <a:extLst>
            <a:ext uri="{FF2B5EF4-FFF2-40B4-BE49-F238E27FC236}">
              <a16:creationId xmlns:a16="http://schemas.microsoft.com/office/drawing/2014/main" id="{592C225C-8872-4B29-9112-461B8CD12DCD}"/>
            </a:ext>
          </a:extLst>
        </xdr:cNvPr>
        <xdr:cNvSpPr/>
      </xdr:nvSpPr>
      <xdr:spPr>
        <a:xfrm rot="10800000">
          <a:off x="1475232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112</xdr:row>
      <xdr:rowOff>0</xdr:rowOff>
    </xdr:from>
    <xdr:to>
      <xdr:col>71</xdr:col>
      <xdr:colOff>83820</xdr:colOff>
      <xdr:row>112</xdr:row>
      <xdr:rowOff>114300</xdr:rowOff>
    </xdr:to>
    <xdr:sp macro="" textlink="">
      <xdr:nvSpPr>
        <xdr:cNvPr id="785" name="Arrow: Down 784">
          <a:extLst>
            <a:ext uri="{FF2B5EF4-FFF2-40B4-BE49-F238E27FC236}">
              <a16:creationId xmlns:a16="http://schemas.microsoft.com/office/drawing/2014/main" id="{D560FD01-565C-4567-A27E-7701FB47A931}"/>
            </a:ext>
          </a:extLst>
        </xdr:cNvPr>
        <xdr:cNvSpPr/>
      </xdr:nvSpPr>
      <xdr:spPr>
        <a:xfrm rot="10800000">
          <a:off x="17068800" y="2058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114</xdr:row>
      <xdr:rowOff>0</xdr:rowOff>
    </xdr:from>
    <xdr:to>
      <xdr:col>24</xdr:col>
      <xdr:colOff>83820</xdr:colOff>
      <xdr:row>114</xdr:row>
      <xdr:rowOff>114300</xdr:rowOff>
    </xdr:to>
    <xdr:sp macro="" textlink="">
      <xdr:nvSpPr>
        <xdr:cNvPr id="786" name="Arrow: Down 785">
          <a:extLst>
            <a:ext uri="{FF2B5EF4-FFF2-40B4-BE49-F238E27FC236}">
              <a16:creationId xmlns:a16="http://schemas.microsoft.com/office/drawing/2014/main" id="{0CEF9245-4110-4CCA-A8A6-F4E6EE25FE07}"/>
            </a:ext>
          </a:extLst>
        </xdr:cNvPr>
        <xdr:cNvSpPr/>
      </xdr:nvSpPr>
      <xdr:spPr>
        <a:xfrm rot="10800000">
          <a:off x="544068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114</xdr:row>
      <xdr:rowOff>0</xdr:rowOff>
    </xdr:from>
    <xdr:to>
      <xdr:col>39</xdr:col>
      <xdr:colOff>83820</xdr:colOff>
      <xdr:row>114</xdr:row>
      <xdr:rowOff>114300</xdr:rowOff>
    </xdr:to>
    <xdr:sp macro="" textlink="">
      <xdr:nvSpPr>
        <xdr:cNvPr id="788" name="Arrow: Down 787">
          <a:extLst>
            <a:ext uri="{FF2B5EF4-FFF2-40B4-BE49-F238E27FC236}">
              <a16:creationId xmlns:a16="http://schemas.microsoft.com/office/drawing/2014/main" id="{0FF6BB03-DDDF-487A-A4F4-1592774925D6}"/>
            </a:ext>
          </a:extLst>
        </xdr:cNvPr>
        <xdr:cNvSpPr/>
      </xdr:nvSpPr>
      <xdr:spPr>
        <a:xfrm rot="10800000">
          <a:off x="854964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89" name="Arrow: Down 788">
          <a:extLst>
            <a:ext uri="{FF2B5EF4-FFF2-40B4-BE49-F238E27FC236}">
              <a16:creationId xmlns:a16="http://schemas.microsoft.com/office/drawing/2014/main" id="{D3F8ABE8-F39B-4763-9BD0-57E78D66E48B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114</xdr:row>
      <xdr:rowOff>0</xdr:rowOff>
    </xdr:from>
    <xdr:to>
      <xdr:col>60</xdr:col>
      <xdr:colOff>83820</xdr:colOff>
      <xdr:row>114</xdr:row>
      <xdr:rowOff>114300</xdr:rowOff>
    </xdr:to>
    <xdr:sp macro="" textlink="">
      <xdr:nvSpPr>
        <xdr:cNvPr id="791" name="Arrow: Down 790">
          <a:extLst>
            <a:ext uri="{FF2B5EF4-FFF2-40B4-BE49-F238E27FC236}">
              <a16:creationId xmlns:a16="http://schemas.microsoft.com/office/drawing/2014/main" id="{C05B7871-C5EB-4267-A31F-B3D90079C353}"/>
            </a:ext>
          </a:extLst>
        </xdr:cNvPr>
        <xdr:cNvSpPr/>
      </xdr:nvSpPr>
      <xdr:spPr>
        <a:xfrm>
          <a:off x="1475232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113</xdr:row>
      <xdr:rowOff>0</xdr:rowOff>
    </xdr:from>
    <xdr:to>
      <xdr:col>24</xdr:col>
      <xdr:colOff>83820</xdr:colOff>
      <xdr:row>113</xdr:row>
      <xdr:rowOff>114300</xdr:rowOff>
    </xdr:to>
    <xdr:sp macro="" textlink="">
      <xdr:nvSpPr>
        <xdr:cNvPr id="793" name="Arrow: Down 792">
          <a:extLst>
            <a:ext uri="{FF2B5EF4-FFF2-40B4-BE49-F238E27FC236}">
              <a16:creationId xmlns:a16="http://schemas.microsoft.com/office/drawing/2014/main" id="{7E2EC415-34ED-4854-8E9D-0573F41E516B}"/>
            </a:ext>
          </a:extLst>
        </xdr:cNvPr>
        <xdr:cNvSpPr/>
      </xdr:nvSpPr>
      <xdr:spPr>
        <a:xfrm>
          <a:off x="5440680" y="20764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113</xdr:row>
      <xdr:rowOff>0</xdr:rowOff>
    </xdr:from>
    <xdr:to>
      <xdr:col>39</xdr:col>
      <xdr:colOff>83820</xdr:colOff>
      <xdr:row>113</xdr:row>
      <xdr:rowOff>114300</xdr:rowOff>
    </xdr:to>
    <xdr:sp macro="" textlink="">
      <xdr:nvSpPr>
        <xdr:cNvPr id="794" name="Arrow: Down 793">
          <a:extLst>
            <a:ext uri="{FF2B5EF4-FFF2-40B4-BE49-F238E27FC236}">
              <a16:creationId xmlns:a16="http://schemas.microsoft.com/office/drawing/2014/main" id="{EE58D913-524C-4229-9768-159C19E51546}"/>
            </a:ext>
          </a:extLst>
        </xdr:cNvPr>
        <xdr:cNvSpPr/>
      </xdr:nvSpPr>
      <xdr:spPr>
        <a:xfrm>
          <a:off x="854964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113</xdr:row>
      <xdr:rowOff>0</xdr:rowOff>
    </xdr:from>
    <xdr:to>
      <xdr:col>60</xdr:col>
      <xdr:colOff>83820</xdr:colOff>
      <xdr:row>113</xdr:row>
      <xdr:rowOff>114300</xdr:rowOff>
    </xdr:to>
    <xdr:sp macro="" textlink="">
      <xdr:nvSpPr>
        <xdr:cNvPr id="795" name="Arrow: Down 794">
          <a:extLst>
            <a:ext uri="{FF2B5EF4-FFF2-40B4-BE49-F238E27FC236}">
              <a16:creationId xmlns:a16="http://schemas.microsoft.com/office/drawing/2014/main" id="{18F41EB1-66FF-41D0-ACEB-DE4FAF62FB36}"/>
            </a:ext>
          </a:extLst>
        </xdr:cNvPr>
        <xdr:cNvSpPr/>
      </xdr:nvSpPr>
      <xdr:spPr>
        <a:xfrm rot="10800000">
          <a:off x="1475232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113</xdr:row>
      <xdr:rowOff>0</xdr:rowOff>
    </xdr:from>
    <xdr:to>
      <xdr:col>71</xdr:col>
      <xdr:colOff>83820</xdr:colOff>
      <xdr:row>113</xdr:row>
      <xdr:rowOff>114300</xdr:rowOff>
    </xdr:to>
    <xdr:sp macro="" textlink="">
      <xdr:nvSpPr>
        <xdr:cNvPr id="796" name="Arrow: Down 795">
          <a:extLst>
            <a:ext uri="{FF2B5EF4-FFF2-40B4-BE49-F238E27FC236}">
              <a16:creationId xmlns:a16="http://schemas.microsoft.com/office/drawing/2014/main" id="{FA62FEAB-F6CD-438A-AC00-DE18437BE824}"/>
            </a:ext>
          </a:extLst>
        </xdr:cNvPr>
        <xdr:cNvSpPr/>
      </xdr:nvSpPr>
      <xdr:spPr>
        <a:xfrm rot="10800000">
          <a:off x="17068800" y="2076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114</xdr:row>
      <xdr:rowOff>0</xdr:rowOff>
    </xdr:from>
    <xdr:to>
      <xdr:col>45</xdr:col>
      <xdr:colOff>83820</xdr:colOff>
      <xdr:row>114</xdr:row>
      <xdr:rowOff>114300</xdr:rowOff>
    </xdr:to>
    <xdr:sp macro="" textlink="">
      <xdr:nvSpPr>
        <xdr:cNvPr id="797" name="Arrow: Down 796">
          <a:extLst>
            <a:ext uri="{FF2B5EF4-FFF2-40B4-BE49-F238E27FC236}">
              <a16:creationId xmlns:a16="http://schemas.microsoft.com/office/drawing/2014/main" id="{A1EA5953-4F1B-454A-9866-9693AA202256}"/>
            </a:ext>
          </a:extLst>
        </xdr:cNvPr>
        <xdr:cNvSpPr/>
      </xdr:nvSpPr>
      <xdr:spPr>
        <a:xfrm rot="10800000">
          <a:off x="10134600" y="2076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114</xdr:row>
      <xdr:rowOff>0</xdr:rowOff>
    </xdr:from>
    <xdr:to>
      <xdr:col>5</xdr:col>
      <xdr:colOff>83820</xdr:colOff>
      <xdr:row>114</xdr:row>
      <xdr:rowOff>114300</xdr:rowOff>
    </xdr:to>
    <xdr:sp macro="" textlink="">
      <xdr:nvSpPr>
        <xdr:cNvPr id="803" name="Arrow: Down 802">
          <a:extLst>
            <a:ext uri="{FF2B5EF4-FFF2-40B4-BE49-F238E27FC236}">
              <a16:creationId xmlns:a16="http://schemas.microsoft.com/office/drawing/2014/main" id="{62C70FC9-E48D-459E-B8D0-07E5DE3D4D23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114</xdr:row>
      <xdr:rowOff>0</xdr:rowOff>
    </xdr:from>
    <xdr:to>
      <xdr:col>11</xdr:col>
      <xdr:colOff>83820</xdr:colOff>
      <xdr:row>114</xdr:row>
      <xdr:rowOff>114300</xdr:rowOff>
    </xdr:to>
    <xdr:sp macro="" textlink="">
      <xdr:nvSpPr>
        <xdr:cNvPr id="804" name="Arrow: Down 803">
          <a:extLst>
            <a:ext uri="{FF2B5EF4-FFF2-40B4-BE49-F238E27FC236}">
              <a16:creationId xmlns:a16="http://schemas.microsoft.com/office/drawing/2014/main" id="{353D55E1-BF4F-4FED-98E9-7FC89D23C8A0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114</xdr:row>
      <xdr:rowOff>0</xdr:rowOff>
    </xdr:from>
    <xdr:to>
      <xdr:col>71</xdr:col>
      <xdr:colOff>83820</xdr:colOff>
      <xdr:row>114</xdr:row>
      <xdr:rowOff>114300</xdr:rowOff>
    </xdr:to>
    <xdr:sp macro="" textlink="">
      <xdr:nvSpPr>
        <xdr:cNvPr id="806" name="Arrow: Down 805">
          <a:extLst>
            <a:ext uri="{FF2B5EF4-FFF2-40B4-BE49-F238E27FC236}">
              <a16:creationId xmlns:a16="http://schemas.microsoft.com/office/drawing/2014/main" id="{C8C86455-5859-4092-A1D9-F25970E97950}"/>
            </a:ext>
          </a:extLst>
        </xdr:cNvPr>
        <xdr:cNvSpPr/>
      </xdr:nvSpPr>
      <xdr:spPr>
        <a:xfrm rot="10800000">
          <a:off x="17068800" y="2094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09" name="Arrow: Down 808">
          <a:extLst>
            <a:ext uri="{FF2B5EF4-FFF2-40B4-BE49-F238E27FC236}">
              <a16:creationId xmlns:a16="http://schemas.microsoft.com/office/drawing/2014/main" id="{D76005C7-8ACA-429B-A134-401ACFEF3257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115</xdr:row>
      <xdr:rowOff>0</xdr:rowOff>
    </xdr:from>
    <xdr:to>
      <xdr:col>60</xdr:col>
      <xdr:colOff>83820</xdr:colOff>
      <xdr:row>115</xdr:row>
      <xdr:rowOff>114300</xdr:rowOff>
    </xdr:to>
    <xdr:sp macro="" textlink="">
      <xdr:nvSpPr>
        <xdr:cNvPr id="810" name="Arrow: Down 809">
          <a:extLst>
            <a:ext uri="{FF2B5EF4-FFF2-40B4-BE49-F238E27FC236}">
              <a16:creationId xmlns:a16="http://schemas.microsoft.com/office/drawing/2014/main" id="{367C926E-CB3E-4845-A38F-BAF4928B4FAA}"/>
            </a:ext>
          </a:extLst>
        </xdr:cNvPr>
        <xdr:cNvSpPr/>
      </xdr:nvSpPr>
      <xdr:spPr>
        <a:xfrm>
          <a:off x="1475232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115</xdr:row>
      <xdr:rowOff>0</xdr:rowOff>
    </xdr:from>
    <xdr:to>
      <xdr:col>45</xdr:col>
      <xdr:colOff>83820</xdr:colOff>
      <xdr:row>115</xdr:row>
      <xdr:rowOff>114300</xdr:rowOff>
    </xdr:to>
    <xdr:sp macro="" textlink="">
      <xdr:nvSpPr>
        <xdr:cNvPr id="811" name="Arrow: Down 810">
          <a:extLst>
            <a:ext uri="{FF2B5EF4-FFF2-40B4-BE49-F238E27FC236}">
              <a16:creationId xmlns:a16="http://schemas.microsoft.com/office/drawing/2014/main" id="{BBC45068-5C02-48C3-9D0F-F04D3DC03D10}"/>
            </a:ext>
          </a:extLst>
        </xdr:cNvPr>
        <xdr:cNvSpPr/>
      </xdr:nvSpPr>
      <xdr:spPr>
        <a:xfrm rot="10800000">
          <a:off x="10134600" y="2094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115</xdr:row>
      <xdr:rowOff>0</xdr:rowOff>
    </xdr:from>
    <xdr:to>
      <xdr:col>5</xdr:col>
      <xdr:colOff>83820</xdr:colOff>
      <xdr:row>115</xdr:row>
      <xdr:rowOff>114300</xdr:rowOff>
    </xdr:to>
    <xdr:sp macro="" textlink="">
      <xdr:nvSpPr>
        <xdr:cNvPr id="812" name="Arrow: Down 811">
          <a:extLst>
            <a:ext uri="{FF2B5EF4-FFF2-40B4-BE49-F238E27FC236}">
              <a16:creationId xmlns:a16="http://schemas.microsoft.com/office/drawing/2014/main" id="{0D71CC93-D56D-4E9F-AF9C-EA14356A1276}"/>
            </a:ext>
          </a:extLst>
        </xdr:cNvPr>
        <xdr:cNvSpPr/>
      </xdr:nvSpPr>
      <xdr:spPr>
        <a:xfrm>
          <a:off x="192786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115</xdr:row>
      <xdr:rowOff>0</xdr:rowOff>
    </xdr:from>
    <xdr:to>
      <xdr:col>11</xdr:col>
      <xdr:colOff>83820</xdr:colOff>
      <xdr:row>115</xdr:row>
      <xdr:rowOff>114300</xdr:rowOff>
    </xdr:to>
    <xdr:sp macro="" textlink="">
      <xdr:nvSpPr>
        <xdr:cNvPr id="813" name="Arrow: Down 812">
          <a:extLst>
            <a:ext uri="{FF2B5EF4-FFF2-40B4-BE49-F238E27FC236}">
              <a16:creationId xmlns:a16="http://schemas.microsoft.com/office/drawing/2014/main" id="{37F8B3AF-E62B-4175-97C9-34EEAE30F0E3}"/>
            </a:ext>
          </a:extLst>
        </xdr:cNvPr>
        <xdr:cNvSpPr/>
      </xdr:nvSpPr>
      <xdr:spPr>
        <a:xfrm>
          <a:off x="3619500" y="20947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115</xdr:row>
      <xdr:rowOff>0</xdr:rowOff>
    </xdr:from>
    <xdr:to>
      <xdr:col>71</xdr:col>
      <xdr:colOff>83820</xdr:colOff>
      <xdr:row>115</xdr:row>
      <xdr:rowOff>114300</xdr:rowOff>
    </xdr:to>
    <xdr:sp macro="" textlink="">
      <xdr:nvSpPr>
        <xdr:cNvPr id="816" name="Arrow: Down 815">
          <a:extLst>
            <a:ext uri="{FF2B5EF4-FFF2-40B4-BE49-F238E27FC236}">
              <a16:creationId xmlns:a16="http://schemas.microsoft.com/office/drawing/2014/main" id="{90DB0C9F-2559-4C61-A256-8A097C373A8E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115</xdr:row>
      <xdr:rowOff>0</xdr:rowOff>
    </xdr:from>
    <xdr:to>
      <xdr:col>24</xdr:col>
      <xdr:colOff>83820</xdr:colOff>
      <xdr:row>115</xdr:row>
      <xdr:rowOff>114300</xdr:rowOff>
    </xdr:to>
    <xdr:sp macro="" textlink="">
      <xdr:nvSpPr>
        <xdr:cNvPr id="817" name="Arrow: Down 816">
          <a:extLst>
            <a:ext uri="{FF2B5EF4-FFF2-40B4-BE49-F238E27FC236}">
              <a16:creationId xmlns:a16="http://schemas.microsoft.com/office/drawing/2014/main" id="{085A59B9-882A-4528-B5E1-BCF1348925A7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115</xdr:row>
      <xdr:rowOff>0</xdr:rowOff>
    </xdr:from>
    <xdr:to>
      <xdr:col>39</xdr:col>
      <xdr:colOff>83820</xdr:colOff>
      <xdr:row>115</xdr:row>
      <xdr:rowOff>114300</xdr:rowOff>
    </xdr:to>
    <xdr:sp macro="" textlink="">
      <xdr:nvSpPr>
        <xdr:cNvPr id="819" name="Arrow: Down 818">
          <a:extLst>
            <a:ext uri="{FF2B5EF4-FFF2-40B4-BE49-F238E27FC236}">
              <a16:creationId xmlns:a16="http://schemas.microsoft.com/office/drawing/2014/main" id="{2D7C3DAD-4B24-4BDA-8B2B-8590882DADDE}"/>
            </a:ext>
          </a:extLst>
        </xdr:cNvPr>
        <xdr:cNvSpPr/>
      </xdr:nvSpPr>
      <xdr:spPr>
        <a:xfrm>
          <a:off x="8549640" y="2113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0" name="Arrow: Down 819">
          <a:extLst>
            <a:ext uri="{FF2B5EF4-FFF2-40B4-BE49-F238E27FC236}">
              <a16:creationId xmlns:a16="http://schemas.microsoft.com/office/drawing/2014/main" id="{B26C6D4B-CCD4-4FBD-B235-FB1495C9074C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116</xdr:row>
      <xdr:rowOff>0</xdr:rowOff>
    </xdr:from>
    <xdr:to>
      <xdr:col>60</xdr:col>
      <xdr:colOff>83820</xdr:colOff>
      <xdr:row>116</xdr:row>
      <xdr:rowOff>114300</xdr:rowOff>
    </xdr:to>
    <xdr:sp macro="" textlink="">
      <xdr:nvSpPr>
        <xdr:cNvPr id="821" name="Arrow: Down 820">
          <a:extLst>
            <a:ext uri="{FF2B5EF4-FFF2-40B4-BE49-F238E27FC236}">
              <a16:creationId xmlns:a16="http://schemas.microsoft.com/office/drawing/2014/main" id="{4B97AFCD-D909-4716-A550-91AE07D82AD7}"/>
            </a:ext>
          </a:extLst>
        </xdr:cNvPr>
        <xdr:cNvSpPr/>
      </xdr:nvSpPr>
      <xdr:spPr>
        <a:xfrm>
          <a:off x="1475232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116</xdr:row>
      <xdr:rowOff>0</xdr:rowOff>
    </xdr:from>
    <xdr:to>
      <xdr:col>45</xdr:col>
      <xdr:colOff>83820</xdr:colOff>
      <xdr:row>116</xdr:row>
      <xdr:rowOff>114300</xdr:rowOff>
    </xdr:to>
    <xdr:sp macro="" textlink="">
      <xdr:nvSpPr>
        <xdr:cNvPr id="822" name="Arrow: Down 821">
          <a:extLst>
            <a:ext uri="{FF2B5EF4-FFF2-40B4-BE49-F238E27FC236}">
              <a16:creationId xmlns:a16="http://schemas.microsoft.com/office/drawing/2014/main" id="{0B3BB8D2-A2E0-41BF-B291-41212CD30299}"/>
            </a:ext>
          </a:extLst>
        </xdr:cNvPr>
        <xdr:cNvSpPr/>
      </xdr:nvSpPr>
      <xdr:spPr>
        <a:xfrm rot="10800000">
          <a:off x="101346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116</xdr:row>
      <xdr:rowOff>0</xdr:rowOff>
    </xdr:from>
    <xdr:to>
      <xdr:col>5</xdr:col>
      <xdr:colOff>83820</xdr:colOff>
      <xdr:row>116</xdr:row>
      <xdr:rowOff>114300</xdr:rowOff>
    </xdr:to>
    <xdr:sp macro="" textlink="">
      <xdr:nvSpPr>
        <xdr:cNvPr id="823" name="Arrow: Down 822">
          <a:extLst>
            <a:ext uri="{FF2B5EF4-FFF2-40B4-BE49-F238E27FC236}">
              <a16:creationId xmlns:a16="http://schemas.microsoft.com/office/drawing/2014/main" id="{FDF23AB8-F5DE-403A-8063-2F7022A58B71}"/>
            </a:ext>
          </a:extLst>
        </xdr:cNvPr>
        <xdr:cNvSpPr/>
      </xdr:nvSpPr>
      <xdr:spPr>
        <a:xfrm>
          <a:off x="192786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116</xdr:row>
      <xdr:rowOff>0</xdr:rowOff>
    </xdr:from>
    <xdr:to>
      <xdr:col>11</xdr:col>
      <xdr:colOff>83820</xdr:colOff>
      <xdr:row>116</xdr:row>
      <xdr:rowOff>114300</xdr:rowOff>
    </xdr:to>
    <xdr:sp macro="" textlink="">
      <xdr:nvSpPr>
        <xdr:cNvPr id="824" name="Arrow: Down 823">
          <a:extLst>
            <a:ext uri="{FF2B5EF4-FFF2-40B4-BE49-F238E27FC236}">
              <a16:creationId xmlns:a16="http://schemas.microsoft.com/office/drawing/2014/main" id="{0CA679FB-1FEB-4014-9552-67625EA04082}"/>
            </a:ext>
          </a:extLst>
        </xdr:cNvPr>
        <xdr:cNvSpPr/>
      </xdr:nvSpPr>
      <xdr:spPr>
        <a:xfrm>
          <a:off x="3619500" y="211302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116</xdr:row>
      <xdr:rowOff>0</xdr:rowOff>
    </xdr:from>
    <xdr:to>
      <xdr:col>71</xdr:col>
      <xdr:colOff>83820</xdr:colOff>
      <xdr:row>116</xdr:row>
      <xdr:rowOff>114300</xdr:rowOff>
    </xdr:to>
    <xdr:sp macro="" textlink="">
      <xdr:nvSpPr>
        <xdr:cNvPr id="825" name="Arrow: Down 824">
          <a:extLst>
            <a:ext uri="{FF2B5EF4-FFF2-40B4-BE49-F238E27FC236}">
              <a16:creationId xmlns:a16="http://schemas.microsoft.com/office/drawing/2014/main" id="{C50F7EC6-29A3-4BB5-AA2C-4FE19A59B899}"/>
            </a:ext>
          </a:extLst>
        </xdr:cNvPr>
        <xdr:cNvSpPr/>
      </xdr:nvSpPr>
      <xdr:spPr>
        <a:xfrm>
          <a:off x="1706880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116</xdr:row>
      <xdr:rowOff>0</xdr:rowOff>
    </xdr:from>
    <xdr:to>
      <xdr:col>24</xdr:col>
      <xdr:colOff>83820</xdr:colOff>
      <xdr:row>116</xdr:row>
      <xdr:rowOff>114300</xdr:rowOff>
    </xdr:to>
    <xdr:sp macro="" textlink="">
      <xdr:nvSpPr>
        <xdr:cNvPr id="826" name="Arrow: Down 825">
          <a:extLst>
            <a:ext uri="{FF2B5EF4-FFF2-40B4-BE49-F238E27FC236}">
              <a16:creationId xmlns:a16="http://schemas.microsoft.com/office/drawing/2014/main" id="{51802596-8174-4091-A241-0AAD991870D6}"/>
            </a:ext>
          </a:extLst>
        </xdr:cNvPr>
        <xdr:cNvSpPr/>
      </xdr:nvSpPr>
      <xdr:spPr>
        <a:xfrm>
          <a:off x="5440680" y="2113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116</xdr:row>
      <xdr:rowOff>0</xdr:rowOff>
    </xdr:from>
    <xdr:to>
      <xdr:col>39</xdr:col>
      <xdr:colOff>83820</xdr:colOff>
      <xdr:row>116</xdr:row>
      <xdr:rowOff>114300</xdr:rowOff>
    </xdr:to>
    <xdr:sp macro="" textlink="">
      <xdr:nvSpPr>
        <xdr:cNvPr id="829" name="Arrow: Down 828">
          <a:extLst>
            <a:ext uri="{FF2B5EF4-FFF2-40B4-BE49-F238E27FC236}">
              <a16:creationId xmlns:a16="http://schemas.microsoft.com/office/drawing/2014/main" id="{256F2AD5-B003-40D4-87EA-6C1E8A0B4514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0" name="Arrow: Down 829">
          <a:extLst>
            <a:ext uri="{FF2B5EF4-FFF2-40B4-BE49-F238E27FC236}">
              <a16:creationId xmlns:a16="http://schemas.microsoft.com/office/drawing/2014/main" id="{229AA5E5-E77D-4EF2-B22E-F34CE116C6B1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117</xdr:row>
      <xdr:rowOff>0</xdr:rowOff>
    </xdr:from>
    <xdr:to>
      <xdr:col>45</xdr:col>
      <xdr:colOff>83820</xdr:colOff>
      <xdr:row>117</xdr:row>
      <xdr:rowOff>114300</xdr:rowOff>
    </xdr:to>
    <xdr:sp macro="" textlink="">
      <xdr:nvSpPr>
        <xdr:cNvPr id="832" name="Arrow: Down 831">
          <a:extLst>
            <a:ext uri="{FF2B5EF4-FFF2-40B4-BE49-F238E27FC236}">
              <a16:creationId xmlns:a16="http://schemas.microsoft.com/office/drawing/2014/main" id="{81F41B72-CD5A-4C0D-A35D-8247F432B73E}"/>
            </a:ext>
          </a:extLst>
        </xdr:cNvPr>
        <xdr:cNvSpPr/>
      </xdr:nvSpPr>
      <xdr:spPr>
        <a:xfrm rot="10800000">
          <a:off x="1018794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117</xdr:row>
      <xdr:rowOff>0</xdr:rowOff>
    </xdr:from>
    <xdr:to>
      <xdr:col>39</xdr:col>
      <xdr:colOff>83820</xdr:colOff>
      <xdr:row>117</xdr:row>
      <xdr:rowOff>114300</xdr:rowOff>
    </xdr:to>
    <xdr:sp macro="" textlink="">
      <xdr:nvSpPr>
        <xdr:cNvPr id="837" name="Arrow: Down 836">
          <a:extLst>
            <a:ext uri="{FF2B5EF4-FFF2-40B4-BE49-F238E27FC236}">
              <a16:creationId xmlns:a16="http://schemas.microsoft.com/office/drawing/2014/main" id="{30220420-DF18-4624-AD4A-A76F36E459DE}"/>
            </a:ext>
          </a:extLst>
        </xdr:cNvPr>
        <xdr:cNvSpPr/>
      </xdr:nvSpPr>
      <xdr:spPr>
        <a:xfrm rot="10800000">
          <a:off x="8602980" y="2131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83820</xdr:colOff>
      <xdr:row>117</xdr:row>
      <xdr:rowOff>114300</xdr:rowOff>
    </xdr:to>
    <xdr:sp macro="" textlink="">
      <xdr:nvSpPr>
        <xdr:cNvPr id="838" name="Arrow: Down 837">
          <a:extLst>
            <a:ext uri="{FF2B5EF4-FFF2-40B4-BE49-F238E27FC236}">
              <a16:creationId xmlns:a16="http://schemas.microsoft.com/office/drawing/2014/main" id="{275318ED-BD2C-4218-BD20-4779054850E9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117</xdr:row>
      <xdr:rowOff>0</xdr:rowOff>
    </xdr:from>
    <xdr:to>
      <xdr:col>5</xdr:col>
      <xdr:colOff>83820</xdr:colOff>
      <xdr:row>117</xdr:row>
      <xdr:rowOff>114300</xdr:rowOff>
    </xdr:to>
    <xdr:sp macro="" textlink="">
      <xdr:nvSpPr>
        <xdr:cNvPr id="840" name="Arrow: Down 839">
          <a:extLst>
            <a:ext uri="{FF2B5EF4-FFF2-40B4-BE49-F238E27FC236}">
              <a16:creationId xmlns:a16="http://schemas.microsoft.com/office/drawing/2014/main" id="{64B90FA8-B124-4C8A-8F0E-F3C62D8764F8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117</xdr:row>
      <xdr:rowOff>0</xdr:rowOff>
    </xdr:from>
    <xdr:to>
      <xdr:col>11</xdr:col>
      <xdr:colOff>83820</xdr:colOff>
      <xdr:row>117</xdr:row>
      <xdr:rowOff>114300</xdr:rowOff>
    </xdr:to>
    <xdr:sp macro="" textlink="">
      <xdr:nvSpPr>
        <xdr:cNvPr id="842" name="Arrow: Down 841">
          <a:extLst>
            <a:ext uri="{FF2B5EF4-FFF2-40B4-BE49-F238E27FC236}">
              <a16:creationId xmlns:a16="http://schemas.microsoft.com/office/drawing/2014/main" id="{03BA764C-25CC-4271-8309-E57F8CA6512B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117</xdr:row>
      <xdr:rowOff>0</xdr:rowOff>
    </xdr:from>
    <xdr:to>
      <xdr:col>60</xdr:col>
      <xdr:colOff>83820</xdr:colOff>
      <xdr:row>117</xdr:row>
      <xdr:rowOff>114300</xdr:rowOff>
    </xdr:to>
    <xdr:sp macro="" textlink="">
      <xdr:nvSpPr>
        <xdr:cNvPr id="843" name="Arrow: Down 842">
          <a:extLst>
            <a:ext uri="{FF2B5EF4-FFF2-40B4-BE49-F238E27FC236}">
              <a16:creationId xmlns:a16="http://schemas.microsoft.com/office/drawing/2014/main" id="{1B7D1897-A507-499C-A24E-79F942674197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117</xdr:row>
      <xdr:rowOff>0</xdr:rowOff>
    </xdr:from>
    <xdr:to>
      <xdr:col>71</xdr:col>
      <xdr:colOff>83820</xdr:colOff>
      <xdr:row>117</xdr:row>
      <xdr:rowOff>114300</xdr:rowOff>
    </xdr:to>
    <xdr:sp macro="" textlink="">
      <xdr:nvSpPr>
        <xdr:cNvPr id="845" name="Arrow: Down 844">
          <a:extLst>
            <a:ext uri="{FF2B5EF4-FFF2-40B4-BE49-F238E27FC236}">
              <a16:creationId xmlns:a16="http://schemas.microsoft.com/office/drawing/2014/main" id="{4A93AA67-0C46-4599-A9A6-E68896D4A9F1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2" name="Arrow: Down 731">
          <a:extLst>
            <a:ext uri="{FF2B5EF4-FFF2-40B4-BE49-F238E27FC236}">
              <a16:creationId xmlns:a16="http://schemas.microsoft.com/office/drawing/2014/main" id="{9F2C10FA-16A4-4623-85D0-C4501E80BEE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118</xdr:row>
      <xdr:rowOff>0</xdr:rowOff>
    </xdr:from>
    <xdr:to>
      <xdr:col>45</xdr:col>
      <xdr:colOff>83820</xdr:colOff>
      <xdr:row>118</xdr:row>
      <xdr:rowOff>114300</xdr:rowOff>
    </xdr:to>
    <xdr:sp macro="" textlink="">
      <xdr:nvSpPr>
        <xdr:cNvPr id="737" name="Arrow: Down 736">
          <a:extLst>
            <a:ext uri="{FF2B5EF4-FFF2-40B4-BE49-F238E27FC236}">
              <a16:creationId xmlns:a16="http://schemas.microsoft.com/office/drawing/2014/main" id="{5E58E4B6-079F-412D-8AA5-D626372C42DA}"/>
            </a:ext>
          </a:extLst>
        </xdr:cNvPr>
        <xdr:cNvSpPr/>
      </xdr:nvSpPr>
      <xdr:spPr>
        <a:xfrm rot="10800000">
          <a:off x="10187940" y="2149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118</xdr:row>
      <xdr:rowOff>0</xdr:rowOff>
    </xdr:from>
    <xdr:to>
      <xdr:col>24</xdr:col>
      <xdr:colOff>83820</xdr:colOff>
      <xdr:row>118</xdr:row>
      <xdr:rowOff>114300</xdr:rowOff>
    </xdr:to>
    <xdr:sp macro="" textlink="">
      <xdr:nvSpPr>
        <xdr:cNvPr id="762" name="Arrow: Down 761">
          <a:extLst>
            <a:ext uri="{FF2B5EF4-FFF2-40B4-BE49-F238E27FC236}">
              <a16:creationId xmlns:a16="http://schemas.microsoft.com/office/drawing/2014/main" id="{67323262-8DE0-4329-8F42-24A2720A8A60}"/>
            </a:ext>
          </a:extLst>
        </xdr:cNvPr>
        <xdr:cNvSpPr/>
      </xdr:nvSpPr>
      <xdr:spPr>
        <a:xfrm rot="10800000">
          <a:off x="544068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118</xdr:row>
      <xdr:rowOff>0</xdr:rowOff>
    </xdr:from>
    <xdr:to>
      <xdr:col>5</xdr:col>
      <xdr:colOff>83820</xdr:colOff>
      <xdr:row>118</xdr:row>
      <xdr:rowOff>114300</xdr:rowOff>
    </xdr:to>
    <xdr:sp macro="" textlink="">
      <xdr:nvSpPr>
        <xdr:cNvPr id="765" name="Arrow: Down 764">
          <a:extLst>
            <a:ext uri="{FF2B5EF4-FFF2-40B4-BE49-F238E27FC236}">
              <a16:creationId xmlns:a16="http://schemas.microsoft.com/office/drawing/2014/main" id="{CA51B5A0-CF85-44EC-928F-D9C5C6D6434F}"/>
            </a:ext>
          </a:extLst>
        </xdr:cNvPr>
        <xdr:cNvSpPr/>
      </xdr:nvSpPr>
      <xdr:spPr>
        <a:xfrm rot="10800000">
          <a:off x="1927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118</xdr:row>
      <xdr:rowOff>0</xdr:rowOff>
    </xdr:from>
    <xdr:to>
      <xdr:col>11</xdr:col>
      <xdr:colOff>83820</xdr:colOff>
      <xdr:row>118</xdr:row>
      <xdr:rowOff>114300</xdr:rowOff>
    </xdr:to>
    <xdr:sp macro="" textlink="">
      <xdr:nvSpPr>
        <xdr:cNvPr id="768" name="Arrow: Down 767">
          <a:extLst>
            <a:ext uri="{FF2B5EF4-FFF2-40B4-BE49-F238E27FC236}">
              <a16:creationId xmlns:a16="http://schemas.microsoft.com/office/drawing/2014/main" id="{F54FFDEC-E647-47CF-8CD7-88285E92992A}"/>
            </a:ext>
          </a:extLst>
        </xdr:cNvPr>
        <xdr:cNvSpPr/>
      </xdr:nvSpPr>
      <xdr:spPr>
        <a:xfrm rot="10800000">
          <a:off x="361950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118</xdr:row>
      <xdr:rowOff>0</xdr:rowOff>
    </xdr:from>
    <xdr:to>
      <xdr:col>60</xdr:col>
      <xdr:colOff>83820</xdr:colOff>
      <xdr:row>118</xdr:row>
      <xdr:rowOff>114300</xdr:rowOff>
    </xdr:to>
    <xdr:sp macro="" textlink="">
      <xdr:nvSpPr>
        <xdr:cNvPr id="769" name="Arrow: Down 768">
          <a:extLst>
            <a:ext uri="{FF2B5EF4-FFF2-40B4-BE49-F238E27FC236}">
              <a16:creationId xmlns:a16="http://schemas.microsoft.com/office/drawing/2014/main" id="{E7040FC3-3552-49FF-B1DE-CD0FDC497461}"/>
            </a:ext>
          </a:extLst>
        </xdr:cNvPr>
        <xdr:cNvSpPr/>
      </xdr:nvSpPr>
      <xdr:spPr>
        <a:xfrm rot="10800000">
          <a:off x="1488186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118</xdr:row>
      <xdr:rowOff>0</xdr:rowOff>
    </xdr:from>
    <xdr:to>
      <xdr:col>71</xdr:col>
      <xdr:colOff>83820</xdr:colOff>
      <xdr:row>118</xdr:row>
      <xdr:rowOff>114300</xdr:rowOff>
    </xdr:to>
    <xdr:sp macro="" textlink="">
      <xdr:nvSpPr>
        <xdr:cNvPr id="772" name="Arrow: Down 771">
          <a:extLst>
            <a:ext uri="{FF2B5EF4-FFF2-40B4-BE49-F238E27FC236}">
              <a16:creationId xmlns:a16="http://schemas.microsoft.com/office/drawing/2014/main" id="{97C82496-5965-4DE9-BCC6-EB35C19321AE}"/>
            </a:ext>
          </a:extLst>
        </xdr:cNvPr>
        <xdr:cNvSpPr/>
      </xdr:nvSpPr>
      <xdr:spPr>
        <a:xfrm rot="10800000">
          <a:off x="17198340" y="2149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118</xdr:row>
      <xdr:rowOff>0</xdr:rowOff>
    </xdr:from>
    <xdr:to>
      <xdr:col>39</xdr:col>
      <xdr:colOff>83820</xdr:colOff>
      <xdr:row>118</xdr:row>
      <xdr:rowOff>114300</xdr:rowOff>
    </xdr:to>
    <xdr:sp macro="" textlink="">
      <xdr:nvSpPr>
        <xdr:cNvPr id="774" name="Arrow: Down 773">
          <a:extLst>
            <a:ext uri="{FF2B5EF4-FFF2-40B4-BE49-F238E27FC236}">
              <a16:creationId xmlns:a16="http://schemas.microsoft.com/office/drawing/2014/main" id="{1BE3D21C-0B9E-4513-A161-9911E1F36B05}"/>
            </a:ext>
          </a:extLst>
        </xdr:cNvPr>
        <xdr:cNvSpPr/>
      </xdr:nvSpPr>
      <xdr:spPr>
        <a:xfrm>
          <a:off x="860298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8" name="Arrow: Down 777">
          <a:extLst>
            <a:ext uri="{FF2B5EF4-FFF2-40B4-BE49-F238E27FC236}">
              <a16:creationId xmlns:a16="http://schemas.microsoft.com/office/drawing/2014/main" id="{BE5E21BA-36FC-4D50-89E4-2A6CA5F35626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119</xdr:row>
      <xdr:rowOff>0</xdr:rowOff>
    </xdr:from>
    <xdr:to>
      <xdr:col>45</xdr:col>
      <xdr:colOff>83820</xdr:colOff>
      <xdr:row>119</xdr:row>
      <xdr:rowOff>114300</xdr:rowOff>
    </xdr:to>
    <xdr:sp macro="" textlink="">
      <xdr:nvSpPr>
        <xdr:cNvPr id="779" name="Arrow: Down 778">
          <a:extLst>
            <a:ext uri="{FF2B5EF4-FFF2-40B4-BE49-F238E27FC236}">
              <a16:creationId xmlns:a16="http://schemas.microsoft.com/office/drawing/2014/main" id="{E4C203E5-CD0B-425D-830A-86825667D3CB}"/>
            </a:ext>
          </a:extLst>
        </xdr:cNvPr>
        <xdr:cNvSpPr/>
      </xdr:nvSpPr>
      <xdr:spPr>
        <a:xfrm rot="10800000">
          <a:off x="10187940" y="2167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119</xdr:row>
      <xdr:rowOff>0</xdr:rowOff>
    </xdr:from>
    <xdr:to>
      <xdr:col>5</xdr:col>
      <xdr:colOff>83820</xdr:colOff>
      <xdr:row>119</xdr:row>
      <xdr:rowOff>114300</xdr:rowOff>
    </xdr:to>
    <xdr:sp macro="" textlink="">
      <xdr:nvSpPr>
        <xdr:cNvPr id="784" name="Arrow: Down 783">
          <a:extLst>
            <a:ext uri="{FF2B5EF4-FFF2-40B4-BE49-F238E27FC236}">
              <a16:creationId xmlns:a16="http://schemas.microsoft.com/office/drawing/2014/main" id="{AAA0EBA9-39B5-42F8-8FD1-A975644DE591}"/>
            </a:ext>
          </a:extLst>
        </xdr:cNvPr>
        <xdr:cNvSpPr/>
      </xdr:nvSpPr>
      <xdr:spPr>
        <a:xfrm rot="10800000">
          <a:off x="192786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119</xdr:row>
      <xdr:rowOff>0</xdr:rowOff>
    </xdr:from>
    <xdr:to>
      <xdr:col>11</xdr:col>
      <xdr:colOff>83820</xdr:colOff>
      <xdr:row>119</xdr:row>
      <xdr:rowOff>114300</xdr:rowOff>
    </xdr:to>
    <xdr:sp macro="" textlink="">
      <xdr:nvSpPr>
        <xdr:cNvPr id="787" name="Arrow: Down 786">
          <a:extLst>
            <a:ext uri="{FF2B5EF4-FFF2-40B4-BE49-F238E27FC236}">
              <a16:creationId xmlns:a16="http://schemas.microsoft.com/office/drawing/2014/main" id="{47E9343B-01E2-419C-93F8-9D2DD5D98438}"/>
            </a:ext>
          </a:extLst>
        </xdr:cNvPr>
        <xdr:cNvSpPr/>
      </xdr:nvSpPr>
      <xdr:spPr>
        <a:xfrm rot="10800000">
          <a:off x="361950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119</xdr:row>
      <xdr:rowOff>0</xdr:rowOff>
    </xdr:from>
    <xdr:to>
      <xdr:col>71</xdr:col>
      <xdr:colOff>83820</xdr:colOff>
      <xdr:row>119</xdr:row>
      <xdr:rowOff>114300</xdr:rowOff>
    </xdr:to>
    <xdr:sp macro="" textlink="">
      <xdr:nvSpPr>
        <xdr:cNvPr id="792" name="Arrow: Down 791">
          <a:extLst>
            <a:ext uri="{FF2B5EF4-FFF2-40B4-BE49-F238E27FC236}">
              <a16:creationId xmlns:a16="http://schemas.microsoft.com/office/drawing/2014/main" id="{990B4D82-5213-409F-A7CF-3582EFDC3344}"/>
            </a:ext>
          </a:extLst>
        </xdr:cNvPr>
        <xdr:cNvSpPr/>
      </xdr:nvSpPr>
      <xdr:spPr>
        <a:xfrm rot="10800000">
          <a:off x="17198340" y="2167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119</xdr:row>
      <xdr:rowOff>0</xdr:rowOff>
    </xdr:from>
    <xdr:to>
      <xdr:col>24</xdr:col>
      <xdr:colOff>83820</xdr:colOff>
      <xdr:row>119</xdr:row>
      <xdr:rowOff>114300</xdr:rowOff>
    </xdr:to>
    <xdr:sp macro="" textlink="">
      <xdr:nvSpPr>
        <xdr:cNvPr id="799" name="Arrow: Down 798">
          <a:extLst>
            <a:ext uri="{FF2B5EF4-FFF2-40B4-BE49-F238E27FC236}">
              <a16:creationId xmlns:a16="http://schemas.microsoft.com/office/drawing/2014/main" id="{0D6E49ED-319B-433F-82AE-E127057751B6}"/>
            </a:ext>
          </a:extLst>
        </xdr:cNvPr>
        <xdr:cNvSpPr/>
      </xdr:nvSpPr>
      <xdr:spPr>
        <a:xfrm>
          <a:off x="54406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119</xdr:row>
      <xdr:rowOff>0</xdr:rowOff>
    </xdr:from>
    <xdr:to>
      <xdr:col>39</xdr:col>
      <xdr:colOff>83820</xdr:colOff>
      <xdr:row>119</xdr:row>
      <xdr:rowOff>114300</xdr:rowOff>
    </xdr:to>
    <xdr:sp macro="" textlink="">
      <xdr:nvSpPr>
        <xdr:cNvPr id="801" name="Arrow: Down 800">
          <a:extLst>
            <a:ext uri="{FF2B5EF4-FFF2-40B4-BE49-F238E27FC236}">
              <a16:creationId xmlns:a16="http://schemas.microsoft.com/office/drawing/2014/main" id="{E42450FA-5DE1-4A7F-BBF3-7FE5A5653E37}"/>
            </a:ext>
          </a:extLst>
        </xdr:cNvPr>
        <xdr:cNvSpPr/>
      </xdr:nvSpPr>
      <xdr:spPr>
        <a:xfrm rot="10800000">
          <a:off x="860298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119</xdr:row>
      <xdr:rowOff>0</xdr:rowOff>
    </xdr:from>
    <xdr:to>
      <xdr:col>60</xdr:col>
      <xdr:colOff>83820</xdr:colOff>
      <xdr:row>119</xdr:row>
      <xdr:rowOff>114300</xdr:rowOff>
    </xdr:to>
    <xdr:sp macro="" textlink="">
      <xdr:nvSpPr>
        <xdr:cNvPr id="805" name="Arrow: Down 804">
          <a:extLst>
            <a:ext uri="{FF2B5EF4-FFF2-40B4-BE49-F238E27FC236}">
              <a16:creationId xmlns:a16="http://schemas.microsoft.com/office/drawing/2014/main" id="{FEE476DD-8208-4719-BD65-EECF357A7049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3" name="Arrow: Down 832">
          <a:extLst>
            <a:ext uri="{FF2B5EF4-FFF2-40B4-BE49-F238E27FC236}">
              <a16:creationId xmlns:a16="http://schemas.microsoft.com/office/drawing/2014/main" id="{CF0D4690-E4D9-4ED9-8D69-D40C1D3B577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120</xdr:row>
      <xdr:rowOff>0</xdr:rowOff>
    </xdr:from>
    <xdr:to>
      <xdr:col>45</xdr:col>
      <xdr:colOff>83820</xdr:colOff>
      <xdr:row>120</xdr:row>
      <xdr:rowOff>114300</xdr:rowOff>
    </xdr:to>
    <xdr:sp macro="" textlink="">
      <xdr:nvSpPr>
        <xdr:cNvPr id="834" name="Arrow: Down 833">
          <a:extLst>
            <a:ext uri="{FF2B5EF4-FFF2-40B4-BE49-F238E27FC236}">
              <a16:creationId xmlns:a16="http://schemas.microsoft.com/office/drawing/2014/main" id="{0480EE4A-908F-4694-8B21-CB2126295612}"/>
            </a:ext>
          </a:extLst>
        </xdr:cNvPr>
        <xdr:cNvSpPr/>
      </xdr:nvSpPr>
      <xdr:spPr>
        <a:xfrm rot="10800000">
          <a:off x="1018794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120</xdr:row>
      <xdr:rowOff>0</xdr:rowOff>
    </xdr:from>
    <xdr:to>
      <xdr:col>60</xdr:col>
      <xdr:colOff>83820</xdr:colOff>
      <xdr:row>120</xdr:row>
      <xdr:rowOff>114300</xdr:rowOff>
    </xdr:to>
    <xdr:sp macro="" textlink="">
      <xdr:nvSpPr>
        <xdr:cNvPr id="846" name="Arrow: Down 845">
          <a:extLst>
            <a:ext uri="{FF2B5EF4-FFF2-40B4-BE49-F238E27FC236}">
              <a16:creationId xmlns:a16="http://schemas.microsoft.com/office/drawing/2014/main" id="{36335D53-EA0F-4C1A-9D64-070358E45572}"/>
            </a:ext>
          </a:extLst>
        </xdr:cNvPr>
        <xdr:cNvSpPr/>
      </xdr:nvSpPr>
      <xdr:spPr>
        <a:xfrm>
          <a:off x="14881860" y="21861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120</xdr:row>
      <xdr:rowOff>0</xdr:rowOff>
    </xdr:from>
    <xdr:to>
      <xdr:col>24</xdr:col>
      <xdr:colOff>83820</xdr:colOff>
      <xdr:row>120</xdr:row>
      <xdr:rowOff>114300</xdr:rowOff>
    </xdr:to>
    <xdr:sp macro="" textlink="">
      <xdr:nvSpPr>
        <xdr:cNvPr id="847" name="Arrow: Down 846">
          <a:extLst>
            <a:ext uri="{FF2B5EF4-FFF2-40B4-BE49-F238E27FC236}">
              <a16:creationId xmlns:a16="http://schemas.microsoft.com/office/drawing/2014/main" id="{C416A4F4-3CFB-4049-822A-2A931856DCEE}"/>
            </a:ext>
          </a:extLst>
        </xdr:cNvPr>
        <xdr:cNvSpPr/>
      </xdr:nvSpPr>
      <xdr:spPr>
        <a:xfrm rot="10800000">
          <a:off x="54406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120</xdr:row>
      <xdr:rowOff>0</xdr:rowOff>
    </xdr:from>
    <xdr:to>
      <xdr:col>11</xdr:col>
      <xdr:colOff>83820</xdr:colOff>
      <xdr:row>120</xdr:row>
      <xdr:rowOff>114300</xdr:rowOff>
    </xdr:to>
    <xdr:sp macro="" textlink="">
      <xdr:nvSpPr>
        <xdr:cNvPr id="849" name="Arrow: Down 848">
          <a:extLst>
            <a:ext uri="{FF2B5EF4-FFF2-40B4-BE49-F238E27FC236}">
              <a16:creationId xmlns:a16="http://schemas.microsoft.com/office/drawing/2014/main" id="{1780E591-264D-4482-917F-3CEF3E97DAC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</xdr:col>
      <xdr:colOff>0</xdr:colOff>
      <xdr:row>120</xdr:row>
      <xdr:rowOff>0</xdr:rowOff>
    </xdr:from>
    <xdr:to>
      <xdr:col>5</xdr:col>
      <xdr:colOff>83820</xdr:colOff>
      <xdr:row>120</xdr:row>
      <xdr:rowOff>114300</xdr:rowOff>
    </xdr:to>
    <xdr:sp macro="" textlink="">
      <xdr:nvSpPr>
        <xdr:cNvPr id="851" name="Arrow: Down 850">
          <a:extLst>
            <a:ext uri="{FF2B5EF4-FFF2-40B4-BE49-F238E27FC236}">
              <a16:creationId xmlns:a16="http://schemas.microsoft.com/office/drawing/2014/main" id="{9CF8524D-367F-49BA-9BC6-CDF0B8A5424B}"/>
            </a:ext>
          </a:extLst>
        </xdr:cNvPr>
        <xdr:cNvSpPr/>
      </xdr:nvSpPr>
      <xdr:spPr>
        <a:xfrm>
          <a:off x="192786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120</xdr:row>
      <xdr:rowOff>0</xdr:rowOff>
    </xdr:from>
    <xdr:to>
      <xdr:col>39</xdr:col>
      <xdr:colOff>83820</xdr:colOff>
      <xdr:row>120</xdr:row>
      <xdr:rowOff>114300</xdr:rowOff>
    </xdr:to>
    <xdr:sp macro="" textlink="">
      <xdr:nvSpPr>
        <xdr:cNvPr id="852" name="Arrow: Down 851">
          <a:extLst>
            <a:ext uri="{FF2B5EF4-FFF2-40B4-BE49-F238E27FC236}">
              <a16:creationId xmlns:a16="http://schemas.microsoft.com/office/drawing/2014/main" id="{0BA7C74E-BFEA-4333-A070-2042A4E1B5FB}"/>
            </a:ext>
          </a:extLst>
        </xdr:cNvPr>
        <xdr:cNvSpPr/>
      </xdr:nvSpPr>
      <xdr:spPr>
        <a:xfrm>
          <a:off x="860298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120</xdr:row>
      <xdr:rowOff>0</xdr:rowOff>
    </xdr:from>
    <xdr:to>
      <xdr:col>71</xdr:col>
      <xdr:colOff>83820</xdr:colOff>
      <xdr:row>120</xdr:row>
      <xdr:rowOff>114300</xdr:rowOff>
    </xdr:to>
    <xdr:sp macro="" textlink="">
      <xdr:nvSpPr>
        <xdr:cNvPr id="854" name="Arrow: Down 853">
          <a:extLst>
            <a:ext uri="{FF2B5EF4-FFF2-40B4-BE49-F238E27FC236}">
              <a16:creationId xmlns:a16="http://schemas.microsoft.com/office/drawing/2014/main" id="{F134E3CA-FFD6-4970-A314-9D8EFCCEC0F4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5" name="Arrow: Down 854">
          <a:extLst>
            <a:ext uri="{FF2B5EF4-FFF2-40B4-BE49-F238E27FC236}">
              <a16:creationId xmlns:a16="http://schemas.microsoft.com/office/drawing/2014/main" id="{D75E173B-E60E-4F07-B207-7080F02C7DA3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121</xdr:row>
      <xdr:rowOff>0</xdr:rowOff>
    </xdr:from>
    <xdr:to>
      <xdr:col>45</xdr:col>
      <xdr:colOff>83820</xdr:colOff>
      <xdr:row>121</xdr:row>
      <xdr:rowOff>114300</xdr:rowOff>
    </xdr:to>
    <xdr:sp macro="" textlink="">
      <xdr:nvSpPr>
        <xdr:cNvPr id="856" name="Arrow: Down 855">
          <a:extLst>
            <a:ext uri="{FF2B5EF4-FFF2-40B4-BE49-F238E27FC236}">
              <a16:creationId xmlns:a16="http://schemas.microsoft.com/office/drawing/2014/main" id="{554DC090-7306-433D-BA60-0BCEF04C5D5E}"/>
            </a:ext>
          </a:extLst>
        </xdr:cNvPr>
        <xdr:cNvSpPr/>
      </xdr:nvSpPr>
      <xdr:spPr>
        <a:xfrm rot="10800000">
          <a:off x="1018794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121</xdr:row>
      <xdr:rowOff>0</xdr:rowOff>
    </xdr:from>
    <xdr:to>
      <xdr:col>60</xdr:col>
      <xdr:colOff>83820</xdr:colOff>
      <xdr:row>121</xdr:row>
      <xdr:rowOff>114300</xdr:rowOff>
    </xdr:to>
    <xdr:sp macro="" textlink="">
      <xdr:nvSpPr>
        <xdr:cNvPr id="857" name="Arrow: Down 856">
          <a:extLst>
            <a:ext uri="{FF2B5EF4-FFF2-40B4-BE49-F238E27FC236}">
              <a16:creationId xmlns:a16="http://schemas.microsoft.com/office/drawing/2014/main" id="{003A2E0C-2157-43F9-90E7-AF9FED1E8328}"/>
            </a:ext>
          </a:extLst>
        </xdr:cNvPr>
        <xdr:cNvSpPr/>
      </xdr:nvSpPr>
      <xdr:spPr>
        <a:xfrm>
          <a:off x="14881860" y="22044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121</xdr:row>
      <xdr:rowOff>0</xdr:rowOff>
    </xdr:from>
    <xdr:to>
      <xdr:col>11</xdr:col>
      <xdr:colOff>83820</xdr:colOff>
      <xdr:row>121</xdr:row>
      <xdr:rowOff>114300</xdr:rowOff>
    </xdr:to>
    <xdr:sp macro="" textlink="">
      <xdr:nvSpPr>
        <xdr:cNvPr id="859" name="Arrow: Down 858">
          <a:extLst>
            <a:ext uri="{FF2B5EF4-FFF2-40B4-BE49-F238E27FC236}">
              <a16:creationId xmlns:a16="http://schemas.microsoft.com/office/drawing/2014/main" id="{61850BDC-F44B-4823-A4F1-7DB7708B8D6C}"/>
            </a:ext>
          </a:extLst>
        </xdr:cNvPr>
        <xdr:cNvSpPr/>
      </xdr:nvSpPr>
      <xdr:spPr>
        <a:xfrm>
          <a:off x="3619500" y="220446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121</xdr:row>
      <xdr:rowOff>0</xdr:rowOff>
    </xdr:from>
    <xdr:to>
      <xdr:col>71</xdr:col>
      <xdr:colOff>83820</xdr:colOff>
      <xdr:row>121</xdr:row>
      <xdr:rowOff>114300</xdr:rowOff>
    </xdr:to>
    <xdr:sp macro="" textlink="">
      <xdr:nvSpPr>
        <xdr:cNvPr id="862" name="Arrow: Down 861">
          <a:extLst>
            <a:ext uri="{FF2B5EF4-FFF2-40B4-BE49-F238E27FC236}">
              <a16:creationId xmlns:a16="http://schemas.microsoft.com/office/drawing/2014/main" id="{0236028D-74CF-40BE-9486-031EB6C62270}"/>
            </a:ext>
          </a:extLst>
        </xdr:cNvPr>
        <xdr:cNvSpPr/>
      </xdr:nvSpPr>
      <xdr:spPr>
        <a:xfrm rot="10800000">
          <a:off x="17198340" y="2204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121</xdr:row>
      <xdr:rowOff>0</xdr:rowOff>
    </xdr:from>
    <xdr:to>
      <xdr:col>5</xdr:col>
      <xdr:colOff>83820</xdr:colOff>
      <xdr:row>121</xdr:row>
      <xdr:rowOff>114300</xdr:rowOff>
    </xdr:to>
    <xdr:sp macro="" textlink="">
      <xdr:nvSpPr>
        <xdr:cNvPr id="783" name="Arrow: Down 782">
          <a:extLst>
            <a:ext uri="{FF2B5EF4-FFF2-40B4-BE49-F238E27FC236}">
              <a16:creationId xmlns:a16="http://schemas.microsoft.com/office/drawing/2014/main" id="{8C2FC4CC-C4F6-4234-9D9B-F1B4577E89F6}"/>
            </a:ext>
          </a:extLst>
        </xdr:cNvPr>
        <xdr:cNvSpPr/>
      </xdr:nvSpPr>
      <xdr:spPr>
        <a:xfrm rot="10800000">
          <a:off x="192786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121</xdr:row>
      <xdr:rowOff>0</xdr:rowOff>
    </xdr:from>
    <xdr:to>
      <xdr:col>24</xdr:col>
      <xdr:colOff>83820</xdr:colOff>
      <xdr:row>121</xdr:row>
      <xdr:rowOff>114300</xdr:rowOff>
    </xdr:to>
    <xdr:sp macro="" textlink="">
      <xdr:nvSpPr>
        <xdr:cNvPr id="790" name="Arrow: Down 789">
          <a:extLst>
            <a:ext uri="{FF2B5EF4-FFF2-40B4-BE49-F238E27FC236}">
              <a16:creationId xmlns:a16="http://schemas.microsoft.com/office/drawing/2014/main" id="{5E0A9C68-9728-4F60-8D1E-3477F7172CD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121</xdr:row>
      <xdr:rowOff>0</xdr:rowOff>
    </xdr:from>
    <xdr:to>
      <xdr:col>39</xdr:col>
      <xdr:colOff>83820</xdr:colOff>
      <xdr:row>121</xdr:row>
      <xdr:rowOff>114300</xdr:rowOff>
    </xdr:to>
    <xdr:sp macro="" textlink="">
      <xdr:nvSpPr>
        <xdr:cNvPr id="798" name="Arrow: Down 797">
          <a:extLst>
            <a:ext uri="{FF2B5EF4-FFF2-40B4-BE49-F238E27FC236}">
              <a16:creationId xmlns:a16="http://schemas.microsoft.com/office/drawing/2014/main" id="{CC8F35A6-C2FF-4A58-B9EC-C268C05A3735}"/>
            </a:ext>
          </a:extLst>
        </xdr:cNvPr>
        <xdr:cNvSpPr/>
      </xdr:nvSpPr>
      <xdr:spPr>
        <a:xfrm rot="10800000">
          <a:off x="86029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0" name="Arrow: Down 799">
          <a:extLst>
            <a:ext uri="{FF2B5EF4-FFF2-40B4-BE49-F238E27FC236}">
              <a16:creationId xmlns:a16="http://schemas.microsoft.com/office/drawing/2014/main" id="{75AD91A8-2FB5-4E89-B675-7CE0AEF5691C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122</xdr:row>
      <xdr:rowOff>0</xdr:rowOff>
    </xdr:from>
    <xdr:to>
      <xdr:col>45</xdr:col>
      <xdr:colOff>83820</xdr:colOff>
      <xdr:row>122</xdr:row>
      <xdr:rowOff>114300</xdr:rowOff>
    </xdr:to>
    <xdr:sp macro="" textlink="">
      <xdr:nvSpPr>
        <xdr:cNvPr id="802" name="Arrow: Down 801">
          <a:extLst>
            <a:ext uri="{FF2B5EF4-FFF2-40B4-BE49-F238E27FC236}">
              <a16:creationId xmlns:a16="http://schemas.microsoft.com/office/drawing/2014/main" id="{A0E53210-0BDD-42AF-BE96-6E4E50C1706D}"/>
            </a:ext>
          </a:extLst>
        </xdr:cNvPr>
        <xdr:cNvSpPr/>
      </xdr:nvSpPr>
      <xdr:spPr>
        <a:xfrm rot="10800000">
          <a:off x="1018794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122</xdr:row>
      <xdr:rowOff>0</xdr:rowOff>
    </xdr:from>
    <xdr:to>
      <xdr:col>60</xdr:col>
      <xdr:colOff>83820</xdr:colOff>
      <xdr:row>122</xdr:row>
      <xdr:rowOff>114300</xdr:rowOff>
    </xdr:to>
    <xdr:sp macro="" textlink="">
      <xdr:nvSpPr>
        <xdr:cNvPr id="807" name="Arrow: Down 806">
          <a:extLst>
            <a:ext uri="{FF2B5EF4-FFF2-40B4-BE49-F238E27FC236}">
              <a16:creationId xmlns:a16="http://schemas.microsoft.com/office/drawing/2014/main" id="{758ADDC5-730C-4D31-B435-7514432294DB}"/>
            </a:ext>
          </a:extLst>
        </xdr:cNvPr>
        <xdr:cNvSpPr/>
      </xdr:nvSpPr>
      <xdr:spPr>
        <a:xfrm>
          <a:off x="1488186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122</xdr:row>
      <xdr:rowOff>0</xdr:rowOff>
    </xdr:from>
    <xdr:to>
      <xdr:col>11</xdr:col>
      <xdr:colOff>83820</xdr:colOff>
      <xdr:row>122</xdr:row>
      <xdr:rowOff>114300</xdr:rowOff>
    </xdr:to>
    <xdr:sp macro="" textlink="">
      <xdr:nvSpPr>
        <xdr:cNvPr id="808" name="Arrow: Down 807">
          <a:extLst>
            <a:ext uri="{FF2B5EF4-FFF2-40B4-BE49-F238E27FC236}">
              <a16:creationId xmlns:a16="http://schemas.microsoft.com/office/drawing/2014/main" id="{02EFE700-0BA1-47C6-9714-19A4C69F50AE}"/>
            </a:ext>
          </a:extLst>
        </xdr:cNvPr>
        <xdr:cNvSpPr/>
      </xdr:nvSpPr>
      <xdr:spPr>
        <a:xfrm>
          <a:off x="3619500" y="222275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122</xdr:row>
      <xdr:rowOff>0</xdr:rowOff>
    </xdr:from>
    <xdr:to>
      <xdr:col>71</xdr:col>
      <xdr:colOff>83820</xdr:colOff>
      <xdr:row>122</xdr:row>
      <xdr:rowOff>114300</xdr:rowOff>
    </xdr:to>
    <xdr:sp macro="" textlink="">
      <xdr:nvSpPr>
        <xdr:cNvPr id="814" name="Arrow: Down 813">
          <a:extLst>
            <a:ext uri="{FF2B5EF4-FFF2-40B4-BE49-F238E27FC236}">
              <a16:creationId xmlns:a16="http://schemas.microsoft.com/office/drawing/2014/main" id="{5C5FEF79-3A13-48FB-9F6E-09005024E3F2}"/>
            </a:ext>
          </a:extLst>
        </xdr:cNvPr>
        <xdr:cNvSpPr/>
      </xdr:nvSpPr>
      <xdr:spPr>
        <a:xfrm rot="10800000">
          <a:off x="17198340" y="2222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122</xdr:row>
      <xdr:rowOff>0</xdr:rowOff>
    </xdr:from>
    <xdr:to>
      <xdr:col>24</xdr:col>
      <xdr:colOff>83820</xdr:colOff>
      <xdr:row>122</xdr:row>
      <xdr:rowOff>114300</xdr:rowOff>
    </xdr:to>
    <xdr:sp macro="" textlink="">
      <xdr:nvSpPr>
        <xdr:cNvPr id="818" name="Arrow: Down 817">
          <a:extLst>
            <a:ext uri="{FF2B5EF4-FFF2-40B4-BE49-F238E27FC236}">
              <a16:creationId xmlns:a16="http://schemas.microsoft.com/office/drawing/2014/main" id="{1B8FE5DE-4088-4056-8020-6805D07D92C5}"/>
            </a:ext>
          </a:extLst>
        </xdr:cNvPr>
        <xdr:cNvSpPr/>
      </xdr:nvSpPr>
      <xdr:spPr>
        <a:xfrm>
          <a:off x="5440680" y="2222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122</xdr:row>
      <xdr:rowOff>0</xdr:rowOff>
    </xdr:from>
    <xdr:to>
      <xdr:col>39</xdr:col>
      <xdr:colOff>83820</xdr:colOff>
      <xdr:row>122</xdr:row>
      <xdr:rowOff>114300</xdr:rowOff>
    </xdr:to>
    <xdr:sp macro="" textlink="">
      <xdr:nvSpPr>
        <xdr:cNvPr id="828" name="Arrow: Down 827">
          <a:extLst>
            <a:ext uri="{FF2B5EF4-FFF2-40B4-BE49-F238E27FC236}">
              <a16:creationId xmlns:a16="http://schemas.microsoft.com/office/drawing/2014/main" id="{161B2728-071F-48ED-95CE-33D253C5A42A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122</xdr:row>
      <xdr:rowOff>0</xdr:rowOff>
    </xdr:from>
    <xdr:to>
      <xdr:col>5</xdr:col>
      <xdr:colOff>83820</xdr:colOff>
      <xdr:row>122</xdr:row>
      <xdr:rowOff>114300</xdr:rowOff>
    </xdr:to>
    <xdr:sp macro="" textlink="">
      <xdr:nvSpPr>
        <xdr:cNvPr id="836" name="Arrow: Down 835">
          <a:extLst>
            <a:ext uri="{FF2B5EF4-FFF2-40B4-BE49-F238E27FC236}">
              <a16:creationId xmlns:a16="http://schemas.microsoft.com/office/drawing/2014/main" id="{B795BDCA-3CA9-459C-A15D-E4FAF101D6E0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39" name="Arrow: Down 838">
          <a:extLst>
            <a:ext uri="{FF2B5EF4-FFF2-40B4-BE49-F238E27FC236}">
              <a16:creationId xmlns:a16="http://schemas.microsoft.com/office/drawing/2014/main" id="{41F8F142-947A-471E-8325-328878AD741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123</xdr:row>
      <xdr:rowOff>0</xdr:rowOff>
    </xdr:from>
    <xdr:to>
      <xdr:col>45</xdr:col>
      <xdr:colOff>83820</xdr:colOff>
      <xdr:row>123</xdr:row>
      <xdr:rowOff>114300</xdr:rowOff>
    </xdr:to>
    <xdr:sp macro="" textlink="">
      <xdr:nvSpPr>
        <xdr:cNvPr id="841" name="Arrow: Down 840">
          <a:extLst>
            <a:ext uri="{FF2B5EF4-FFF2-40B4-BE49-F238E27FC236}">
              <a16:creationId xmlns:a16="http://schemas.microsoft.com/office/drawing/2014/main" id="{8F272A7A-0C0E-475A-8B27-7E445E5BF905}"/>
            </a:ext>
          </a:extLst>
        </xdr:cNvPr>
        <xdr:cNvSpPr/>
      </xdr:nvSpPr>
      <xdr:spPr>
        <a:xfrm rot="10800000">
          <a:off x="1018794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123</xdr:row>
      <xdr:rowOff>0</xdr:rowOff>
    </xdr:from>
    <xdr:to>
      <xdr:col>11</xdr:col>
      <xdr:colOff>83820</xdr:colOff>
      <xdr:row>123</xdr:row>
      <xdr:rowOff>114300</xdr:rowOff>
    </xdr:to>
    <xdr:sp macro="" textlink="">
      <xdr:nvSpPr>
        <xdr:cNvPr id="848" name="Arrow: Down 847">
          <a:extLst>
            <a:ext uri="{FF2B5EF4-FFF2-40B4-BE49-F238E27FC236}">
              <a16:creationId xmlns:a16="http://schemas.microsoft.com/office/drawing/2014/main" id="{6EFD14F8-9CF5-49B6-8F48-1FBF5D25F7A1}"/>
            </a:ext>
          </a:extLst>
        </xdr:cNvPr>
        <xdr:cNvSpPr/>
      </xdr:nvSpPr>
      <xdr:spPr>
        <a:xfrm>
          <a:off x="361950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123</xdr:row>
      <xdr:rowOff>0</xdr:rowOff>
    </xdr:from>
    <xdr:to>
      <xdr:col>71</xdr:col>
      <xdr:colOff>83820</xdr:colOff>
      <xdr:row>123</xdr:row>
      <xdr:rowOff>114300</xdr:rowOff>
    </xdr:to>
    <xdr:sp macro="" textlink="">
      <xdr:nvSpPr>
        <xdr:cNvPr id="850" name="Arrow: Down 849">
          <a:extLst>
            <a:ext uri="{FF2B5EF4-FFF2-40B4-BE49-F238E27FC236}">
              <a16:creationId xmlns:a16="http://schemas.microsoft.com/office/drawing/2014/main" id="{78318B25-7A42-4302-A047-438F787C3206}"/>
            </a:ext>
          </a:extLst>
        </xdr:cNvPr>
        <xdr:cNvSpPr/>
      </xdr:nvSpPr>
      <xdr:spPr>
        <a:xfrm rot="10800000">
          <a:off x="1719834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83820</xdr:colOff>
      <xdr:row>123</xdr:row>
      <xdr:rowOff>114300</xdr:rowOff>
    </xdr:to>
    <xdr:sp macro="" textlink="">
      <xdr:nvSpPr>
        <xdr:cNvPr id="853" name="Arrow: Down 852">
          <a:extLst>
            <a:ext uri="{FF2B5EF4-FFF2-40B4-BE49-F238E27FC236}">
              <a16:creationId xmlns:a16="http://schemas.microsoft.com/office/drawing/2014/main" id="{9A0CFFCA-32DA-40F3-9A2C-CC0BCF69B431}"/>
            </a:ext>
          </a:extLst>
        </xdr:cNvPr>
        <xdr:cNvSpPr/>
      </xdr:nvSpPr>
      <xdr:spPr>
        <a:xfrm>
          <a:off x="5440680" y="22410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123</xdr:row>
      <xdr:rowOff>0</xdr:rowOff>
    </xdr:from>
    <xdr:to>
      <xdr:col>39</xdr:col>
      <xdr:colOff>83820</xdr:colOff>
      <xdr:row>123</xdr:row>
      <xdr:rowOff>114300</xdr:rowOff>
    </xdr:to>
    <xdr:sp macro="" textlink="">
      <xdr:nvSpPr>
        <xdr:cNvPr id="858" name="Arrow: Down 857">
          <a:extLst>
            <a:ext uri="{FF2B5EF4-FFF2-40B4-BE49-F238E27FC236}">
              <a16:creationId xmlns:a16="http://schemas.microsoft.com/office/drawing/2014/main" id="{5F3669F4-E69A-4C5D-8E9B-1B015E8866AB}"/>
            </a:ext>
          </a:extLst>
        </xdr:cNvPr>
        <xdr:cNvSpPr/>
      </xdr:nvSpPr>
      <xdr:spPr>
        <a:xfrm>
          <a:off x="8602980" y="2241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123</xdr:row>
      <xdr:rowOff>0</xdr:rowOff>
    </xdr:from>
    <xdr:to>
      <xdr:col>5</xdr:col>
      <xdr:colOff>83820</xdr:colOff>
      <xdr:row>123</xdr:row>
      <xdr:rowOff>114300</xdr:rowOff>
    </xdr:to>
    <xdr:sp macro="" textlink="">
      <xdr:nvSpPr>
        <xdr:cNvPr id="860" name="Arrow: Down 859">
          <a:extLst>
            <a:ext uri="{FF2B5EF4-FFF2-40B4-BE49-F238E27FC236}">
              <a16:creationId xmlns:a16="http://schemas.microsoft.com/office/drawing/2014/main" id="{364F1EE7-6196-4660-A21E-9D9A1BFBEA71}"/>
            </a:ext>
          </a:extLst>
        </xdr:cNvPr>
        <xdr:cNvSpPr/>
      </xdr:nvSpPr>
      <xdr:spPr>
        <a:xfrm>
          <a:off x="1927860" y="22410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123</xdr:row>
      <xdr:rowOff>0</xdr:rowOff>
    </xdr:from>
    <xdr:to>
      <xdr:col>60</xdr:col>
      <xdr:colOff>83820</xdr:colOff>
      <xdr:row>123</xdr:row>
      <xdr:rowOff>114300</xdr:rowOff>
    </xdr:to>
    <xdr:sp macro="" textlink="">
      <xdr:nvSpPr>
        <xdr:cNvPr id="861" name="Arrow: Down 860">
          <a:extLst>
            <a:ext uri="{FF2B5EF4-FFF2-40B4-BE49-F238E27FC236}">
              <a16:creationId xmlns:a16="http://schemas.microsoft.com/office/drawing/2014/main" id="{55778B77-2583-42F8-8B4A-560FBABA0B7D}"/>
            </a:ext>
          </a:extLst>
        </xdr:cNvPr>
        <xdr:cNvSpPr/>
      </xdr:nvSpPr>
      <xdr:spPr>
        <a:xfrm rot="10800000">
          <a:off x="1892046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3" name="Arrow: Down 862">
          <a:extLst>
            <a:ext uri="{FF2B5EF4-FFF2-40B4-BE49-F238E27FC236}">
              <a16:creationId xmlns:a16="http://schemas.microsoft.com/office/drawing/2014/main" id="{47B52EE5-133D-4932-859D-F1776E95F84D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124</xdr:row>
      <xdr:rowOff>0</xdr:rowOff>
    </xdr:from>
    <xdr:to>
      <xdr:col>45</xdr:col>
      <xdr:colOff>83820</xdr:colOff>
      <xdr:row>124</xdr:row>
      <xdr:rowOff>114300</xdr:rowOff>
    </xdr:to>
    <xdr:sp macro="" textlink="">
      <xdr:nvSpPr>
        <xdr:cNvPr id="864" name="Arrow: Down 863">
          <a:extLst>
            <a:ext uri="{FF2B5EF4-FFF2-40B4-BE49-F238E27FC236}">
              <a16:creationId xmlns:a16="http://schemas.microsoft.com/office/drawing/2014/main" id="{4FDCC2AF-91E3-4D0B-8CD3-D2DD33D5AEDB}"/>
            </a:ext>
          </a:extLst>
        </xdr:cNvPr>
        <xdr:cNvSpPr/>
      </xdr:nvSpPr>
      <xdr:spPr>
        <a:xfrm rot="10800000">
          <a:off x="10408920" y="2259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124</xdr:row>
      <xdr:rowOff>0</xdr:rowOff>
    </xdr:from>
    <xdr:to>
      <xdr:col>71</xdr:col>
      <xdr:colOff>83820</xdr:colOff>
      <xdr:row>124</xdr:row>
      <xdr:rowOff>114300</xdr:rowOff>
    </xdr:to>
    <xdr:sp macro="" textlink="">
      <xdr:nvSpPr>
        <xdr:cNvPr id="866" name="Arrow: Down 865">
          <a:extLst>
            <a:ext uri="{FF2B5EF4-FFF2-40B4-BE49-F238E27FC236}">
              <a16:creationId xmlns:a16="http://schemas.microsoft.com/office/drawing/2014/main" id="{8364A17D-9F86-4DAE-87D3-00DB41B542D3}"/>
            </a:ext>
          </a:extLst>
        </xdr:cNvPr>
        <xdr:cNvSpPr/>
      </xdr:nvSpPr>
      <xdr:spPr>
        <a:xfrm rot="10800000">
          <a:off x="17487900" y="2259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124</xdr:row>
      <xdr:rowOff>0</xdr:rowOff>
    </xdr:from>
    <xdr:to>
      <xdr:col>24</xdr:col>
      <xdr:colOff>83820</xdr:colOff>
      <xdr:row>124</xdr:row>
      <xdr:rowOff>114300</xdr:rowOff>
    </xdr:to>
    <xdr:sp macro="" textlink="">
      <xdr:nvSpPr>
        <xdr:cNvPr id="871" name="Arrow: Down 870">
          <a:extLst>
            <a:ext uri="{FF2B5EF4-FFF2-40B4-BE49-F238E27FC236}">
              <a16:creationId xmlns:a16="http://schemas.microsoft.com/office/drawing/2014/main" id="{8D910730-15F8-4E0F-8796-87E6C9078CA8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124</xdr:row>
      <xdr:rowOff>0</xdr:rowOff>
    </xdr:from>
    <xdr:to>
      <xdr:col>39</xdr:col>
      <xdr:colOff>83820</xdr:colOff>
      <xdr:row>124</xdr:row>
      <xdr:rowOff>114300</xdr:rowOff>
    </xdr:to>
    <xdr:sp macro="" textlink="">
      <xdr:nvSpPr>
        <xdr:cNvPr id="872" name="Arrow: Down 871">
          <a:extLst>
            <a:ext uri="{FF2B5EF4-FFF2-40B4-BE49-F238E27FC236}">
              <a16:creationId xmlns:a16="http://schemas.microsoft.com/office/drawing/2014/main" id="{B6A7C67A-B29D-405A-AB71-8422BD042C1E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124</xdr:row>
      <xdr:rowOff>0</xdr:rowOff>
    </xdr:from>
    <xdr:to>
      <xdr:col>5</xdr:col>
      <xdr:colOff>83820</xdr:colOff>
      <xdr:row>124</xdr:row>
      <xdr:rowOff>114300</xdr:rowOff>
    </xdr:to>
    <xdr:sp macro="" textlink="">
      <xdr:nvSpPr>
        <xdr:cNvPr id="875" name="Arrow: Down 874">
          <a:extLst>
            <a:ext uri="{FF2B5EF4-FFF2-40B4-BE49-F238E27FC236}">
              <a16:creationId xmlns:a16="http://schemas.microsoft.com/office/drawing/2014/main" id="{4A91C311-35A9-44F3-B146-16D01D02D860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124</xdr:row>
      <xdr:rowOff>0</xdr:rowOff>
    </xdr:from>
    <xdr:to>
      <xdr:col>11</xdr:col>
      <xdr:colOff>83820</xdr:colOff>
      <xdr:row>124</xdr:row>
      <xdr:rowOff>114300</xdr:rowOff>
    </xdr:to>
    <xdr:sp macro="" textlink="">
      <xdr:nvSpPr>
        <xdr:cNvPr id="876" name="Arrow: Down 875">
          <a:extLst>
            <a:ext uri="{FF2B5EF4-FFF2-40B4-BE49-F238E27FC236}">
              <a16:creationId xmlns:a16="http://schemas.microsoft.com/office/drawing/2014/main" id="{61DCD8D6-4641-455B-8301-625B33767709}"/>
            </a:ext>
          </a:extLst>
        </xdr:cNvPr>
        <xdr:cNvSpPr/>
      </xdr:nvSpPr>
      <xdr:spPr>
        <a:xfrm rot="10800000">
          <a:off x="36195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124</xdr:row>
      <xdr:rowOff>0</xdr:rowOff>
    </xdr:from>
    <xdr:to>
      <xdr:col>60</xdr:col>
      <xdr:colOff>83820</xdr:colOff>
      <xdr:row>124</xdr:row>
      <xdr:rowOff>114300</xdr:rowOff>
    </xdr:to>
    <xdr:sp macro="" textlink="">
      <xdr:nvSpPr>
        <xdr:cNvPr id="877" name="Arrow: Down 876">
          <a:extLst>
            <a:ext uri="{FF2B5EF4-FFF2-40B4-BE49-F238E27FC236}">
              <a16:creationId xmlns:a16="http://schemas.microsoft.com/office/drawing/2014/main" id="{958F5B18-C544-42D6-B0D2-D6461EC22950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7" name="Arrow: Down 886">
          <a:extLst>
            <a:ext uri="{FF2B5EF4-FFF2-40B4-BE49-F238E27FC236}">
              <a16:creationId xmlns:a16="http://schemas.microsoft.com/office/drawing/2014/main" id="{CAAC4B68-238D-49BB-ABB4-88BBB98AF743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125</xdr:row>
      <xdr:rowOff>0</xdr:rowOff>
    </xdr:from>
    <xdr:to>
      <xdr:col>45</xdr:col>
      <xdr:colOff>83820</xdr:colOff>
      <xdr:row>125</xdr:row>
      <xdr:rowOff>114300</xdr:rowOff>
    </xdr:to>
    <xdr:sp macro="" textlink="">
      <xdr:nvSpPr>
        <xdr:cNvPr id="888" name="Arrow: Down 887">
          <a:extLst>
            <a:ext uri="{FF2B5EF4-FFF2-40B4-BE49-F238E27FC236}">
              <a16:creationId xmlns:a16="http://schemas.microsoft.com/office/drawing/2014/main" id="{F310D83F-74E0-43CA-9D37-734CFE1E6176}"/>
            </a:ext>
          </a:extLst>
        </xdr:cNvPr>
        <xdr:cNvSpPr/>
      </xdr:nvSpPr>
      <xdr:spPr>
        <a:xfrm rot="10800000">
          <a:off x="1040892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125</xdr:row>
      <xdr:rowOff>0</xdr:rowOff>
    </xdr:from>
    <xdr:to>
      <xdr:col>71</xdr:col>
      <xdr:colOff>83820</xdr:colOff>
      <xdr:row>125</xdr:row>
      <xdr:rowOff>114300</xdr:rowOff>
    </xdr:to>
    <xdr:sp macro="" textlink="">
      <xdr:nvSpPr>
        <xdr:cNvPr id="889" name="Arrow: Down 888">
          <a:extLst>
            <a:ext uri="{FF2B5EF4-FFF2-40B4-BE49-F238E27FC236}">
              <a16:creationId xmlns:a16="http://schemas.microsoft.com/office/drawing/2014/main" id="{07B82FBA-1B4B-4731-BE86-C5AC3C60A39B}"/>
            </a:ext>
          </a:extLst>
        </xdr:cNvPr>
        <xdr:cNvSpPr/>
      </xdr:nvSpPr>
      <xdr:spPr>
        <a:xfrm rot="10800000">
          <a:off x="1748790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125</xdr:row>
      <xdr:rowOff>0</xdr:rowOff>
    </xdr:from>
    <xdr:to>
      <xdr:col>24</xdr:col>
      <xdr:colOff>83820</xdr:colOff>
      <xdr:row>125</xdr:row>
      <xdr:rowOff>114300</xdr:rowOff>
    </xdr:to>
    <xdr:sp macro="" textlink="">
      <xdr:nvSpPr>
        <xdr:cNvPr id="890" name="Arrow: Down 889">
          <a:extLst>
            <a:ext uri="{FF2B5EF4-FFF2-40B4-BE49-F238E27FC236}">
              <a16:creationId xmlns:a16="http://schemas.microsoft.com/office/drawing/2014/main" id="{ED9F5F0E-C5B6-4139-8819-83511A3D73CF}"/>
            </a:ext>
          </a:extLst>
        </xdr:cNvPr>
        <xdr:cNvSpPr/>
      </xdr:nvSpPr>
      <xdr:spPr>
        <a:xfrm rot="10800000">
          <a:off x="544068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125</xdr:row>
      <xdr:rowOff>0</xdr:rowOff>
    </xdr:from>
    <xdr:to>
      <xdr:col>39</xdr:col>
      <xdr:colOff>83820</xdr:colOff>
      <xdr:row>125</xdr:row>
      <xdr:rowOff>114300</xdr:rowOff>
    </xdr:to>
    <xdr:sp macro="" textlink="">
      <xdr:nvSpPr>
        <xdr:cNvPr id="891" name="Arrow: Down 890">
          <a:extLst>
            <a:ext uri="{FF2B5EF4-FFF2-40B4-BE49-F238E27FC236}">
              <a16:creationId xmlns:a16="http://schemas.microsoft.com/office/drawing/2014/main" id="{0E6AEA46-F7A2-440C-8448-615E562A3D1C}"/>
            </a:ext>
          </a:extLst>
        </xdr:cNvPr>
        <xdr:cNvSpPr/>
      </xdr:nvSpPr>
      <xdr:spPr>
        <a:xfrm rot="10800000">
          <a:off x="8602980" y="2277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125</xdr:row>
      <xdr:rowOff>0</xdr:rowOff>
    </xdr:from>
    <xdr:to>
      <xdr:col>5</xdr:col>
      <xdr:colOff>83820</xdr:colOff>
      <xdr:row>125</xdr:row>
      <xdr:rowOff>114300</xdr:rowOff>
    </xdr:to>
    <xdr:sp macro="" textlink="">
      <xdr:nvSpPr>
        <xdr:cNvPr id="892" name="Arrow: Down 891">
          <a:extLst>
            <a:ext uri="{FF2B5EF4-FFF2-40B4-BE49-F238E27FC236}">
              <a16:creationId xmlns:a16="http://schemas.microsoft.com/office/drawing/2014/main" id="{013DDF7B-882B-4ACB-8FE6-495678A4F8BB}"/>
            </a:ext>
          </a:extLst>
        </xdr:cNvPr>
        <xdr:cNvSpPr/>
      </xdr:nvSpPr>
      <xdr:spPr>
        <a:xfrm rot="10800000">
          <a:off x="192786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125</xdr:row>
      <xdr:rowOff>0</xdr:rowOff>
    </xdr:from>
    <xdr:to>
      <xdr:col>60</xdr:col>
      <xdr:colOff>83820</xdr:colOff>
      <xdr:row>125</xdr:row>
      <xdr:rowOff>114300</xdr:rowOff>
    </xdr:to>
    <xdr:sp macro="" textlink="">
      <xdr:nvSpPr>
        <xdr:cNvPr id="894" name="Arrow: Down 893">
          <a:extLst>
            <a:ext uri="{FF2B5EF4-FFF2-40B4-BE49-F238E27FC236}">
              <a16:creationId xmlns:a16="http://schemas.microsoft.com/office/drawing/2014/main" id="{57A48B4C-9B2D-4FED-A23C-0AD8B50E6806}"/>
            </a:ext>
          </a:extLst>
        </xdr:cNvPr>
        <xdr:cNvSpPr/>
      </xdr:nvSpPr>
      <xdr:spPr>
        <a:xfrm rot="10800000">
          <a:off x="15171420" y="2277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125</xdr:row>
      <xdr:rowOff>0</xdr:rowOff>
    </xdr:from>
    <xdr:to>
      <xdr:col>11</xdr:col>
      <xdr:colOff>83820</xdr:colOff>
      <xdr:row>125</xdr:row>
      <xdr:rowOff>114300</xdr:rowOff>
    </xdr:to>
    <xdr:sp macro="" textlink="">
      <xdr:nvSpPr>
        <xdr:cNvPr id="827" name="Arrow: Down 826">
          <a:extLst>
            <a:ext uri="{FF2B5EF4-FFF2-40B4-BE49-F238E27FC236}">
              <a16:creationId xmlns:a16="http://schemas.microsoft.com/office/drawing/2014/main" id="{74C82D2E-FA7C-4940-8710-FC30F4ADA82C}"/>
            </a:ext>
          </a:extLst>
        </xdr:cNvPr>
        <xdr:cNvSpPr/>
      </xdr:nvSpPr>
      <xdr:spPr>
        <a:xfrm>
          <a:off x="3619500" y="229590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1" name="Arrow: Down 830">
          <a:extLst>
            <a:ext uri="{FF2B5EF4-FFF2-40B4-BE49-F238E27FC236}">
              <a16:creationId xmlns:a16="http://schemas.microsoft.com/office/drawing/2014/main" id="{47316559-D0A5-4FF9-B089-A7C90B95759A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126</xdr:row>
      <xdr:rowOff>0</xdr:rowOff>
    </xdr:from>
    <xdr:to>
      <xdr:col>45</xdr:col>
      <xdr:colOff>83820</xdr:colOff>
      <xdr:row>126</xdr:row>
      <xdr:rowOff>114300</xdr:rowOff>
    </xdr:to>
    <xdr:sp macro="" textlink="">
      <xdr:nvSpPr>
        <xdr:cNvPr id="835" name="Arrow: Down 834">
          <a:extLst>
            <a:ext uri="{FF2B5EF4-FFF2-40B4-BE49-F238E27FC236}">
              <a16:creationId xmlns:a16="http://schemas.microsoft.com/office/drawing/2014/main" id="{29797059-F73F-4255-9CFF-A37832CF3359}"/>
            </a:ext>
          </a:extLst>
        </xdr:cNvPr>
        <xdr:cNvSpPr/>
      </xdr:nvSpPr>
      <xdr:spPr>
        <a:xfrm rot="10800000">
          <a:off x="10408920" y="2295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126</xdr:row>
      <xdr:rowOff>0</xdr:rowOff>
    </xdr:from>
    <xdr:to>
      <xdr:col>71</xdr:col>
      <xdr:colOff>83820</xdr:colOff>
      <xdr:row>126</xdr:row>
      <xdr:rowOff>114300</xdr:rowOff>
    </xdr:to>
    <xdr:sp macro="" textlink="">
      <xdr:nvSpPr>
        <xdr:cNvPr id="844" name="Arrow: Down 843">
          <a:extLst>
            <a:ext uri="{FF2B5EF4-FFF2-40B4-BE49-F238E27FC236}">
              <a16:creationId xmlns:a16="http://schemas.microsoft.com/office/drawing/2014/main" id="{2E94376D-40B4-420A-A3A5-6F157D44678E}"/>
            </a:ext>
          </a:extLst>
        </xdr:cNvPr>
        <xdr:cNvSpPr/>
      </xdr:nvSpPr>
      <xdr:spPr>
        <a:xfrm rot="10800000">
          <a:off x="1748790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83820</xdr:colOff>
      <xdr:row>126</xdr:row>
      <xdr:rowOff>114300</xdr:rowOff>
    </xdr:to>
    <xdr:sp macro="" textlink="">
      <xdr:nvSpPr>
        <xdr:cNvPr id="865" name="Arrow: Down 864">
          <a:extLst>
            <a:ext uri="{FF2B5EF4-FFF2-40B4-BE49-F238E27FC236}">
              <a16:creationId xmlns:a16="http://schemas.microsoft.com/office/drawing/2014/main" id="{7A3C48D3-1453-47FC-B528-63F33CC370DC}"/>
            </a:ext>
          </a:extLst>
        </xdr:cNvPr>
        <xdr:cNvSpPr/>
      </xdr:nvSpPr>
      <xdr:spPr>
        <a:xfrm rot="10800000">
          <a:off x="544068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126</xdr:row>
      <xdr:rowOff>0</xdr:rowOff>
    </xdr:from>
    <xdr:to>
      <xdr:col>5</xdr:col>
      <xdr:colOff>83820</xdr:colOff>
      <xdr:row>126</xdr:row>
      <xdr:rowOff>114300</xdr:rowOff>
    </xdr:to>
    <xdr:sp macro="" textlink="">
      <xdr:nvSpPr>
        <xdr:cNvPr id="868" name="Arrow: Down 867">
          <a:extLst>
            <a:ext uri="{FF2B5EF4-FFF2-40B4-BE49-F238E27FC236}">
              <a16:creationId xmlns:a16="http://schemas.microsoft.com/office/drawing/2014/main" id="{84B08A26-3E68-4347-BB8B-1994191F0E43}"/>
            </a:ext>
          </a:extLst>
        </xdr:cNvPr>
        <xdr:cNvSpPr/>
      </xdr:nvSpPr>
      <xdr:spPr>
        <a:xfrm rot="10800000">
          <a:off x="192786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126</xdr:row>
      <xdr:rowOff>0</xdr:rowOff>
    </xdr:from>
    <xdr:to>
      <xdr:col>60</xdr:col>
      <xdr:colOff>83820</xdr:colOff>
      <xdr:row>126</xdr:row>
      <xdr:rowOff>114300</xdr:rowOff>
    </xdr:to>
    <xdr:sp macro="" textlink="">
      <xdr:nvSpPr>
        <xdr:cNvPr id="869" name="Arrow: Down 868">
          <a:extLst>
            <a:ext uri="{FF2B5EF4-FFF2-40B4-BE49-F238E27FC236}">
              <a16:creationId xmlns:a16="http://schemas.microsoft.com/office/drawing/2014/main" id="{BCB0B8A9-B3ED-4387-8E4D-181BAB4F5872}"/>
            </a:ext>
          </a:extLst>
        </xdr:cNvPr>
        <xdr:cNvSpPr/>
      </xdr:nvSpPr>
      <xdr:spPr>
        <a:xfrm rot="10800000">
          <a:off x="15171420" y="2295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126</xdr:row>
      <xdr:rowOff>0</xdr:rowOff>
    </xdr:from>
    <xdr:to>
      <xdr:col>11</xdr:col>
      <xdr:colOff>83820</xdr:colOff>
      <xdr:row>126</xdr:row>
      <xdr:rowOff>114300</xdr:rowOff>
    </xdr:to>
    <xdr:sp macro="" textlink="">
      <xdr:nvSpPr>
        <xdr:cNvPr id="874" name="Arrow: Down 873">
          <a:extLst>
            <a:ext uri="{FF2B5EF4-FFF2-40B4-BE49-F238E27FC236}">
              <a16:creationId xmlns:a16="http://schemas.microsoft.com/office/drawing/2014/main" id="{4018E378-0F0C-44C6-BB02-A02A8BB6C814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8" name="Arrow: Down 877">
          <a:extLst>
            <a:ext uri="{FF2B5EF4-FFF2-40B4-BE49-F238E27FC236}">
              <a16:creationId xmlns:a16="http://schemas.microsoft.com/office/drawing/2014/main" id="{FCB05646-8101-4101-824D-CC743135B053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127</xdr:row>
      <xdr:rowOff>0</xdr:rowOff>
    </xdr:from>
    <xdr:to>
      <xdr:col>45</xdr:col>
      <xdr:colOff>83820</xdr:colOff>
      <xdr:row>127</xdr:row>
      <xdr:rowOff>114300</xdr:rowOff>
    </xdr:to>
    <xdr:sp macro="" textlink="">
      <xdr:nvSpPr>
        <xdr:cNvPr id="879" name="Arrow: Down 878">
          <a:extLst>
            <a:ext uri="{FF2B5EF4-FFF2-40B4-BE49-F238E27FC236}">
              <a16:creationId xmlns:a16="http://schemas.microsoft.com/office/drawing/2014/main" id="{5DDECF77-A7BF-4812-8A49-D678C8E2981B}"/>
            </a:ext>
          </a:extLst>
        </xdr:cNvPr>
        <xdr:cNvSpPr/>
      </xdr:nvSpPr>
      <xdr:spPr>
        <a:xfrm rot="10800000">
          <a:off x="10408920" y="2314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127</xdr:row>
      <xdr:rowOff>0</xdr:rowOff>
    </xdr:from>
    <xdr:to>
      <xdr:col>71</xdr:col>
      <xdr:colOff>83820</xdr:colOff>
      <xdr:row>127</xdr:row>
      <xdr:rowOff>114300</xdr:rowOff>
    </xdr:to>
    <xdr:sp macro="" textlink="">
      <xdr:nvSpPr>
        <xdr:cNvPr id="880" name="Arrow: Down 879">
          <a:extLst>
            <a:ext uri="{FF2B5EF4-FFF2-40B4-BE49-F238E27FC236}">
              <a16:creationId xmlns:a16="http://schemas.microsoft.com/office/drawing/2014/main" id="{5E2ACBEE-612B-4232-A604-EE26C1801F46}"/>
            </a:ext>
          </a:extLst>
        </xdr:cNvPr>
        <xdr:cNvSpPr/>
      </xdr:nvSpPr>
      <xdr:spPr>
        <a:xfrm rot="10800000">
          <a:off x="174879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5</xdr:col>
      <xdr:colOff>83820</xdr:colOff>
      <xdr:row>127</xdr:row>
      <xdr:rowOff>114300</xdr:rowOff>
    </xdr:to>
    <xdr:sp macro="" textlink="">
      <xdr:nvSpPr>
        <xdr:cNvPr id="883" name="Arrow: Down 882">
          <a:extLst>
            <a:ext uri="{FF2B5EF4-FFF2-40B4-BE49-F238E27FC236}">
              <a16:creationId xmlns:a16="http://schemas.microsoft.com/office/drawing/2014/main" id="{CF7FC5BF-E9AE-4F46-B3D5-2F63132240B1}"/>
            </a:ext>
          </a:extLst>
        </xdr:cNvPr>
        <xdr:cNvSpPr/>
      </xdr:nvSpPr>
      <xdr:spPr>
        <a:xfrm rot="10800000">
          <a:off x="192786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127</xdr:row>
      <xdr:rowOff>0</xdr:rowOff>
    </xdr:from>
    <xdr:to>
      <xdr:col>11</xdr:col>
      <xdr:colOff>83820</xdr:colOff>
      <xdr:row>127</xdr:row>
      <xdr:rowOff>114300</xdr:rowOff>
    </xdr:to>
    <xdr:sp macro="" textlink="">
      <xdr:nvSpPr>
        <xdr:cNvPr id="885" name="Arrow: Down 884">
          <a:extLst>
            <a:ext uri="{FF2B5EF4-FFF2-40B4-BE49-F238E27FC236}">
              <a16:creationId xmlns:a16="http://schemas.microsoft.com/office/drawing/2014/main" id="{8C129D90-6A20-44D4-8CAB-21B3C6F10DEB}"/>
            </a:ext>
          </a:extLst>
        </xdr:cNvPr>
        <xdr:cNvSpPr/>
      </xdr:nvSpPr>
      <xdr:spPr>
        <a:xfrm rot="10800000">
          <a:off x="361950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126</xdr:row>
      <xdr:rowOff>0</xdr:rowOff>
    </xdr:from>
    <xdr:to>
      <xdr:col>39</xdr:col>
      <xdr:colOff>83820</xdr:colOff>
      <xdr:row>126</xdr:row>
      <xdr:rowOff>114300</xdr:rowOff>
    </xdr:to>
    <xdr:sp macro="" textlink="">
      <xdr:nvSpPr>
        <xdr:cNvPr id="895" name="Arrow: Down 894">
          <a:extLst>
            <a:ext uri="{FF2B5EF4-FFF2-40B4-BE49-F238E27FC236}">
              <a16:creationId xmlns:a16="http://schemas.microsoft.com/office/drawing/2014/main" id="{2ADB66C5-6FE4-450D-A097-E8428BD3AE67}"/>
            </a:ext>
          </a:extLst>
        </xdr:cNvPr>
        <xdr:cNvSpPr/>
      </xdr:nvSpPr>
      <xdr:spPr>
        <a:xfrm>
          <a:off x="8602980" y="2314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127</xdr:row>
      <xdr:rowOff>0</xdr:rowOff>
    </xdr:from>
    <xdr:to>
      <xdr:col>24</xdr:col>
      <xdr:colOff>83820</xdr:colOff>
      <xdr:row>127</xdr:row>
      <xdr:rowOff>114300</xdr:rowOff>
    </xdr:to>
    <xdr:sp macro="" textlink="">
      <xdr:nvSpPr>
        <xdr:cNvPr id="898" name="Arrow: Down 897">
          <a:extLst>
            <a:ext uri="{FF2B5EF4-FFF2-40B4-BE49-F238E27FC236}">
              <a16:creationId xmlns:a16="http://schemas.microsoft.com/office/drawing/2014/main" id="{3D5B850D-6E22-407C-86A9-C435DBAF3493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127</xdr:row>
      <xdr:rowOff>0</xdr:rowOff>
    </xdr:from>
    <xdr:to>
      <xdr:col>39</xdr:col>
      <xdr:colOff>83820</xdr:colOff>
      <xdr:row>127</xdr:row>
      <xdr:rowOff>114300</xdr:rowOff>
    </xdr:to>
    <xdr:sp macro="" textlink="">
      <xdr:nvSpPr>
        <xdr:cNvPr id="900" name="Arrow: Down 899">
          <a:extLst>
            <a:ext uri="{FF2B5EF4-FFF2-40B4-BE49-F238E27FC236}">
              <a16:creationId xmlns:a16="http://schemas.microsoft.com/office/drawing/2014/main" id="{4799EAC4-B159-4F73-AAA2-245B70F633B5}"/>
            </a:ext>
          </a:extLst>
        </xdr:cNvPr>
        <xdr:cNvSpPr/>
      </xdr:nvSpPr>
      <xdr:spPr>
        <a:xfrm>
          <a:off x="860298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127</xdr:row>
      <xdr:rowOff>0</xdr:rowOff>
    </xdr:from>
    <xdr:to>
      <xdr:col>60</xdr:col>
      <xdr:colOff>83820</xdr:colOff>
      <xdr:row>127</xdr:row>
      <xdr:rowOff>114300</xdr:rowOff>
    </xdr:to>
    <xdr:sp macro="" textlink="">
      <xdr:nvSpPr>
        <xdr:cNvPr id="902" name="Arrow: Down 901">
          <a:extLst>
            <a:ext uri="{FF2B5EF4-FFF2-40B4-BE49-F238E27FC236}">
              <a16:creationId xmlns:a16="http://schemas.microsoft.com/office/drawing/2014/main" id="{CD33F9AB-9B39-4DE5-8D2C-1F5B27C91C0D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15" name="Arrow: Down 814">
          <a:extLst>
            <a:ext uri="{FF2B5EF4-FFF2-40B4-BE49-F238E27FC236}">
              <a16:creationId xmlns:a16="http://schemas.microsoft.com/office/drawing/2014/main" id="{3DEE3F07-E9AC-43B4-9F7A-443C8D224D44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128</xdr:row>
      <xdr:rowOff>0</xdr:rowOff>
    </xdr:from>
    <xdr:to>
      <xdr:col>45</xdr:col>
      <xdr:colOff>83820</xdr:colOff>
      <xdr:row>128</xdr:row>
      <xdr:rowOff>114300</xdr:rowOff>
    </xdr:to>
    <xdr:sp macro="" textlink="">
      <xdr:nvSpPr>
        <xdr:cNvPr id="867" name="Arrow: Down 866">
          <a:extLst>
            <a:ext uri="{FF2B5EF4-FFF2-40B4-BE49-F238E27FC236}">
              <a16:creationId xmlns:a16="http://schemas.microsoft.com/office/drawing/2014/main" id="{7B408D63-61A5-46E1-9737-C24B7A0C4DC7}"/>
            </a:ext>
          </a:extLst>
        </xdr:cNvPr>
        <xdr:cNvSpPr/>
      </xdr:nvSpPr>
      <xdr:spPr>
        <a:xfrm rot="10800000">
          <a:off x="104089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128</xdr:row>
      <xdr:rowOff>0</xdr:rowOff>
    </xdr:from>
    <xdr:to>
      <xdr:col>71</xdr:col>
      <xdr:colOff>83820</xdr:colOff>
      <xdr:row>128</xdr:row>
      <xdr:rowOff>114300</xdr:rowOff>
    </xdr:to>
    <xdr:sp macro="" textlink="">
      <xdr:nvSpPr>
        <xdr:cNvPr id="870" name="Arrow: Down 869">
          <a:extLst>
            <a:ext uri="{FF2B5EF4-FFF2-40B4-BE49-F238E27FC236}">
              <a16:creationId xmlns:a16="http://schemas.microsoft.com/office/drawing/2014/main" id="{E413E567-1836-4990-9B2C-E7B88708AF6B}"/>
            </a:ext>
          </a:extLst>
        </xdr:cNvPr>
        <xdr:cNvSpPr/>
      </xdr:nvSpPr>
      <xdr:spPr>
        <a:xfrm rot="10800000">
          <a:off x="174879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128</xdr:row>
      <xdr:rowOff>0</xdr:rowOff>
    </xdr:from>
    <xdr:to>
      <xdr:col>5</xdr:col>
      <xdr:colOff>83820</xdr:colOff>
      <xdr:row>128</xdr:row>
      <xdr:rowOff>114300</xdr:rowOff>
    </xdr:to>
    <xdr:sp macro="" textlink="">
      <xdr:nvSpPr>
        <xdr:cNvPr id="873" name="Arrow: Down 872">
          <a:extLst>
            <a:ext uri="{FF2B5EF4-FFF2-40B4-BE49-F238E27FC236}">
              <a16:creationId xmlns:a16="http://schemas.microsoft.com/office/drawing/2014/main" id="{16EBF00A-8B88-4F4D-8B0D-385518C57BCA}"/>
            </a:ext>
          </a:extLst>
        </xdr:cNvPr>
        <xdr:cNvSpPr/>
      </xdr:nvSpPr>
      <xdr:spPr>
        <a:xfrm rot="10800000">
          <a:off x="192786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128</xdr:row>
      <xdr:rowOff>0</xdr:rowOff>
    </xdr:from>
    <xdr:to>
      <xdr:col>11</xdr:col>
      <xdr:colOff>83820</xdr:colOff>
      <xdr:row>128</xdr:row>
      <xdr:rowOff>114300</xdr:rowOff>
    </xdr:to>
    <xdr:sp macro="" textlink="">
      <xdr:nvSpPr>
        <xdr:cNvPr id="881" name="Arrow: Down 880">
          <a:extLst>
            <a:ext uri="{FF2B5EF4-FFF2-40B4-BE49-F238E27FC236}">
              <a16:creationId xmlns:a16="http://schemas.microsoft.com/office/drawing/2014/main" id="{54384283-A011-4386-BD3D-64DD97ECAC00}"/>
            </a:ext>
          </a:extLst>
        </xdr:cNvPr>
        <xdr:cNvSpPr/>
      </xdr:nvSpPr>
      <xdr:spPr>
        <a:xfrm rot="10800000">
          <a:off x="3619500" y="2332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128</xdr:row>
      <xdr:rowOff>0</xdr:rowOff>
    </xdr:from>
    <xdr:to>
      <xdr:col>24</xdr:col>
      <xdr:colOff>83820</xdr:colOff>
      <xdr:row>128</xdr:row>
      <xdr:rowOff>114300</xdr:rowOff>
    </xdr:to>
    <xdr:sp macro="" textlink="">
      <xdr:nvSpPr>
        <xdr:cNvPr id="882" name="Arrow: Down 881">
          <a:extLst>
            <a:ext uri="{FF2B5EF4-FFF2-40B4-BE49-F238E27FC236}">
              <a16:creationId xmlns:a16="http://schemas.microsoft.com/office/drawing/2014/main" id="{67DA10ED-2F44-4131-A189-040F6FD0FB88}"/>
            </a:ext>
          </a:extLst>
        </xdr:cNvPr>
        <xdr:cNvSpPr/>
      </xdr:nvSpPr>
      <xdr:spPr>
        <a:xfrm>
          <a:off x="544068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128</xdr:row>
      <xdr:rowOff>0</xdr:rowOff>
    </xdr:from>
    <xdr:to>
      <xdr:col>60</xdr:col>
      <xdr:colOff>83820</xdr:colOff>
      <xdr:row>128</xdr:row>
      <xdr:rowOff>114300</xdr:rowOff>
    </xdr:to>
    <xdr:sp macro="" textlink="">
      <xdr:nvSpPr>
        <xdr:cNvPr id="886" name="Arrow: Down 885">
          <a:extLst>
            <a:ext uri="{FF2B5EF4-FFF2-40B4-BE49-F238E27FC236}">
              <a16:creationId xmlns:a16="http://schemas.microsoft.com/office/drawing/2014/main" id="{6806C395-2EE9-4144-AF48-066E43BA02B2}"/>
            </a:ext>
          </a:extLst>
        </xdr:cNvPr>
        <xdr:cNvSpPr/>
      </xdr:nvSpPr>
      <xdr:spPr>
        <a:xfrm>
          <a:off x="15171420" y="2332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128</xdr:row>
      <xdr:rowOff>0</xdr:rowOff>
    </xdr:from>
    <xdr:to>
      <xdr:col>39</xdr:col>
      <xdr:colOff>83820</xdr:colOff>
      <xdr:row>128</xdr:row>
      <xdr:rowOff>114300</xdr:rowOff>
    </xdr:to>
    <xdr:sp macro="" textlink="">
      <xdr:nvSpPr>
        <xdr:cNvPr id="893" name="Arrow: Down 892">
          <a:extLst>
            <a:ext uri="{FF2B5EF4-FFF2-40B4-BE49-F238E27FC236}">
              <a16:creationId xmlns:a16="http://schemas.microsoft.com/office/drawing/2014/main" id="{E687A73A-C55F-4093-9F70-EA9222B4D4E1}"/>
            </a:ext>
          </a:extLst>
        </xdr:cNvPr>
        <xdr:cNvSpPr/>
      </xdr:nvSpPr>
      <xdr:spPr>
        <a:xfrm rot="10800000">
          <a:off x="86029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7" name="Arrow: Down 906">
          <a:extLst>
            <a:ext uri="{FF2B5EF4-FFF2-40B4-BE49-F238E27FC236}">
              <a16:creationId xmlns:a16="http://schemas.microsoft.com/office/drawing/2014/main" id="{52AD076B-8C5B-40D2-94E6-EBEA9C5ADBDE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129</xdr:row>
      <xdr:rowOff>0</xdr:rowOff>
    </xdr:from>
    <xdr:to>
      <xdr:col>45</xdr:col>
      <xdr:colOff>83820</xdr:colOff>
      <xdr:row>129</xdr:row>
      <xdr:rowOff>114300</xdr:rowOff>
    </xdr:to>
    <xdr:sp macro="" textlink="">
      <xdr:nvSpPr>
        <xdr:cNvPr id="908" name="Arrow: Down 907">
          <a:extLst>
            <a:ext uri="{FF2B5EF4-FFF2-40B4-BE49-F238E27FC236}">
              <a16:creationId xmlns:a16="http://schemas.microsoft.com/office/drawing/2014/main" id="{14FF4883-2E13-427B-BE21-93C1845666F9}"/>
            </a:ext>
          </a:extLst>
        </xdr:cNvPr>
        <xdr:cNvSpPr/>
      </xdr:nvSpPr>
      <xdr:spPr>
        <a:xfrm rot="10800000">
          <a:off x="104089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129</xdr:row>
      <xdr:rowOff>0</xdr:rowOff>
    </xdr:from>
    <xdr:to>
      <xdr:col>24</xdr:col>
      <xdr:colOff>83820</xdr:colOff>
      <xdr:row>129</xdr:row>
      <xdr:rowOff>114300</xdr:rowOff>
    </xdr:to>
    <xdr:sp macro="" textlink="">
      <xdr:nvSpPr>
        <xdr:cNvPr id="912" name="Arrow: Down 911">
          <a:extLst>
            <a:ext uri="{FF2B5EF4-FFF2-40B4-BE49-F238E27FC236}">
              <a16:creationId xmlns:a16="http://schemas.microsoft.com/office/drawing/2014/main" id="{11CB253B-687B-485A-98EC-C1081151E1E2}"/>
            </a:ext>
          </a:extLst>
        </xdr:cNvPr>
        <xdr:cNvSpPr/>
      </xdr:nvSpPr>
      <xdr:spPr>
        <a:xfrm>
          <a:off x="544068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129</xdr:row>
      <xdr:rowOff>0</xdr:rowOff>
    </xdr:from>
    <xdr:to>
      <xdr:col>60</xdr:col>
      <xdr:colOff>83820</xdr:colOff>
      <xdr:row>129</xdr:row>
      <xdr:rowOff>114300</xdr:rowOff>
    </xdr:to>
    <xdr:sp macro="" textlink="">
      <xdr:nvSpPr>
        <xdr:cNvPr id="913" name="Arrow: Down 912">
          <a:extLst>
            <a:ext uri="{FF2B5EF4-FFF2-40B4-BE49-F238E27FC236}">
              <a16:creationId xmlns:a16="http://schemas.microsoft.com/office/drawing/2014/main" id="{3467E7C7-4DAC-4C44-9C92-17A9B2C1F405}"/>
            </a:ext>
          </a:extLst>
        </xdr:cNvPr>
        <xdr:cNvSpPr/>
      </xdr:nvSpPr>
      <xdr:spPr>
        <a:xfrm>
          <a:off x="15171420" y="2350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129</xdr:row>
      <xdr:rowOff>0</xdr:rowOff>
    </xdr:from>
    <xdr:to>
      <xdr:col>5</xdr:col>
      <xdr:colOff>83820</xdr:colOff>
      <xdr:row>129</xdr:row>
      <xdr:rowOff>114300</xdr:rowOff>
    </xdr:to>
    <xdr:sp macro="" textlink="">
      <xdr:nvSpPr>
        <xdr:cNvPr id="915" name="Arrow: Down 914">
          <a:extLst>
            <a:ext uri="{FF2B5EF4-FFF2-40B4-BE49-F238E27FC236}">
              <a16:creationId xmlns:a16="http://schemas.microsoft.com/office/drawing/2014/main" id="{995DA461-9565-4DAD-974B-0E7596D7186D}"/>
            </a:ext>
          </a:extLst>
        </xdr:cNvPr>
        <xdr:cNvSpPr/>
      </xdr:nvSpPr>
      <xdr:spPr>
        <a:xfrm>
          <a:off x="192786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129</xdr:row>
      <xdr:rowOff>0</xdr:rowOff>
    </xdr:from>
    <xdr:to>
      <xdr:col>11</xdr:col>
      <xdr:colOff>83820</xdr:colOff>
      <xdr:row>129</xdr:row>
      <xdr:rowOff>114300</xdr:rowOff>
    </xdr:to>
    <xdr:sp macro="" textlink="">
      <xdr:nvSpPr>
        <xdr:cNvPr id="916" name="Arrow: Down 915">
          <a:extLst>
            <a:ext uri="{FF2B5EF4-FFF2-40B4-BE49-F238E27FC236}">
              <a16:creationId xmlns:a16="http://schemas.microsoft.com/office/drawing/2014/main" id="{D17B36E8-5E21-4CC9-800A-4C284D31B890}"/>
            </a:ext>
          </a:extLst>
        </xdr:cNvPr>
        <xdr:cNvSpPr/>
      </xdr:nvSpPr>
      <xdr:spPr>
        <a:xfrm>
          <a:off x="3619500" y="236905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129</xdr:row>
      <xdr:rowOff>0</xdr:rowOff>
    </xdr:from>
    <xdr:to>
      <xdr:col>39</xdr:col>
      <xdr:colOff>83820</xdr:colOff>
      <xdr:row>129</xdr:row>
      <xdr:rowOff>114300</xdr:rowOff>
    </xdr:to>
    <xdr:sp macro="" textlink="">
      <xdr:nvSpPr>
        <xdr:cNvPr id="918" name="Arrow: Down 917">
          <a:extLst>
            <a:ext uri="{FF2B5EF4-FFF2-40B4-BE49-F238E27FC236}">
              <a16:creationId xmlns:a16="http://schemas.microsoft.com/office/drawing/2014/main" id="{1FBFF47E-A03C-45D5-8619-A11F9706C6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129</xdr:row>
      <xdr:rowOff>0</xdr:rowOff>
    </xdr:from>
    <xdr:to>
      <xdr:col>71</xdr:col>
      <xdr:colOff>83820</xdr:colOff>
      <xdr:row>129</xdr:row>
      <xdr:rowOff>114300</xdr:rowOff>
    </xdr:to>
    <xdr:sp macro="" textlink="">
      <xdr:nvSpPr>
        <xdr:cNvPr id="921" name="Arrow: Down 920">
          <a:extLst>
            <a:ext uri="{FF2B5EF4-FFF2-40B4-BE49-F238E27FC236}">
              <a16:creationId xmlns:a16="http://schemas.microsoft.com/office/drawing/2014/main" id="{EB90C529-CD58-4F3A-B8D6-8FE27AACE45D}"/>
            </a:ext>
          </a:extLst>
        </xdr:cNvPr>
        <xdr:cNvSpPr/>
      </xdr:nvSpPr>
      <xdr:spPr>
        <a:xfrm>
          <a:off x="1748790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130</xdr:row>
      <xdr:rowOff>0</xdr:rowOff>
    </xdr:from>
    <xdr:to>
      <xdr:col>24</xdr:col>
      <xdr:colOff>83820</xdr:colOff>
      <xdr:row>130</xdr:row>
      <xdr:rowOff>114300</xdr:rowOff>
    </xdr:to>
    <xdr:sp macro="" textlink="">
      <xdr:nvSpPr>
        <xdr:cNvPr id="924" name="Arrow: Down 923">
          <a:extLst>
            <a:ext uri="{FF2B5EF4-FFF2-40B4-BE49-F238E27FC236}">
              <a16:creationId xmlns:a16="http://schemas.microsoft.com/office/drawing/2014/main" id="{D9F2C22D-95E7-47A6-BCB8-273002A35218}"/>
            </a:ext>
          </a:extLst>
        </xdr:cNvPr>
        <xdr:cNvSpPr/>
      </xdr:nvSpPr>
      <xdr:spPr>
        <a:xfrm>
          <a:off x="5440680" y="2369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130</xdr:row>
      <xdr:rowOff>0</xdr:rowOff>
    </xdr:from>
    <xdr:to>
      <xdr:col>39</xdr:col>
      <xdr:colOff>83820</xdr:colOff>
      <xdr:row>130</xdr:row>
      <xdr:rowOff>114300</xdr:rowOff>
    </xdr:to>
    <xdr:sp macro="" textlink="">
      <xdr:nvSpPr>
        <xdr:cNvPr id="928" name="Arrow: Down 927">
          <a:extLst>
            <a:ext uri="{FF2B5EF4-FFF2-40B4-BE49-F238E27FC236}">
              <a16:creationId xmlns:a16="http://schemas.microsoft.com/office/drawing/2014/main" id="{9372AF9E-77CB-410E-A718-51964206B366}"/>
            </a:ext>
          </a:extLst>
        </xdr:cNvPr>
        <xdr:cNvSpPr/>
      </xdr:nvSpPr>
      <xdr:spPr>
        <a:xfrm>
          <a:off x="8602980" y="2369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130</xdr:row>
      <xdr:rowOff>0</xdr:rowOff>
    </xdr:from>
    <xdr:to>
      <xdr:col>5</xdr:col>
      <xdr:colOff>83820</xdr:colOff>
      <xdr:row>130</xdr:row>
      <xdr:rowOff>114300</xdr:rowOff>
    </xdr:to>
    <xdr:sp macro="" textlink="">
      <xdr:nvSpPr>
        <xdr:cNvPr id="930" name="Arrow: Down 929">
          <a:extLst>
            <a:ext uri="{FF2B5EF4-FFF2-40B4-BE49-F238E27FC236}">
              <a16:creationId xmlns:a16="http://schemas.microsoft.com/office/drawing/2014/main" id="{75AA1546-5881-4323-9FAD-5BCBFE87C174}"/>
            </a:ext>
          </a:extLst>
        </xdr:cNvPr>
        <xdr:cNvSpPr/>
      </xdr:nvSpPr>
      <xdr:spPr>
        <a:xfrm rot="10800000">
          <a:off x="192786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130</xdr:row>
      <xdr:rowOff>0</xdr:rowOff>
    </xdr:from>
    <xdr:to>
      <xdr:col>11</xdr:col>
      <xdr:colOff>83820</xdr:colOff>
      <xdr:row>130</xdr:row>
      <xdr:rowOff>114300</xdr:rowOff>
    </xdr:to>
    <xdr:sp macro="" textlink="">
      <xdr:nvSpPr>
        <xdr:cNvPr id="931" name="Arrow: Down 930">
          <a:extLst>
            <a:ext uri="{FF2B5EF4-FFF2-40B4-BE49-F238E27FC236}">
              <a16:creationId xmlns:a16="http://schemas.microsoft.com/office/drawing/2014/main" id="{BACA3A1A-7C48-4BC6-BE79-B1D0ED4A55DA}"/>
            </a:ext>
          </a:extLst>
        </xdr:cNvPr>
        <xdr:cNvSpPr/>
      </xdr:nvSpPr>
      <xdr:spPr>
        <a:xfrm rot="10800000">
          <a:off x="36195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130</xdr:row>
      <xdr:rowOff>0</xdr:rowOff>
    </xdr:from>
    <xdr:to>
      <xdr:col>45</xdr:col>
      <xdr:colOff>83820</xdr:colOff>
      <xdr:row>130</xdr:row>
      <xdr:rowOff>114300</xdr:rowOff>
    </xdr:to>
    <xdr:sp macro="" textlink="">
      <xdr:nvSpPr>
        <xdr:cNvPr id="933" name="Arrow: Down 932">
          <a:extLst>
            <a:ext uri="{FF2B5EF4-FFF2-40B4-BE49-F238E27FC236}">
              <a16:creationId xmlns:a16="http://schemas.microsoft.com/office/drawing/2014/main" id="{E6AEF336-24C1-4AA0-A5C7-51D2FFD202B5}"/>
            </a:ext>
          </a:extLst>
        </xdr:cNvPr>
        <xdr:cNvSpPr/>
      </xdr:nvSpPr>
      <xdr:spPr>
        <a:xfrm>
          <a:off x="104089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130</xdr:row>
      <xdr:rowOff>0</xdr:rowOff>
    </xdr:from>
    <xdr:to>
      <xdr:col>60</xdr:col>
      <xdr:colOff>83820</xdr:colOff>
      <xdr:row>130</xdr:row>
      <xdr:rowOff>114300</xdr:rowOff>
    </xdr:to>
    <xdr:sp macro="" textlink="">
      <xdr:nvSpPr>
        <xdr:cNvPr id="934" name="Arrow: Down 933">
          <a:extLst>
            <a:ext uri="{FF2B5EF4-FFF2-40B4-BE49-F238E27FC236}">
              <a16:creationId xmlns:a16="http://schemas.microsoft.com/office/drawing/2014/main" id="{1CF70B28-5AA4-4CD2-A8ED-CF639F6D5DC1}"/>
            </a:ext>
          </a:extLst>
        </xdr:cNvPr>
        <xdr:cNvSpPr/>
      </xdr:nvSpPr>
      <xdr:spPr>
        <a:xfrm rot="10800000">
          <a:off x="1517142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130</xdr:row>
      <xdr:rowOff>0</xdr:rowOff>
    </xdr:from>
    <xdr:to>
      <xdr:col>71</xdr:col>
      <xdr:colOff>83820</xdr:colOff>
      <xdr:row>130</xdr:row>
      <xdr:rowOff>114300</xdr:rowOff>
    </xdr:to>
    <xdr:sp macro="" textlink="">
      <xdr:nvSpPr>
        <xdr:cNvPr id="935" name="Arrow: Down 934">
          <a:extLst>
            <a:ext uri="{FF2B5EF4-FFF2-40B4-BE49-F238E27FC236}">
              <a16:creationId xmlns:a16="http://schemas.microsoft.com/office/drawing/2014/main" id="{6C80AC34-BF52-4C27-9279-8DBB17CA9956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131</xdr:row>
      <xdr:rowOff>0</xdr:rowOff>
    </xdr:from>
    <xdr:to>
      <xdr:col>71</xdr:col>
      <xdr:colOff>83820</xdr:colOff>
      <xdr:row>131</xdr:row>
      <xdr:rowOff>114300</xdr:rowOff>
    </xdr:to>
    <xdr:sp macro="" textlink="">
      <xdr:nvSpPr>
        <xdr:cNvPr id="942" name="Arrow: Down 941">
          <a:extLst>
            <a:ext uri="{FF2B5EF4-FFF2-40B4-BE49-F238E27FC236}">
              <a16:creationId xmlns:a16="http://schemas.microsoft.com/office/drawing/2014/main" id="{F5C4C3CB-9F9E-4FC2-892F-35F5757D4CB3}"/>
            </a:ext>
          </a:extLst>
        </xdr:cNvPr>
        <xdr:cNvSpPr/>
      </xdr:nvSpPr>
      <xdr:spPr>
        <a:xfrm rot="10800000">
          <a:off x="17487900" y="2387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131</xdr:row>
      <xdr:rowOff>0</xdr:rowOff>
    </xdr:from>
    <xdr:to>
      <xdr:col>5</xdr:col>
      <xdr:colOff>83820</xdr:colOff>
      <xdr:row>131</xdr:row>
      <xdr:rowOff>114300</xdr:rowOff>
    </xdr:to>
    <xdr:sp macro="" textlink="">
      <xdr:nvSpPr>
        <xdr:cNvPr id="943" name="Arrow: Down 942">
          <a:extLst>
            <a:ext uri="{FF2B5EF4-FFF2-40B4-BE49-F238E27FC236}">
              <a16:creationId xmlns:a16="http://schemas.microsoft.com/office/drawing/2014/main" id="{82C5EB71-1365-4F55-BA63-0F332B13F025}"/>
            </a:ext>
          </a:extLst>
        </xdr:cNvPr>
        <xdr:cNvSpPr/>
      </xdr:nvSpPr>
      <xdr:spPr>
        <a:xfrm>
          <a:off x="192786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11</xdr:col>
      <xdr:colOff>83820</xdr:colOff>
      <xdr:row>131</xdr:row>
      <xdr:rowOff>114300</xdr:rowOff>
    </xdr:to>
    <xdr:sp macro="" textlink="">
      <xdr:nvSpPr>
        <xdr:cNvPr id="945" name="Arrow: Down 944">
          <a:extLst>
            <a:ext uri="{FF2B5EF4-FFF2-40B4-BE49-F238E27FC236}">
              <a16:creationId xmlns:a16="http://schemas.microsoft.com/office/drawing/2014/main" id="{798A4C7C-B34F-41B8-8F87-A6501E65B955}"/>
            </a:ext>
          </a:extLst>
        </xdr:cNvPr>
        <xdr:cNvSpPr/>
      </xdr:nvSpPr>
      <xdr:spPr>
        <a:xfrm>
          <a:off x="3619500" y="240563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24</xdr:col>
      <xdr:colOff>0</xdr:colOff>
      <xdr:row>131</xdr:row>
      <xdr:rowOff>0</xdr:rowOff>
    </xdr:from>
    <xdr:to>
      <xdr:col>24</xdr:col>
      <xdr:colOff>83820</xdr:colOff>
      <xdr:row>131</xdr:row>
      <xdr:rowOff>114300</xdr:rowOff>
    </xdr:to>
    <xdr:sp macro="" textlink="">
      <xdr:nvSpPr>
        <xdr:cNvPr id="947" name="Arrow: Down 946">
          <a:extLst>
            <a:ext uri="{FF2B5EF4-FFF2-40B4-BE49-F238E27FC236}">
              <a16:creationId xmlns:a16="http://schemas.microsoft.com/office/drawing/2014/main" id="{BA3E8431-5EFE-4B64-95A2-E998E7286716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131</xdr:row>
      <xdr:rowOff>0</xdr:rowOff>
    </xdr:from>
    <xdr:to>
      <xdr:col>39</xdr:col>
      <xdr:colOff>83820</xdr:colOff>
      <xdr:row>131</xdr:row>
      <xdr:rowOff>114300</xdr:rowOff>
    </xdr:to>
    <xdr:sp macro="" textlink="">
      <xdr:nvSpPr>
        <xdr:cNvPr id="949" name="Arrow: Down 948">
          <a:extLst>
            <a:ext uri="{FF2B5EF4-FFF2-40B4-BE49-F238E27FC236}">
              <a16:creationId xmlns:a16="http://schemas.microsoft.com/office/drawing/2014/main" id="{8F134282-D617-4337-AB6C-21FC0E18AEAE}"/>
            </a:ext>
          </a:extLst>
        </xdr:cNvPr>
        <xdr:cNvSpPr/>
      </xdr:nvSpPr>
      <xdr:spPr>
        <a:xfrm rot="10800000">
          <a:off x="860298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131</xdr:row>
      <xdr:rowOff>0</xdr:rowOff>
    </xdr:from>
    <xdr:to>
      <xdr:col>45</xdr:col>
      <xdr:colOff>83820</xdr:colOff>
      <xdr:row>131</xdr:row>
      <xdr:rowOff>114300</xdr:rowOff>
    </xdr:to>
    <xdr:sp macro="" textlink="">
      <xdr:nvSpPr>
        <xdr:cNvPr id="950" name="Arrow: Down 949">
          <a:extLst>
            <a:ext uri="{FF2B5EF4-FFF2-40B4-BE49-F238E27FC236}">
              <a16:creationId xmlns:a16="http://schemas.microsoft.com/office/drawing/2014/main" id="{FB79ED6E-C590-4226-8F0F-50ED2C639565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131</xdr:row>
      <xdr:rowOff>0</xdr:rowOff>
    </xdr:from>
    <xdr:to>
      <xdr:col>60</xdr:col>
      <xdr:colOff>83820</xdr:colOff>
      <xdr:row>131</xdr:row>
      <xdr:rowOff>114300</xdr:rowOff>
    </xdr:to>
    <xdr:sp macro="" textlink="">
      <xdr:nvSpPr>
        <xdr:cNvPr id="951" name="Arrow: Down 950">
          <a:extLst>
            <a:ext uri="{FF2B5EF4-FFF2-40B4-BE49-F238E27FC236}">
              <a16:creationId xmlns:a16="http://schemas.microsoft.com/office/drawing/2014/main" id="{F644306C-A8ED-4422-9BA1-CD315F959042}"/>
            </a:ext>
          </a:extLst>
        </xdr:cNvPr>
        <xdr:cNvSpPr/>
      </xdr:nvSpPr>
      <xdr:spPr>
        <a:xfrm>
          <a:off x="151714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132</xdr:row>
      <xdr:rowOff>0</xdr:rowOff>
    </xdr:from>
    <xdr:to>
      <xdr:col>71</xdr:col>
      <xdr:colOff>83820</xdr:colOff>
      <xdr:row>132</xdr:row>
      <xdr:rowOff>114300</xdr:rowOff>
    </xdr:to>
    <xdr:sp macro="" textlink="">
      <xdr:nvSpPr>
        <xdr:cNvPr id="905" name="Arrow: Down 904">
          <a:extLst>
            <a:ext uri="{FF2B5EF4-FFF2-40B4-BE49-F238E27FC236}">
              <a16:creationId xmlns:a16="http://schemas.microsoft.com/office/drawing/2014/main" id="{5BFF27EB-D88F-4441-AB7F-D310292F7004}"/>
            </a:ext>
          </a:extLst>
        </xdr:cNvPr>
        <xdr:cNvSpPr/>
      </xdr:nvSpPr>
      <xdr:spPr>
        <a:xfrm rot="10800000">
          <a:off x="1748790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132</xdr:row>
      <xdr:rowOff>0</xdr:rowOff>
    </xdr:from>
    <xdr:to>
      <xdr:col>24</xdr:col>
      <xdr:colOff>83820</xdr:colOff>
      <xdr:row>132</xdr:row>
      <xdr:rowOff>114300</xdr:rowOff>
    </xdr:to>
    <xdr:sp macro="" textlink="">
      <xdr:nvSpPr>
        <xdr:cNvPr id="910" name="Arrow: Down 909">
          <a:extLst>
            <a:ext uri="{FF2B5EF4-FFF2-40B4-BE49-F238E27FC236}">
              <a16:creationId xmlns:a16="http://schemas.microsoft.com/office/drawing/2014/main" id="{B950D360-7AA3-4945-BF0F-2ED3D50A52BA}"/>
            </a:ext>
          </a:extLst>
        </xdr:cNvPr>
        <xdr:cNvSpPr/>
      </xdr:nvSpPr>
      <xdr:spPr>
        <a:xfrm rot="10800000">
          <a:off x="5440680" y="2405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132</xdr:row>
      <xdr:rowOff>0</xdr:rowOff>
    </xdr:from>
    <xdr:to>
      <xdr:col>45</xdr:col>
      <xdr:colOff>83820</xdr:colOff>
      <xdr:row>132</xdr:row>
      <xdr:rowOff>114300</xdr:rowOff>
    </xdr:to>
    <xdr:sp macro="" textlink="">
      <xdr:nvSpPr>
        <xdr:cNvPr id="914" name="Arrow: Down 913">
          <a:extLst>
            <a:ext uri="{FF2B5EF4-FFF2-40B4-BE49-F238E27FC236}">
              <a16:creationId xmlns:a16="http://schemas.microsoft.com/office/drawing/2014/main" id="{2F59DA43-F82C-4505-9493-B95008826986}"/>
            </a:ext>
          </a:extLst>
        </xdr:cNvPr>
        <xdr:cNvSpPr/>
      </xdr:nvSpPr>
      <xdr:spPr>
        <a:xfrm rot="10800000">
          <a:off x="10408920" y="2405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132</xdr:row>
      <xdr:rowOff>0</xdr:rowOff>
    </xdr:from>
    <xdr:to>
      <xdr:col>5</xdr:col>
      <xdr:colOff>83820</xdr:colOff>
      <xdr:row>132</xdr:row>
      <xdr:rowOff>114300</xdr:rowOff>
    </xdr:to>
    <xdr:sp macro="" textlink="">
      <xdr:nvSpPr>
        <xdr:cNvPr id="920" name="Arrow: Down 919">
          <a:extLst>
            <a:ext uri="{FF2B5EF4-FFF2-40B4-BE49-F238E27FC236}">
              <a16:creationId xmlns:a16="http://schemas.microsoft.com/office/drawing/2014/main" id="{FC85FDAA-571D-4194-BC33-08EF7F974626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132</xdr:row>
      <xdr:rowOff>0</xdr:rowOff>
    </xdr:from>
    <xdr:to>
      <xdr:col>11</xdr:col>
      <xdr:colOff>83820</xdr:colOff>
      <xdr:row>132</xdr:row>
      <xdr:rowOff>114300</xdr:rowOff>
    </xdr:to>
    <xdr:sp macro="" textlink="">
      <xdr:nvSpPr>
        <xdr:cNvPr id="922" name="Arrow: Down 921">
          <a:extLst>
            <a:ext uri="{FF2B5EF4-FFF2-40B4-BE49-F238E27FC236}">
              <a16:creationId xmlns:a16="http://schemas.microsoft.com/office/drawing/2014/main" id="{831C8D46-2878-4039-83E2-C2F0DCBAF177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132</xdr:row>
      <xdr:rowOff>0</xdr:rowOff>
    </xdr:from>
    <xdr:to>
      <xdr:col>60</xdr:col>
      <xdr:colOff>83820</xdr:colOff>
      <xdr:row>132</xdr:row>
      <xdr:rowOff>114300</xdr:rowOff>
    </xdr:to>
    <xdr:sp macro="" textlink="">
      <xdr:nvSpPr>
        <xdr:cNvPr id="925" name="Arrow: Down 924">
          <a:extLst>
            <a:ext uri="{FF2B5EF4-FFF2-40B4-BE49-F238E27FC236}">
              <a16:creationId xmlns:a16="http://schemas.microsoft.com/office/drawing/2014/main" id="{C422C019-AE84-4DF7-92ED-5752E66A7851}"/>
            </a:ext>
          </a:extLst>
        </xdr:cNvPr>
        <xdr:cNvSpPr/>
      </xdr:nvSpPr>
      <xdr:spPr>
        <a:xfrm rot="10800000">
          <a:off x="1517142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133</xdr:row>
      <xdr:rowOff>0</xdr:rowOff>
    </xdr:from>
    <xdr:to>
      <xdr:col>71</xdr:col>
      <xdr:colOff>83820</xdr:colOff>
      <xdr:row>133</xdr:row>
      <xdr:rowOff>114300</xdr:rowOff>
    </xdr:to>
    <xdr:sp macro="" textlink="">
      <xdr:nvSpPr>
        <xdr:cNvPr id="926" name="Arrow: Down 925">
          <a:extLst>
            <a:ext uri="{FF2B5EF4-FFF2-40B4-BE49-F238E27FC236}">
              <a16:creationId xmlns:a16="http://schemas.microsoft.com/office/drawing/2014/main" id="{2D5C0CBC-0566-400B-B683-3D54C6126459}"/>
            </a:ext>
          </a:extLst>
        </xdr:cNvPr>
        <xdr:cNvSpPr/>
      </xdr:nvSpPr>
      <xdr:spPr>
        <a:xfrm rot="10800000">
          <a:off x="174879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133</xdr:row>
      <xdr:rowOff>0</xdr:rowOff>
    </xdr:from>
    <xdr:to>
      <xdr:col>24</xdr:col>
      <xdr:colOff>83820</xdr:colOff>
      <xdr:row>133</xdr:row>
      <xdr:rowOff>114300</xdr:rowOff>
    </xdr:to>
    <xdr:sp macro="" textlink="">
      <xdr:nvSpPr>
        <xdr:cNvPr id="927" name="Arrow: Down 926">
          <a:extLst>
            <a:ext uri="{FF2B5EF4-FFF2-40B4-BE49-F238E27FC236}">
              <a16:creationId xmlns:a16="http://schemas.microsoft.com/office/drawing/2014/main" id="{F973CDAE-E223-4291-B6B6-EDD891CD0F49}"/>
            </a:ext>
          </a:extLst>
        </xdr:cNvPr>
        <xdr:cNvSpPr/>
      </xdr:nvSpPr>
      <xdr:spPr>
        <a:xfrm rot="10800000">
          <a:off x="54406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133</xdr:row>
      <xdr:rowOff>0</xdr:rowOff>
    </xdr:from>
    <xdr:to>
      <xdr:col>45</xdr:col>
      <xdr:colOff>83820</xdr:colOff>
      <xdr:row>133</xdr:row>
      <xdr:rowOff>114300</xdr:rowOff>
    </xdr:to>
    <xdr:sp macro="" textlink="">
      <xdr:nvSpPr>
        <xdr:cNvPr id="929" name="Arrow: Down 928">
          <a:extLst>
            <a:ext uri="{FF2B5EF4-FFF2-40B4-BE49-F238E27FC236}">
              <a16:creationId xmlns:a16="http://schemas.microsoft.com/office/drawing/2014/main" id="{AEB2F782-9419-45F5-9A27-2042E1202678}"/>
            </a:ext>
          </a:extLst>
        </xdr:cNvPr>
        <xdr:cNvSpPr/>
      </xdr:nvSpPr>
      <xdr:spPr>
        <a:xfrm rot="10800000">
          <a:off x="10408920" y="2423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133</xdr:row>
      <xdr:rowOff>0</xdr:rowOff>
    </xdr:from>
    <xdr:to>
      <xdr:col>5</xdr:col>
      <xdr:colOff>83820</xdr:colOff>
      <xdr:row>133</xdr:row>
      <xdr:rowOff>114300</xdr:rowOff>
    </xdr:to>
    <xdr:sp macro="" textlink="">
      <xdr:nvSpPr>
        <xdr:cNvPr id="932" name="Arrow: Down 931">
          <a:extLst>
            <a:ext uri="{FF2B5EF4-FFF2-40B4-BE49-F238E27FC236}">
              <a16:creationId xmlns:a16="http://schemas.microsoft.com/office/drawing/2014/main" id="{26848534-4843-481B-B175-2D2F791F4A2B}"/>
            </a:ext>
          </a:extLst>
        </xdr:cNvPr>
        <xdr:cNvSpPr/>
      </xdr:nvSpPr>
      <xdr:spPr>
        <a:xfrm rot="10800000">
          <a:off x="192786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133</xdr:row>
      <xdr:rowOff>0</xdr:rowOff>
    </xdr:from>
    <xdr:to>
      <xdr:col>11</xdr:col>
      <xdr:colOff>83820</xdr:colOff>
      <xdr:row>133</xdr:row>
      <xdr:rowOff>114300</xdr:rowOff>
    </xdr:to>
    <xdr:sp macro="" textlink="">
      <xdr:nvSpPr>
        <xdr:cNvPr id="936" name="Arrow: Down 935">
          <a:extLst>
            <a:ext uri="{FF2B5EF4-FFF2-40B4-BE49-F238E27FC236}">
              <a16:creationId xmlns:a16="http://schemas.microsoft.com/office/drawing/2014/main" id="{A86F3D38-EEAE-478D-A713-A64972E3EBDF}"/>
            </a:ext>
          </a:extLst>
        </xdr:cNvPr>
        <xdr:cNvSpPr/>
      </xdr:nvSpPr>
      <xdr:spPr>
        <a:xfrm rot="10800000">
          <a:off x="361950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133</xdr:row>
      <xdr:rowOff>0</xdr:rowOff>
    </xdr:from>
    <xdr:to>
      <xdr:col>39</xdr:col>
      <xdr:colOff>83820</xdr:colOff>
      <xdr:row>133</xdr:row>
      <xdr:rowOff>114300</xdr:rowOff>
    </xdr:to>
    <xdr:sp macro="" textlink="">
      <xdr:nvSpPr>
        <xdr:cNvPr id="884" name="Arrow: Down 883">
          <a:extLst>
            <a:ext uri="{FF2B5EF4-FFF2-40B4-BE49-F238E27FC236}">
              <a16:creationId xmlns:a16="http://schemas.microsoft.com/office/drawing/2014/main" id="{C105BF7C-3670-4234-80EF-F560379D0776}"/>
            </a:ext>
          </a:extLst>
        </xdr:cNvPr>
        <xdr:cNvSpPr/>
      </xdr:nvSpPr>
      <xdr:spPr>
        <a:xfrm rot="10800000">
          <a:off x="860298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134</xdr:row>
      <xdr:rowOff>0</xdr:rowOff>
    </xdr:from>
    <xdr:to>
      <xdr:col>71</xdr:col>
      <xdr:colOff>83820</xdr:colOff>
      <xdr:row>134</xdr:row>
      <xdr:rowOff>114300</xdr:rowOff>
    </xdr:to>
    <xdr:sp macro="" textlink="">
      <xdr:nvSpPr>
        <xdr:cNvPr id="896" name="Arrow: Down 895">
          <a:extLst>
            <a:ext uri="{FF2B5EF4-FFF2-40B4-BE49-F238E27FC236}">
              <a16:creationId xmlns:a16="http://schemas.microsoft.com/office/drawing/2014/main" id="{3FEAB35D-4BA1-48B4-898C-8F9A35E00146}"/>
            </a:ext>
          </a:extLst>
        </xdr:cNvPr>
        <xdr:cNvSpPr/>
      </xdr:nvSpPr>
      <xdr:spPr>
        <a:xfrm rot="10800000">
          <a:off x="17487900" y="2442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134</xdr:row>
      <xdr:rowOff>0</xdr:rowOff>
    </xdr:from>
    <xdr:to>
      <xdr:col>45</xdr:col>
      <xdr:colOff>83820</xdr:colOff>
      <xdr:row>134</xdr:row>
      <xdr:rowOff>114300</xdr:rowOff>
    </xdr:to>
    <xdr:sp macro="" textlink="">
      <xdr:nvSpPr>
        <xdr:cNvPr id="901" name="Arrow: Down 900">
          <a:extLst>
            <a:ext uri="{FF2B5EF4-FFF2-40B4-BE49-F238E27FC236}">
              <a16:creationId xmlns:a16="http://schemas.microsoft.com/office/drawing/2014/main" id="{5A44782A-26AA-4E4A-BEB6-1BEA584BFB63}"/>
            </a:ext>
          </a:extLst>
        </xdr:cNvPr>
        <xdr:cNvSpPr/>
      </xdr:nvSpPr>
      <xdr:spPr>
        <a:xfrm rot="10800000">
          <a:off x="104089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133</xdr:row>
      <xdr:rowOff>0</xdr:rowOff>
    </xdr:from>
    <xdr:to>
      <xdr:col>60</xdr:col>
      <xdr:colOff>83820</xdr:colOff>
      <xdr:row>133</xdr:row>
      <xdr:rowOff>114300</xdr:rowOff>
    </xdr:to>
    <xdr:sp macro="" textlink="">
      <xdr:nvSpPr>
        <xdr:cNvPr id="911" name="Arrow: Down 910">
          <a:extLst>
            <a:ext uri="{FF2B5EF4-FFF2-40B4-BE49-F238E27FC236}">
              <a16:creationId xmlns:a16="http://schemas.microsoft.com/office/drawing/2014/main" id="{4561E233-4C88-4647-8289-DE3F51B3DE5D}"/>
            </a:ext>
          </a:extLst>
        </xdr:cNvPr>
        <xdr:cNvSpPr/>
      </xdr:nvSpPr>
      <xdr:spPr>
        <a:xfrm>
          <a:off x="15171420" y="24422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134</xdr:row>
      <xdr:rowOff>0</xdr:rowOff>
    </xdr:from>
    <xdr:to>
      <xdr:col>60</xdr:col>
      <xdr:colOff>83820</xdr:colOff>
      <xdr:row>134</xdr:row>
      <xdr:rowOff>114300</xdr:rowOff>
    </xdr:to>
    <xdr:sp macro="" textlink="">
      <xdr:nvSpPr>
        <xdr:cNvPr id="919" name="Arrow: Down 918">
          <a:extLst>
            <a:ext uri="{FF2B5EF4-FFF2-40B4-BE49-F238E27FC236}">
              <a16:creationId xmlns:a16="http://schemas.microsoft.com/office/drawing/2014/main" id="{0D40452A-0C40-421C-8DE3-44FC12982A5D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134</xdr:row>
      <xdr:rowOff>0</xdr:rowOff>
    </xdr:from>
    <xdr:to>
      <xdr:col>24</xdr:col>
      <xdr:colOff>83820</xdr:colOff>
      <xdr:row>134</xdr:row>
      <xdr:rowOff>114300</xdr:rowOff>
    </xdr:to>
    <xdr:sp macro="" textlink="">
      <xdr:nvSpPr>
        <xdr:cNvPr id="938" name="Arrow: Down 937">
          <a:extLst>
            <a:ext uri="{FF2B5EF4-FFF2-40B4-BE49-F238E27FC236}">
              <a16:creationId xmlns:a16="http://schemas.microsoft.com/office/drawing/2014/main" id="{A9F281D0-5162-4661-8F92-F6A2AA509EFB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132</xdr:row>
      <xdr:rowOff>0</xdr:rowOff>
    </xdr:from>
    <xdr:to>
      <xdr:col>39</xdr:col>
      <xdr:colOff>83820</xdr:colOff>
      <xdr:row>132</xdr:row>
      <xdr:rowOff>114300</xdr:rowOff>
    </xdr:to>
    <xdr:sp macro="" textlink="">
      <xdr:nvSpPr>
        <xdr:cNvPr id="939" name="Arrow: Down 938">
          <a:extLst>
            <a:ext uri="{FF2B5EF4-FFF2-40B4-BE49-F238E27FC236}">
              <a16:creationId xmlns:a16="http://schemas.microsoft.com/office/drawing/2014/main" id="{E122B298-BA72-4583-8366-955CC0905BAD}"/>
            </a:ext>
          </a:extLst>
        </xdr:cNvPr>
        <xdr:cNvSpPr/>
      </xdr:nvSpPr>
      <xdr:spPr>
        <a:xfrm>
          <a:off x="8602980" y="2423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134</xdr:row>
      <xdr:rowOff>0</xdr:rowOff>
    </xdr:from>
    <xdr:to>
      <xdr:col>39</xdr:col>
      <xdr:colOff>83820</xdr:colOff>
      <xdr:row>134</xdr:row>
      <xdr:rowOff>114300</xdr:rowOff>
    </xdr:to>
    <xdr:sp macro="" textlink="">
      <xdr:nvSpPr>
        <xdr:cNvPr id="940" name="Arrow: Down 939">
          <a:extLst>
            <a:ext uri="{FF2B5EF4-FFF2-40B4-BE49-F238E27FC236}">
              <a16:creationId xmlns:a16="http://schemas.microsoft.com/office/drawing/2014/main" id="{6167F5C5-9CBB-409D-BF9E-2CB0388F49F8}"/>
            </a:ext>
          </a:extLst>
        </xdr:cNvPr>
        <xdr:cNvSpPr/>
      </xdr:nvSpPr>
      <xdr:spPr>
        <a:xfrm>
          <a:off x="860298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134</xdr:row>
      <xdr:rowOff>0</xdr:rowOff>
    </xdr:from>
    <xdr:to>
      <xdr:col>5</xdr:col>
      <xdr:colOff>83820</xdr:colOff>
      <xdr:row>134</xdr:row>
      <xdr:rowOff>114300</xdr:rowOff>
    </xdr:to>
    <xdr:sp macro="" textlink="">
      <xdr:nvSpPr>
        <xdr:cNvPr id="941" name="Arrow: Down 940">
          <a:extLst>
            <a:ext uri="{FF2B5EF4-FFF2-40B4-BE49-F238E27FC236}">
              <a16:creationId xmlns:a16="http://schemas.microsoft.com/office/drawing/2014/main" id="{7861C316-60C3-4B38-A575-D7F3BB145450}"/>
            </a:ext>
          </a:extLst>
        </xdr:cNvPr>
        <xdr:cNvSpPr/>
      </xdr:nvSpPr>
      <xdr:spPr>
        <a:xfrm>
          <a:off x="192786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134</xdr:row>
      <xdr:rowOff>0</xdr:rowOff>
    </xdr:from>
    <xdr:to>
      <xdr:col>11</xdr:col>
      <xdr:colOff>83820</xdr:colOff>
      <xdr:row>134</xdr:row>
      <xdr:rowOff>114300</xdr:rowOff>
    </xdr:to>
    <xdr:sp macro="" textlink="">
      <xdr:nvSpPr>
        <xdr:cNvPr id="944" name="Arrow: Down 943">
          <a:extLst>
            <a:ext uri="{FF2B5EF4-FFF2-40B4-BE49-F238E27FC236}">
              <a16:creationId xmlns:a16="http://schemas.microsoft.com/office/drawing/2014/main" id="{A77CD41D-4FB6-481C-B650-731F3F9EB8F2}"/>
            </a:ext>
          </a:extLst>
        </xdr:cNvPr>
        <xdr:cNvSpPr/>
      </xdr:nvSpPr>
      <xdr:spPr>
        <a:xfrm>
          <a:off x="3619500" y="246049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71</xdr:col>
      <xdr:colOff>0</xdr:colOff>
      <xdr:row>135</xdr:row>
      <xdr:rowOff>0</xdr:rowOff>
    </xdr:from>
    <xdr:to>
      <xdr:col>71</xdr:col>
      <xdr:colOff>83820</xdr:colOff>
      <xdr:row>135</xdr:row>
      <xdr:rowOff>114300</xdr:rowOff>
    </xdr:to>
    <xdr:sp macro="" textlink="">
      <xdr:nvSpPr>
        <xdr:cNvPr id="897" name="Arrow: Down 896">
          <a:extLst>
            <a:ext uri="{FF2B5EF4-FFF2-40B4-BE49-F238E27FC236}">
              <a16:creationId xmlns:a16="http://schemas.microsoft.com/office/drawing/2014/main" id="{E5E7277F-0F90-43CF-9C52-B082572DA1AE}"/>
            </a:ext>
          </a:extLst>
        </xdr:cNvPr>
        <xdr:cNvSpPr/>
      </xdr:nvSpPr>
      <xdr:spPr>
        <a:xfrm rot="10800000">
          <a:off x="17487900" y="2460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135</xdr:row>
      <xdr:rowOff>0</xdr:rowOff>
    </xdr:from>
    <xdr:to>
      <xdr:col>45</xdr:col>
      <xdr:colOff>83820</xdr:colOff>
      <xdr:row>135</xdr:row>
      <xdr:rowOff>114300</xdr:rowOff>
    </xdr:to>
    <xdr:sp macro="" textlink="">
      <xdr:nvSpPr>
        <xdr:cNvPr id="899" name="Arrow: Down 898">
          <a:extLst>
            <a:ext uri="{FF2B5EF4-FFF2-40B4-BE49-F238E27FC236}">
              <a16:creationId xmlns:a16="http://schemas.microsoft.com/office/drawing/2014/main" id="{6225F419-F9A3-4AB7-8C5B-68E3C8CA7EA6}"/>
            </a:ext>
          </a:extLst>
        </xdr:cNvPr>
        <xdr:cNvSpPr/>
      </xdr:nvSpPr>
      <xdr:spPr>
        <a:xfrm rot="10800000">
          <a:off x="104089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135</xdr:row>
      <xdr:rowOff>0</xdr:rowOff>
    </xdr:from>
    <xdr:to>
      <xdr:col>60</xdr:col>
      <xdr:colOff>83820</xdr:colOff>
      <xdr:row>135</xdr:row>
      <xdr:rowOff>114300</xdr:rowOff>
    </xdr:to>
    <xdr:sp macro="" textlink="">
      <xdr:nvSpPr>
        <xdr:cNvPr id="903" name="Arrow: Down 902">
          <a:extLst>
            <a:ext uri="{FF2B5EF4-FFF2-40B4-BE49-F238E27FC236}">
              <a16:creationId xmlns:a16="http://schemas.microsoft.com/office/drawing/2014/main" id="{2ACE09DD-A193-4CFD-97BC-143C4EA6FF27}"/>
            </a:ext>
          </a:extLst>
        </xdr:cNvPr>
        <xdr:cNvSpPr/>
      </xdr:nvSpPr>
      <xdr:spPr>
        <a:xfrm>
          <a:off x="1517142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135</xdr:row>
      <xdr:rowOff>0</xdr:rowOff>
    </xdr:from>
    <xdr:to>
      <xdr:col>24</xdr:col>
      <xdr:colOff>83820</xdr:colOff>
      <xdr:row>135</xdr:row>
      <xdr:rowOff>114300</xdr:rowOff>
    </xdr:to>
    <xdr:sp macro="" textlink="">
      <xdr:nvSpPr>
        <xdr:cNvPr id="904" name="Arrow: Down 903">
          <a:extLst>
            <a:ext uri="{FF2B5EF4-FFF2-40B4-BE49-F238E27FC236}">
              <a16:creationId xmlns:a16="http://schemas.microsoft.com/office/drawing/2014/main" id="{489EA61F-271C-404D-8A96-893EB033F564}"/>
            </a:ext>
          </a:extLst>
        </xdr:cNvPr>
        <xdr:cNvSpPr/>
      </xdr:nvSpPr>
      <xdr:spPr>
        <a:xfrm>
          <a:off x="5440680" y="2460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135</xdr:row>
      <xdr:rowOff>0</xdr:rowOff>
    </xdr:from>
    <xdr:to>
      <xdr:col>39</xdr:col>
      <xdr:colOff>83820</xdr:colOff>
      <xdr:row>135</xdr:row>
      <xdr:rowOff>114300</xdr:rowOff>
    </xdr:to>
    <xdr:sp macro="" textlink="">
      <xdr:nvSpPr>
        <xdr:cNvPr id="923" name="Arrow: Down 922">
          <a:extLst>
            <a:ext uri="{FF2B5EF4-FFF2-40B4-BE49-F238E27FC236}">
              <a16:creationId xmlns:a16="http://schemas.microsoft.com/office/drawing/2014/main" id="{D39132F5-39D1-4161-874C-D16D78C88F81}"/>
            </a:ext>
          </a:extLst>
        </xdr:cNvPr>
        <xdr:cNvSpPr/>
      </xdr:nvSpPr>
      <xdr:spPr>
        <a:xfrm rot="10800000">
          <a:off x="86029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135</xdr:row>
      <xdr:rowOff>0</xdr:rowOff>
    </xdr:from>
    <xdr:to>
      <xdr:col>5</xdr:col>
      <xdr:colOff>83820</xdr:colOff>
      <xdr:row>135</xdr:row>
      <xdr:rowOff>114300</xdr:rowOff>
    </xdr:to>
    <xdr:sp macro="" textlink="">
      <xdr:nvSpPr>
        <xdr:cNvPr id="937" name="Arrow: Down 936">
          <a:extLst>
            <a:ext uri="{FF2B5EF4-FFF2-40B4-BE49-F238E27FC236}">
              <a16:creationId xmlns:a16="http://schemas.microsoft.com/office/drawing/2014/main" id="{FA5E8A1B-FF56-4C2C-B6EC-08DC4EFE5767}"/>
            </a:ext>
          </a:extLst>
        </xdr:cNvPr>
        <xdr:cNvSpPr/>
      </xdr:nvSpPr>
      <xdr:spPr>
        <a:xfrm rot="10800000">
          <a:off x="192786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135</xdr:row>
      <xdr:rowOff>0</xdr:rowOff>
    </xdr:from>
    <xdr:to>
      <xdr:col>11</xdr:col>
      <xdr:colOff>83820</xdr:colOff>
      <xdr:row>135</xdr:row>
      <xdr:rowOff>114300</xdr:rowOff>
    </xdr:to>
    <xdr:sp macro="" textlink="">
      <xdr:nvSpPr>
        <xdr:cNvPr id="948" name="Arrow: Down 947">
          <a:extLst>
            <a:ext uri="{FF2B5EF4-FFF2-40B4-BE49-F238E27FC236}">
              <a16:creationId xmlns:a16="http://schemas.microsoft.com/office/drawing/2014/main" id="{07726441-2854-4651-9128-D309E27B5488}"/>
            </a:ext>
          </a:extLst>
        </xdr:cNvPr>
        <xdr:cNvSpPr/>
      </xdr:nvSpPr>
      <xdr:spPr>
        <a:xfrm rot="10800000">
          <a:off x="36195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136</xdr:row>
      <xdr:rowOff>0</xdr:rowOff>
    </xdr:from>
    <xdr:to>
      <xdr:col>71</xdr:col>
      <xdr:colOff>83820</xdr:colOff>
      <xdr:row>136</xdr:row>
      <xdr:rowOff>114300</xdr:rowOff>
    </xdr:to>
    <xdr:sp macro="" textlink="">
      <xdr:nvSpPr>
        <xdr:cNvPr id="952" name="Arrow: Down 951">
          <a:extLst>
            <a:ext uri="{FF2B5EF4-FFF2-40B4-BE49-F238E27FC236}">
              <a16:creationId xmlns:a16="http://schemas.microsoft.com/office/drawing/2014/main" id="{6297BF48-7D58-4497-95CE-2B22157D064B}"/>
            </a:ext>
          </a:extLst>
        </xdr:cNvPr>
        <xdr:cNvSpPr/>
      </xdr:nvSpPr>
      <xdr:spPr>
        <a:xfrm rot="10800000">
          <a:off x="17487900" y="2478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136</xdr:row>
      <xdr:rowOff>0</xdr:rowOff>
    </xdr:from>
    <xdr:to>
      <xdr:col>45</xdr:col>
      <xdr:colOff>83820</xdr:colOff>
      <xdr:row>136</xdr:row>
      <xdr:rowOff>114300</xdr:rowOff>
    </xdr:to>
    <xdr:sp macro="" textlink="">
      <xdr:nvSpPr>
        <xdr:cNvPr id="953" name="Arrow: Down 952">
          <a:extLst>
            <a:ext uri="{FF2B5EF4-FFF2-40B4-BE49-F238E27FC236}">
              <a16:creationId xmlns:a16="http://schemas.microsoft.com/office/drawing/2014/main" id="{C8E91A0C-6135-4DBD-B2CD-0C6E0E663EBF}"/>
            </a:ext>
          </a:extLst>
        </xdr:cNvPr>
        <xdr:cNvSpPr/>
      </xdr:nvSpPr>
      <xdr:spPr>
        <a:xfrm rot="10800000">
          <a:off x="1040892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136</xdr:row>
      <xdr:rowOff>0</xdr:rowOff>
    </xdr:from>
    <xdr:to>
      <xdr:col>24</xdr:col>
      <xdr:colOff>83820</xdr:colOff>
      <xdr:row>136</xdr:row>
      <xdr:rowOff>114300</xdr:rowOff>
    </xdr:to>
    <xdr:sp macro="" textlink="">
      <xdr:nvSpPr>
        <xdr:cNvPr id="955" name="Arrow: Down 954">
          <a:extLst>
            <a:ext uri="{FF2B5EF4-FFF2-40B4-BE49-F238E27FC236}">
              <a16:creationId xmlns:a16="http://schemas.microsoft.com/office/drawing/2014/main" id="{F5D6801C-6E0E-41E3-940A-11AC87DA4944}"/>
            </a:ext>
          </a:extLst>
        </xdr:cNvPr>
        <xdr:cNvSpPr/>
      </xdr:nvSpPr>
      <xdr:spPr>
        <a:xfrm>
          <a:off x="5440680" y="2478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136</xdr:row>
      <xdr:rowOff>0</xdr:rowOff>
    </xdr:from>
    <xdr:to>
      <xdr:col>5</xdr:col>
      <xdr:colOff>83820</xdr:colOff>
      <xdr:row>136</xdr:row>
      <xdr:rowOff>114300</xdr:rowOff>
    </xdr:to>
    <xdr:sp macro="" textlink="">
      <xdr:nvSpPr>
        <xdr:cNvPr id="959" name="Arrow: Down 958">
          <a:extLst>
            <a:ext uri="{FF2B5EF4-FFF2-40B4-BE49-F238E27FC236}">
              <a16:creationId xmlns:a16="http://schemas.microsoft.com/office/drawing/2014/main" id="{ADA19A95-1495-429B-9EFE-0B159978C279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136</xdr:row>
      <xdr:rowOff>0</xdr:rowOff>
    </xdr:from>
    <xdr:to>
      <xdr:col>11</xdr:col>
      <xdr:colOff>83820</xdr:colOff>
      <xdr:row>136</xdr:row>
      <xdr:rowOff>114300</xdr:rowOff>
    </xdr:to>
    <xdr:sp macro="" textlink="">
      <xdr:nvSpPr>
        <xdr:cNvPr id="960" name="Arrow: Down 959">
          <a:extLst>
            <a:ext uri="{FF2B5EF4-FFF2-40B4-BE49-F238E27FC236}">
              <a16:creationId xmlns:a16="http://schemas.microsoft.com/office/drawing/2014/main" id="{4F5597C6-BBCB-49ED-9811-09FEAF98BD9B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60</xdr:col>
      <xdr:colOff>0</xdr:colOff>
      <xdr:row>136</xdr:row>
      <xdr:rowOff>0</xdr:rowOff>
    </xdr:from>
    <xdr:to>
      <xdr:col>60</xdr:col>
      <xdr:colOff>83820</xdr:colOff>
      <xdr:row>136</xdr:row>
      <xdr:rowOff>114300</xdr:rowOff>
    </xdr:to>
    <xdr:sp macro="" textlink="">
      <xdr:nvSpPr>
        <xdr:cNvPr id="961" name="Arrow: Down 960">
          <a:extLst>
            <a:ext uri="{FF2B5EF4-FFF2-40B4-BE49-F238E27FC236}">
              <a16:creationId xmlns:a16="http://schemas.microsoft.com/office/drawing/2014/main" id="{4B11E9E8-1A21-4D04-A6AE-4D0E461618BB}"/>
            </a:ext>
          </a:extLst>
        </xdr:cNvPr>
        <xdr:cNvSpPr/>
      </xdr:nvSpPr>
      <xdr:spPr>
        <a:xfrm rot="10800000">
          <a:off x="1517142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136</xdr:row>
      <xdr:rowOff>0</xdr:rowOff>
    </xdr:from>
    <xdr:to>
      <xdr:col>39</xdr:col>
      <xdr:colOff>83820</xdr:colOff>
      <xdr:row>136</xdr:row>
      <xdr:rowOff>114300</xdr:rowOff>
    </xdr:to>
    <xdr:sp macro="" textlink="">
      <xdr:nvSpPr>
        <xdr:cNvPr id="963" name="Arrow: Down 962">
          <a:extLst>
            <a:ext uri="{FF2B5EF4-FFF2-40B4-BE49-F238E27FC236}">
              <a16:creationId xmlns:a16="http://schemas.microsoft.com/office/drawing/2014/main" id="{503FBD47-EE66-432C-B2CF-117D04425E97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137</xdr:row>
      <xdr:rowOff>0</xdr:rowOff>
    </xdr:from>
    <xdr:to>
      <xdr:col>24</xdr:col>
      <xdr:colOff>83820</xdr:colOff>
      <xdr:row>137</xdr:row>
      <xdr:rowOff>114300</xdr:rowOff>
    </xdr:to>
    <xdr:sp macro="" textlink="">
      <xdr:nvSpPr>
        <xdr:cNvPr id="973" name="Arrow: Down 972">
          <a:extLst>
            <a:ext uri="{FF2B5EF4-FFF2-40B4-BE49-F238E27FC236}">
              <a16:creationId xmlns:a16="http://schemas.microsoft.com/office/drawing/2014/main" id="{8F4CB7F2-76D2-49CE-A6A5-4E97E9684084}"/>
            </a:ext>
          </a:extLst>
        </xdr:cNvPr>
        <xdr:cNvSpPr/>
      </xdr:nvSpPr>
      <xdr:spPr>
        <a:xfrm>
          <a:off x="5440680" y="2497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137</xdr:row>
      <xdr:rowOff>0</xdr:rowOff>
    </xdr:from>
    <xdr:to>
      <xdr:col>5</xdr:col>
      <xdr:colOff>83820</xdr:colOff>
      <xdr:row>137</xdr:row>
      <xdr:rowOff>114300</xdr:rowOff>
    </xdr:to>
    <xdr:sp macro="" textlink="">
      <xdr:nvSpPr>
        <xdr:cNvPr id="974" name="Arrow: Down 973">
          <a:extLst>
            <a:ext uri="{FF2B5EF4-FFF2-40B4-BE49-F238E27FC236}">
              <a16:creationId xmlns:a16="http://schemas.microsoft.com/office/drawing/2014/main" id="{C7BEF6EB-10FD-4C94-8F84-0098EBC9B78A}"/>
            </a:ext>
          </a:extLst>
        </xdr:cNvPr>
        <xdr:cNvSpPr/>
      </xdr:nvSpPr>
      <xdr:spPr>
        <a:xfrm>
          <a:off x="192786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137</xdr:row>
      <xdr:rowOff>0</xdr:rowOff>
    </xdr:from>
    <xdr:to>
      <xdr:col>11</xdr:col>
      <xdr:colOff>83820</xdr:colOff>
      <xdr:row>137</xdr:row>
      <xdr:rowOff>114300</xdr:rowOff>
    </xdr:to>
    <xdr:sp macro="" textlink="">
      <xdr:nvSpPr>
        <xdr:cNvPr id="975" name="Arrow: Down 974">
          <a:extLst>
            <a:ext uri="{FF2B5EF4-FFF2-40B4-BE49-F238E27FC236}">
              <a16:creationId xmlns:a16="http://schemas.microsoft.com/office/drawing/2014/main" id="{E444C4FC-BA8F-4F5C-834F-4AF01F5F3F16}"/>
            </a:ext>
          </a:extLst>
        </xdr:cNvPr>
        <xdr:cNvSpPr/>
      </xdr:nvSpPr>
      <xdr:spPr>
        <a:xfrm>
          <a:off x="3619500" y="249707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39</xdr:col>
      <xdr:colOff>0</xdr:colOff>
      <xdr:row>137</xdr:row>
      <xdr:rowOff>0</xdr:rowOff>
    </xdr:from>
    <xdr:to>
      <xdr:col>39</xdr:col>
      <xdr:colOff>83820</xdr:colOff>
      <xdr:row>137</xdr:row>
      <xdr:rowOff>114300</xdr:rowOff>
    </xdr:to>
    <xdr:sp macro="" textlink="">
      <xdr:nvSpPr>
        <xdr:cNvPr id="977" name="Arrow: Down 976">
          <a:extLst>
            <a:ext uri="{FF2B5EF4-FFF2-40B4-BE49-F238E27FC236}">
              <a16:creationId xmlns:a16="http://schemas.microsoft.com/office/drawing/2014/main" id="{92300F1A-BDAE-402C-AE69-163F5A2E4250}"/>
            </a:ext>
          </a:extLst>
        </xdr:cNvPr>
        <xdr:cNvSpPr/>
      </xdr:nvSpPr>
      <xdr:spPr>
        <a:xfrm>
          <a:off x="8602980" y="2497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137</xdr:row>
      <xdr:rowOff>0</xdr:rowOff>
    </xdr:from>
    <xdr:to>
      <xdr:col>60</xdr:col>
      <xdr:colOff>83820</xdr:colOff>
      <xdr:row>137</xdr:row>
      <xdr:rowOff>114300</xdr:rowOff>
    </xdr:to>
    <xdr:sp macro="" textlink="">
      <xdr:nvSpPr>
        <xdr:cNvPr id="978" name="Arrow: Down 977">
          <a:extLst>
            <a:ext uri="{FF2B5EF4-FFF2-40B4-BE49-F238E27FC236}">
              <a16:creationId xmlns:a16="http://schemas.microsoft.com/office/drawing/2014/main" id="{76D8EE24-BE66-45E4-89C4-03084114FF13}"/>
            </a:ext>
          </a:extLst>
        </xdr:cNvPr>
        <xdr:cNvSpPr/>
      </xdr:nvSpPr>
      <xdr:spPr>
        <a:xfrm>
          <a:off x="1517142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137</xdr:row>
      <xdr:rowOff>0</xdr:rowOff>
    </xdr:from>
    <xdr:to>
      <xdr:col>45</xdr:col>
      <xdr:colOff>83820</xdr:colOff>
      <xdr:row>137</xdr:row>
      <xdr:rowOff>114300</xdr:rowOff>
    </xdr:to>
    <xdr:sp macro="" textlink="">
      <xdr:nvSpPr>
        <xdr:cNvPr id="981" name="Arrow: Down 980">
          <a:extLst>
            <a:ext uri="{FF2B5EF4-FFF2-40B4-BE49-F238E27FC236}">
              <a16:creationId xmlns:a16="http://schemas.microsoft.com/office/drawing/2014/main" id="{081EF5A4-3E83-4911-8223-61BEA9028C55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137</xdr:row>
      <xdr:rowOff>0</xdr:rowOff>
    </xdr:from>
    <xdr:to>
      <xdr:col>71</xdr:col>
      <xdr:colOff>83820</xdr:colOff>
      <xdr:row>137</xdr:row>
      <xdr:rowOff>114300</xdr:rowOff>
    </xdr:to>
    <xdr:sp macro="" textlink="">
      <xdr:nvSpPr>
        <xdr:cNvPr id="983" name="Arrow: Down 982">
          <a:extLst>
            <a:ext uri="{FF2B5EF4-FFF2-40B4-BE49-F238E27FC236}">
              <a16:creationId xmlns:a16="http://schemas.microsoft.com/office/drawing/2014/main" id="{BEDC6278-C719-4E19-B9B7-4BB32ADEA9C5}"/>
            </a:ext>
          </a:extLst>
        </xdr:cNvPr>
        <xdr:cNvSpPr/>
      </xdr:nvSpPr>
      <xdr:spPr>
        <a:xfrm>
          <a:off x="2157984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138</xdr:row>
      <xdr:rowOff>0</xdr:rowOff>
    </xdr:from>
    <xdr:to>
      <xdr:col>45</xdr:col>
      <xdr:colOff>83820</xdr:colOff>
      <xdr:row>138</xdr:row>
      <xdr:rowOff>114300</xdr:rowOff>
    </xdr:to>
    <xdr:sp macro="" textlink="">
      <xdr:nvSpPr>
        <xdr:cNvPr id="989" name="Arrow: Down 988">
          <a:extLst>
            <a:ext uri="{FF2B5EF4-FFF2-40B4-BE49-F238E27FC236}">
              <a16:creationId xmlns:a16="http://schemas.microsoft.com/office/drawing/2014/main" id="{2C16D166-7F19-460D-AC10-99EF229730B2}"/>
            </a:ext>
          </a:extLst>
        </xdr:cNvPr>
        <xdr:cNvSpPr/>
      </xdr:nvSpPr>
      <xdr:spPr>
        <a:xfrm rot="10800000">
          <a:off x="12832080" y="2515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138</xdr:row>
      <xdr:rowOff>0</xdr:rowOff>
    </xdr:from>
    <xdr:to>
      <xdr:col>39</xdr:col>
      <xdr:colOff>83820</xdr:colOff>
      <xdr:row>138</xdr:row>
      <xdr:rowOff>114300</xdr:rowOff>
    </xdr:to>
    <xdr:sp macro="" textlink="">
      <xdr:nvSpPr>
        <xdr:cNvPr id="992" name="Arrow: Down 991">
          <a:extLst>
            <a:ext uri="{FF2B5EF4-FFF2-40B4-BE49-F238E27FC236}">
              <a16:creationId xmlns:a16="http://schemas.microsoft.com/office/drawing/2014/main" id="{2A832676-5A13-4F10-A50F-AD799384383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138</xdr:row>
      <xdr:rowOff>0</xdr:rowOff>
    </xdr:from>
    <xdr:to>
      <xdr:col>5</xdr:col>
      <xdr:colOff>83820</xdr:colOff>
      <xdr:row>138</xdr:row>
      <xdr:rowOff>114300</xdr:rowOff>
    </xdr:to>
    <xdr:sp macro="" textlink="">
      <xdr:nvSpPr>
        <xdr:cNvPr id="994" name="Arrow: Down 993">
          <a:extLst>
            <a:ext uri="{FF2B5EF4-FFF2-40B4-BE49-F238E27FC236}">
              <a16:creationId xmlns:a16="http://schemas.microsoft.com/office/drawing/2014/main" id="{34BDF33E-A964-45D2-AD28-D2E921009C15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138</xdr:row>
      <xdr:rowOff>0</xdr:rowOff>
    </xdr:from>
    <xdr:to>
      <xdr:col>11</xdr:col>
      <xdr:colOff>83820</xdr:colOff>
      <xdr:row>138</xdr:row>
      <xdr:rowOff>114300</xdr:rowOff>
    </xdr:to>
    <xdr:sp macro="" textlink="">
      <xdr:nvSpPr>
        <xdr:cNvPr id="996" name="Arrow: Down 995">
          <a:extLst>
            <a:ext uri="{FF2B5EF4-FFF2-40B4-BE49-F238E27FC236}">
              <a16:creationId xmlns:a16="http://schemas.microsoft.com/office/drawing/2014/main" id="{60835326-3239-489C-B32C-990DA4C877A3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138</xdr:row>
      <xdr:rowOff>0</xdr:rowOff>
    </xdr:from>
    <xdr:to>
      <xdr:col>24</xdr:col>
      <xdr:colOff>83820</xdr:colOff>
      <xdr:row>138</xdr:row>
      <xdr:rowOff>114300</xdr:rowOff>
    </xdr:to>
    <xdr:sp macro="" textlink="">
      <xdr:nvSpPr>
        <xdr:cNvPr id="997" name="Arrow: Down 996">
          <a:extLst>
            <a:ext uri="{FF2B5EF4-FFF2-40B4-BE49-F238E27FC236}">
              <a16:creationId xmlns:a16="http://schemas.microsoft.com/office/drawing/2014/main" id="{4B87A826-9F9A-4C8F-9468-A92C7B42A8F8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138</xdr:row>
      <xdr:rowOff>0</xdr:rowOff>
    </xdr:from>
    <xdr:to>
      <xdr:col>60</xdr:col>
      <xdr:colOff>83820</xdr:colOff>
      <xdr:row>138</xdr:row>
      <xdr:rowOff>114300</xdr:rowOff>
    </xdr:to>
    <xdr:sp macro="" textlink="">
      <xdr:nvSpPr>
        <xdr:cNvPr id="999" name="Arrow: Down 998">
          <a:extLst>
            <a:ext uri="{FF2B5EF4-FFF2-40B4-BE49-F238E27FC236}">
              <a16:creationId xmlns:a16="http://schemas.microsoft.com/office/drawing/2014/main" id="{3D563A0F-6EB4-4648-9D9F-F15E73EE5E3D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138</xdr:row>
      <xdr:rowOff>0</xdr:rowOff>
    </xdr:from>
    <xdr:to>
      <xdr:col>71</xdr:col>
      <xdr:colOff>83820</xdr:colOff>
      <xdr:row>138</xdr:row>
      <xdr:rowOff>114300</xdr:rowOff>
    </xdr:to>
    <xdr:sp macro="" textlink="">
      <xdr:nvSpPr>
        <xdr:cNvPr id="1000" name="Arrow: Down 999">
          <a:extLst>
            <a:ext uri="{FF2B5EF4-FFF2-40B4-BE49-F238E27FC236}">
              <a16:creationId xmlns:a16="http://schemas.microsoft.com/office/drawing/2014/main" id="{6E616CEA-20A6-448C-A0A8-69743B2A90E6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139</xdr:row>
      <xdr:rowOff>0</xdr:rowOff>
    </xdr:from>
    <xdr:to>
      <xdr:col>45</xdr:col>
      <xdr:colOff>83820</xdr:colOff>
      <xdr:row>139</xdr:row>
      <xdr:rowOff>114300</xdr:rowOff>
    </xdr:to>
    <xdr:sp macro="" textlink="">
      <xdr:nvSpPr>
        <xdr:cNvPr id="1001" name="Arrow: Down 1000">
          <a:extLst>
            <a:ext uri="{FF2B5EF4-FFF2-40B4-BE49-F238E27FC236}">
              <a16:creationId xmlns:a16="http://schemas.microsoft.com/office/drawing/2014/main" id="{A9224C79-F8A0-4141-9327-E5FB4136CBB8}"/>
            </a:ext>
          </a:extLst>
        </xdr:cNvPr>
        <xdr:cNvSpPr/>
      </xdr:nvSpPr>
      <xdr:spPr>
        <a:xfrm rot="10800000">
          <a:off x="1055370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139</xdr:row>
      <xdr:rowOff>0</xdr:rowOff>
    </xdr:from>
    <xdr:to>
      <xdr:col>39</xdr:col>
      <xdr:colOff>83820</xdr:colOff>
      <xdr:row>139</xdr:row>
      <xdr:rowOff>114300</xdr:rowOff>
    </xdr:to>
    <xdr:sp macro="" textlink="">
      <xdr:nvSpPr>
        <xdr:cNvPr id="1002" name="Arrow: Down 1001">
          <a:extLst>
            <a:ext uri="{FF2B5EF4-FFF2-40B4-BE49-F238E27FC236}">
              <a16:creationId xmlns:a16="http://schemas.microsoft.com/office/drawing/2014/main" id="{B0326349-E666-4EE4-9EEA-AEB8C2B4CC28}"/>
            </a:ext>
          </a:extLst>
        </xdr:cNvPr>
        <xdr:cNvSpPr/>
      </xdr:nvSpPr>
      <xdr:spPr>
        <a:xfrm rot="10800000">
          <a:off x="8747760" y="25336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139</xdr:row>
      <xdr:rowOff>0</xdr:rowOff>
    </xdr:from>
    <xdr:to>
      <xdr:col>5</xdr:col>
      <xdr:colOff>83820</xdr:colOff>
      <xdr:row>139</xdr:row>
      <xdr:rowOff>114300</xdr:rowOff>
    </xdr:to>
    <xdr:sp macro="" textlink="">
      <xdr:nvSpPr>
        <xdr:cNvPr id="1003" name="Arrow: Down 1002">
          <a:extLst>
            <a:ext uri="{FF2B5EF4-FFF2-40B4-BE49-F238E27FC236}">
              <a16:creationId xmlns:a16="http://schemas.microsoft.com/office/drawing/2014/main" id="{1AD73DEE-7AFD-44FE-A0E5-60DBC9B6A4C1}"/>
            </a:ext>
          </a:extLst>
        </xdr:cNvPr>
        <xdr:cNvSpPr/>
      </xdr:nvSpPr>
      <xdr:spPr>
        <a:xfrm rot="10800000">
          <a:off x="19278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139</xdr:row>
      <xdr:rowOff>0</xdr:rowOff>
    </xdr:from>
    <xdr:to>
      <xdr:col>11</xdr:col>
      <xdr:colOff>83820</xdr:colOff>
      <xdr:row>139</xdr:row>
      <xdr:rowOff>114300</xdr:rowOff>
    </xdr:to>
    <xdr:sp macro="" textlink="">
      <xdr:nvSpPr>
        <xdr:cNvPr id="1004" name="Arrow: Down 1003">
          <a:extLst>
            <a:ext uri="{FF2B5EF4-FFF2-40B4-BE49-F238E27FC236}">
              <a16:creationId xmlns:a16="http://schemas.microsoft.com/office/drawing/2014/main" id="{5C238EC0-ACE4-4CCF-A341-D481CC2B664F}"/>
            </a:ext>
          </a:extLst>
        </xdr:cNvPr>
        <xdr:cNvSpPr/>
      </xdr:nvSpPr>
      <xdr:spPr>
        <a:xfrm rot="10800000">
          <a:off x="36195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139</xdr:row>
      <xdr:rowOff>0</xdr:rowOff>
    </xdr:from>
    <xdr:to>
      <xdr:col>24</xdr:col>
      <xdr:colOff>83820</xdr:colOff>
      <xdr:row>139</xdr:row>
      <xdr:rowOff>114300</xdr:rowOff>
    </xdr:to>
    <xdr:sp macro="" textlink="">
      <xdr:nvSpPr>
        <xdr:cNvPr id="1005" name="Arrow: Down 1004">
          <a:extLst>
            <a:ext uri="{FF2B5EF4-FFF2-40B4-BE49-F238E27FC236}">
              <a16:creationId xmlns:a16="http://schemas.microsoft.com/office/drawing/2014/main" id="{4D3FFB99-3392-4042-BED4-A993BE1BDC35}"/>
            </a:ext>
          </a:extLst>
        </xdr:cNvPr>
        <xdr:cNvSpPr/>
      </xdr:nvSpPr>
      <xdr:spPr>
        <a:xfrm rot="10800000">
          <a:off x="558546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139</xdr:row>
      <xdr:rowOff>0</xdr:rowOff>
    </xdr:from>
    <xdr:to>
      <xdr:col>60</xdr:col>
      <xdr:colOff>83820</xdr:colOff>
      <xdr:row>139</xdr:row>
      <xdr:rowOff>114300</xdr:rowOff>
    </xdr:to>
    <xdr:sp macro="" textlink="">
      <xdr:nvSpPr>
        <xdr:cNvPr id="1006" name="Arrow: Down 1005">
          <a:extLst>
            <a:ext uri="{FF2B5EF4-FFF2-40B4-BE49-F238E27FC236}">
              <a16:creationId xmlns:a16="http://schemas.microsoft.com/office/drawing/2014/main" id="{32118F1D-8B75-4250-BF85-46B5E8BB8D20}"/>
            </a:ext>
          </a:extLst>
        </xdr:cNvPr>
        <xdr:cNvSpPr/>
      </xdr:nvSpPr>
      <xdr:spPr>
        <a:xfrm rot="10800000">
          <a:off x="1531620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139</xdr:row>
      <xdr:rowOff>0</xdr:rowOff>
    </xdr:from>
    <xdr:to>
      <xdr:col>71</xdr:col>
      <xdr:colOff>83820</xdr:colOff>
      <xdr:row>139</xdr:row>
      <xdr:rowOff>114300</xdr:rowOff>
    </xdr:to>
    <xdr:sp macro="" textlink="">
      <xdr:nvSpPr>
        <xdr:cNvPr id="1007" name="Arrow: Down 1006">
          <a:extLst>
            <a:ext uri="{FF2B5EF4-FFF2-40B4-BE49-F238E27FC236}">
              <a16:creationId xmlns:a16="http://schemas.microsoft.com/office/drawing/2014/main" id="{C12438DE-574D-46C7-ADEC-F03C53288E70}"/>
            </a:ext>
          </a:extLst>
        </xdr:cNvPr>
        <xdr:cNvSpPr/>
      </xdr:nvSpPr>
      <xdr:spPr>
        <a:xfrm rot="10800000">
          <a:off x="17632680" y="2533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140</xdr:row>
      <xdr:rowOff>0</xdr:rowOff>
    </xdr:from>
    <xdr:to>
      <xdr:col>45</xdr:col>
      <xdr:colOff>83820</xdr:colOff>
      <xdr:row>140</xdr:row>
      <xdr:rowOff>114300</xdr:rowOff>
    </xdr:to>
    <xdr:sp macro="" textlink="">
      <xdr:nvSpPr>
        <xdr:cNvPr id="906" name="Arrow: Down 905">
          <a:extLst>
            <a:ext uri="{FF2B5EF4-FFF2-40B4-BE49-F238E27FC236}">
              <a16:creationId xmlns:a16="http://schemas.microsoft.com/office/drawing/2014/main" id="{C8E0EE1D-5ACB-4FBA-BDA0-0D5D64A6C398}"/>
            </a:ext>
          </a:extLst>
        </xdr:cNvPr>
        <xdr:cNvSpPr/>
      </xdr:nvSpPr>
      <xdr:spPr>
        <a:xfrm rot="10800000">
          <a:off x="1055370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140</xdr:row>
      <xdr:rowOff>0</xdr:rowOff>
    </xdr:from>
    <xdr:to>
      <xdr:col>39</xdr:col>
      <xdr:colOff>83820</xdr:colOff>
      <xdr:row>140</xdr:row>
      <xdr:rowOff>114300</xdr:rowOff>
    </xdr:to>
    <xdr:sp macro="" textlink="">
      <xdr:nvSpPr>
        <xdr:cNvPr id="909" name="Arrow: Down 908">
          <a:extLst>
            <a:ext uri="{FF2B5EF4-FFF2-40B4-BE49-F238E27FC236}">
              <a16:creationId xmlns:a16="http://schemas.microsoft.com/office/drawing/2014/main" id="{0A3FF0D5-E4D4-40BA-A405-589537ED6601}"/>
            </a:ext>
          </a:extLst>
        </xdr:cNvPr>
        <xdr:cNvSpPr/>
      </xdr:nvSpPr>
      <xdr:spPr>
        <a:xfrm rot="10800000">
          <a:off x="8747760" y="25519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140</xdr:row>
      <xdr:rowOff>0</xdr:rowOff>
    </xdr:from>
    <xdr:to>
      <xdr:col>5</xdr:col>
      <xdr:colOff>83820</xdr:colOff>
      <xdr:row>140</xdr:row>
      <xdr:rowOff>114300</xdr:rowOff>
    </xdr:to>
    <xdr:sp macro="" textlink="">
      <xdr:nvSpPr>
        <xdr:cNvPr id="917" name="Arrow: Down 916">
          <a:extLst>
            <a:ext uri="{FF2B5EF4-FFF2-40B4-BE49-F238E27FC236}">
              <a16:creationId xmlns:a16="http://schemas.microsoft.com/office/drawing/2014/main" id="{27E40F7B-3270-40A1-9E8D-F907E30BA3B2}"/>
            </a:ext>
          </a:extLst>
        </xdr:cNvPr>
        <xdr:cNvSpPr/>
      </xdr:nvSpPr>
      <xdr:spPr>
        <a:xfrm rot="10800000">
          <a:off x="19278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140</xdr:row>
      <xdr:rowOff>0</xdr:rowOff>
    </xdr:from>
    <xdr:to>
      <xdr:col>11</xdr:col>
      <xdr:colOff>83820</xdr:colOff>
      <xdr:row>140</xdr:row>
      <xdr:rowOff>114300</xdr:rowOff>
    </xdr:to>
    <xdr:sp macro="" textlink="">
      <xdr:nvSpPr>
        <xdr:cNvPr id="946" name="Arrow: Down 945">
          <a:extLst>
            <a:ext uri="{FF2B5EF4-FFF2-40B4-BE49-F238E27FC236}">
              <a16:creationId xmlns:a16="http://schemas.microsoft.com/office/drawing/2014/main" id="{766A96F5-AE9F-4E54-B98E-9B69120250F3}"/>
            </a:ext>
          </a:extLst>
        </xdr:cNvPr>
        <xdr:cNvSpPr/>
      </xdr:nvSpPr>
      <xdr:spPr>
        <a:xfrm rot="10800000">
          <a:off x="361950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140</xdr:row>
      <xdr:rowOff>0</xdr:rowOff>
    </xdr:from>
    <xdr:to>
      <xdr:col>24</xdr:col>
      <xdr:colOff>83820</xdr:colOff>
      <xdr:row>140</xdr:row>
      <xdr:rowOff>114300</xdr:rowOff>
    </xdr:to>
    <xdr:sp macro="" textlink="">
      <xdr:nvSpPr>
        <xdr:cNvPr id="954" name="Arrow: Down 953">
          <a:extLst>
            <a:ext uri="{FF2B5EF4-FFF2-40B4-BE49-F238E27FC236}">
              <a16:creationId xmlns:a16="http://schemas.microsoft.com/office/drawing/2014/main" id="{E1E5E471-2A90-4DF6-ADB9-E649C8EA4BFA}"/>
            </a:ext>
          </a:extLst>
        </xdr:cNvPr>
        <xdr:cNvSpPr/>
      </xdr:nvSpPr>
      <xdr:spPr>
        <a:xfrm rot="10800000">
          <a:off x="5585460" y="25519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140</xdr:row>
      <xdr:rowOff>0</xdr:rowOff>
    </xdr:from>
    <xdr:to>
      <xdr:col>60</xdr:col>
      <xdr:colOff>83820</xdr:colOff>
      <xdr:row>140</xdr:row>
      <xdr:rowOff>114300</xdr:rowOff>
    </xdr:to>
    <xdr:sp macro="" textlink="">
      <xdr:nvSpPr>
        <xdr:cNvPr id="962" name="Arrow: Down 961">
          <a:extLst>
            <a:ext uri="{FF2B5EF4-FFF2-40B4-BE49-F238E27FC236}">
              <a16:creationId xmlns:a16="http://schemas.microsoft.com/office/drawing/2014/main" id="{585A4B92-32F0-49E5-8B87-DF563CE214A2}"/>
            </a:ext>
          </a:extLst>
        </xdr:cNvPr>
        <xdr:cNvSpPr/>
      </xdr:nvSpPr>
      <xdr:spPr>
        <a:xfrm>
          <a:off x="153162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140</xdr:row>
      <xdr:rowOff>0</xdr:rowOff>
    </xdr:from>
    <xdr:to>
      <xdr:col>71</xdr:col>
      <xdr:colOff>83820</xdr:colOff>
      <xdr:row>140</xdr:row>
      <xdr:rowOff>114300</xdr:rowOff>
    </xdr:to>
    <xdr:sp macro="" textlink="">
      <xdr:nvSpPr>
        <xdr:cNvPr id="964" name="Arrow: Down 963">
          <a:extLst>
            <a:ext uri="{FF2B5EF4-FFF2-40B4-BE49-F238E27FC236}">
              <a16:creationId xmlns:a16="http://schemas.microsoft.com/office/drawing/2014/main" id="{194502C9-8957-48E1-AF73-695743A6E447}"/>
            </a:ext>
          </a:extLst>
        </xdr:cNvPr>
        <xdr:cNvSpPr/>
      </xdr:nvSpPr>
      <xdr:spPr>
        <a:xfrm>
          <a:off x="1763268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141</xdr:row>
      <xdr:rowOff>0</xdr:rowOff>
    </xdr:from>
    <xdr:to>
      <xdr:col>45</xdr:col>
      <xdr:colOff>83820</xdr:colOff>
      <xdr:row>141</xdr:row>
      <xdr:rowOff>114300</xdr:rowOff>
    </xdr:to>
    <xdr:sp macro="" textlink="">
      <xdr:nvSpPr>
        <xdr:cNvPr id="965" name="Arrow: Down 964">
          <a:extLst>
            <a:ext uri="{FF2B5EF4-FFF2-40B4-BE49-F238E27FC236}">
              <a16:creationId xmlns:a16="http://schemas.microsoft.com/office/drawing/2014/main" id="{F80B795B-6B4E-4358-967E-31CBA788906D}"/>
            </a:ext>
          </a:extLst>
        </xdr:cNvPr>
        <xdr:cNvSpPr/>
      </xdr:nvSpPr>
      <xdr:spPr>
        <a:xfrm rot="10800000">
          <a:off x="10553700" y="25702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141</xdr:row>
      <xdr:rowOff>0</xdr:rowOff>
    </xdr:from>
    <xdr:to>
      <xdr:col>5</xdr:col>
      <xdr:colOff>83820</xdr:colOff>
      <xdr:row>141</xdr:row>
      <xdr:rowOff>114300</xdr:rowOff>
    </xdr:to>
    <xdr:sp macro="" textlink="">
      <xdr:nvSpPr>
        <xdr:cNvPr id="967" name="Arrow: Down 966">
          <a:extLst>
            <a:ext uri="{FF2B5EF4-FFF2-40B4-BE49-F238E27FC236}">
              <a16:creationId xmlns:a16="http://schemas.microsoft.com/office/drawing/2014/main" id="{158EC43A-9C7B-4D27-929A-9A71CC5D3DCF}"/>
            </a:ext>
          </a:extLst>
        </xdr:cNvPr>
        <xdr:cNvSpPr/>
      </xdr:nvSpPr>
      <xdr:spPr>
        <a:xfrm rot="10800000">
          <a:off x="192786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141</xdr:row>
      <xdr:rowOff>0</xdr:rowOff>
    </xdr:from>
    <xdr:to>
      <xdr:col>11</xdr:col>
      <xdr:colOff>83820</xdr:colOff>
      <xdr:row>141</xdr:row>
      <xdr:rowOff>114300</xdr:rowOff>
    </xdr:to>
    <xdr:sp macro="" textlink="">
      <xdr:nvSpPr>
        <xdr:cNvPr id="968" name="Arrow: Down 967">
          <a:extLst>
            <a:ext uri="{FF2B5EF4-FFF2-40B4-BE49-F238E27FC236}">
              <a16:creationId xmlns:a16="http://schemas.microsoft.com/office/drawing/2014/main" id="{61D706DC-B55A-403B-94CC-A88A6227AC7C}"/>
            </a:ext>
          </a:extLst>
        </xdr:cNvPr>
        <xdr:cNvSpPr/>
      </xdr:nvSpPr>
      <xdr:spPr>
        <a:xfrm rot="10800000">
          <a:off x="3619500" y="25702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141</xdr:row>
      <xdr:rowOff>0</xdr:rowOff>
    </xdr:from>
    <xdr:to>
      <xdr:col>24</xdr:col>
      <xdr:colOff>83820</xdr:colOff>
      <xdr:row>141</xdr:row>
      <xdr:rowOff>114300</xdr:rowOff>
    </xdr:to>
    <xdr:sp macro="" textlink="">
      <xdr:nvSpPr>
        <xdr:cNvPr id="972" name="Arrow: Down 971">
          <a:extLst>
            <a:ext uri="{FF2B5EF4-FFF2-40B4-BE49-F238E27FC236}">
              <a16:creationId xmlns:a16="http://schemas.microsoft.com/office/drawing/2014/main" id="{3E22F261-C3BE-4535-89C0-7E405B748637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141</xdr:row>
      <xdr:rowOff>0</xdr:rowOff>
    </xdr:from>
    <xdr:to>
      <xdr:col>39</xdr:col>
      <xdr:colOff>83820</xdr:colOff>
      <xdr:row>141</xdr:row>
      <xdr:rowOff>114300</xdr:rowOff>
    </xdr:to>
    <xdr:sp macro="" textlink="">
      <xdr:nvSpPr>
        <xdr:cNvPr id="979" name="Arrow: Down 978">
          <a:extLst>
            <a:ext uri="{FF2B5EF4-FFF2-40B4-BE49-F238E27FC236}">
              <a16:creationId xmlns:a16="http://schemas.microsoft.com/office/drawing/2014/main" id="{56E7121A-7E02-4D0B-873B-E25AD63F27D0}"/>
            </a:ext>
          </a:extLst>
        </xdr:cNvPr>
        <xdr:cNvSpPr/>
      </xdr:nvSpPr>
      <xdr:spPr>
        <a:xfrm>
          <a:off x="87477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141</xdr:row>
      <xdr:rowOff>0</xdr:rowOff>
    </xdr:from>
    <xdr:to>
      <xdr:col>60</xdr:col>
      <xdr:colOff>83820</xdr:colOff>
      <xdr:row>141</xdr:row>
      <xdr:rowOff>114300</xdr:rowOff>
    </xdr:to>
    <xdr:sp macro="" textlink="">
      <xdr:nvSpPr>
        <xdr:cNvPr id="982" name="Arrow: Down 981">
          <a:extLst>
            <a:ext uri="{FF2B5EF4-FFF2-40B4-BE49-F238E27FC236}">
              <a16:creationId xmlns:a16="http://schemas.microsoft.com/office/drawing/2014/main" id="{87C26118-53A3-47F2-B857-9E34BDFD2696}"/>
            </a:ext>
          </a:extLst>
        </xdr:cNvPr>
        <xdr:cNvSpPr/>
      </xdr:nvSpPr>
      <xdr:spPr>
        <a:xfrm rot="10800000">
          <a:off x="153162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141</xdr:row>
      <xdr:rowOff>0</xdr:rowOff>
    </xdr:from>
    <xdr:to>
      <xdr:col>71</xdr:col>
      <xdr:colOff>83820</xdr:colOff>
      <xdr:row>141</xdr:row>
      <xdr:rowOff>114300</xdr:rowOff>
    </xdr:to>
    <xdr:sp macro="" textlink="">
      <xdr:nvSpPr>
        <xdr:cNvPr id="985" name="Arrow: Down 984">
          <a:extLst>
            <a:ext uri="{FF2B5EF4-FFF2-40B4-BE49-F238E27FC236}">
              <a16:creationId xmlns:a16="http://schemas.microsoft.com/office/drawing/2014/main" id="{E66E3B8C-3FA4-4033-8617-23D136F00DB1}"/>
            </a:ext>
          </a:extLst>
        </xdr:cNvPr>
        <xdr:cNvSpPr/>
      </xdr:nvSpPr>
      <xdr:spPr>
        <a:xfrm rot="10800000">
          <a:off x="1763268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142</xdr:row>
      <xdr:rowOff>0</xdr:rowOff>
    </xdr:from>
    <xdr:to>
      <xdr:col>45</xdr:col>
      <xdr:colOff>83820</xdr:colOff>
      <xdr:row>142</xdr:row>
      <xdr:rowOff>114300</xdr:rowOff>
    </xdr:to>
    <xdr:sp macro="" textlink="">
      <xdr:nvSpPr>
        <xdr:cNvPr id="986" name="Arrow: Down 985">
          <a:extLst>
            <a:ext uri="{FF2B5EF4-FFF2-40B4-BE49-F238E27FC236}">
              <a16:creationId xmlns:a16="http://schemas.microsoft.com/office/drawing/2014/main" id="{10A54977-A3AF-4EB4-96A0-F8333B75E378}"/>
            </a:ext>
          </a:extLst>
        </xdr:cNvPr>
        <xdr:cNvSpPr/>
      </xdr:nvSpPr>
      <xdr:spPr>
        <a:xfrm rot="10800000">
          <a:off x="1055370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142</xdr:row>
      <xdr:rowOff>0</xdr:rowOff>
    </xdr:from>
    <xdr:to>
      <xdr:col>5</xdr:col>
      <xdr:colOff>83820</xdr:colOff>
      <xdr:row>142</xdr:row>
      <xdr:rowOff>114300</xdr:rowOff>
    </xdr:to>
    <xdr:sp macro="" textlink="">
      <xdr:nvSpPr>
        <xdr:cNvPr id="987" name="Arrow: Down 986">
          <a:extLst>
            <a:ext uri="{FF2B5EF4-FFF2-40B4-BE49-F238E27FC236}">
              <a16:creationId xmlns:a16="http://schemas.microsoft.com/office/drawing/2014/main" id="{2030F8D0-FD77-4201-98E1-D493ED4C6586}"/>
            </a:ext>
          </a:extLst>
        </xdr:cNvPr>
        <xdr:cNvSpPr/>
      </xdr:nvSpPr>
      <xdr:spPr>
        <a:xfrm rot="10800000">
          <a:off x="192786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142</xdr:row>
      <xdr:rowOff>0</xdr:rowOff>
    </xdr:from>
    <xdr:to>
      <xdr:col>11</xdr:col>
      <xdr:colOff>83820</xdr:colOff>
      <xdr:row>142</xdr:row>
      <xdr:rowOff>114300</xdr:rowOff>
    </xdr:to>
    <xdr:sp macro="" textlink="">
      <xdr:nvSpPr>
        <xdr:cNvPr id="988" name="Arrow: Down 987">
          <a:extLst>
            <a:ext uri="{FF2B5EF4-FFF2-40B4-BE49-F238E27FC236}">
              <a16:creationId xmlns:a16="http://schemas.microsoft.com/office/drawing/2014/main" id="{B1F9CD4C-1E7A-436A-B5C5-6FB63B032DD6}"/>
            </a:ext>
          </a:extLst>
        </xdr:cNvPr>
        <xdr:cNvSpPr/>
      </xdr:nvSpPr>
      <xdr:spPr>
        <a:xfrm rot="10800000">
          <a:off x="3619500" y="25885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142</xdr:row>
      <xdr:rowOff>0</xdr:rowOff>
    </xdr:from>
    <xdr:to>
      <xdr:col>24</xdr:col>
      <xdr:colOff>83820</xdr:colOff>
      <xdr:row>142</xdr:row>
      <xdr:rowOff>114300</xdr:rowOff>
    </xdr:to>
    <xdr:sp macro="" textlink="">
      <xdr:nvSpPr>
        <xdr:cNvPr id="990" name="Arrow: Down 989">
          <a:extLst>
            <a:ext uri="{FF2B5EF4-FFF2-40B4-BE49-F238E27FC236}">
              <a16:creationId xmlns:a16="http://schemas.microsoft.com/office/drawing/2014/main" id="{103F922D-A780-4EF5-B1F6-489FA3D249E4}"/>
            </a:ext>
          </a:extLst>
        </xdr:cNvPr>
        <xdr:cNvSpPr/>
      </xdr:nvSpPr>
      <xdr:spPr>
        <a:xfrm>
          <a:off x="5585460" y="25885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142</xdr:row>
      <xdr:rowOff>0</xdr:rowOff>
    </xdr:from>
    <xdr:to>
      <xdr:col>39</xdr:col>
      <xdr:colOff>83820</xdr:colOff>
      <xdr:row>142</xdr:row>
      <xdr:rowOff>114300</xdr:rowOff>
    </xdr:to>
    <xdr:sp macro="" textlink="">
      <xdr:nvSpPr>
        <xdr:cNvPr id="998" name="Arrow: Down 997">
          <a:extLst>
            <a:ext uri="{FF2B5EF4-FFF2-40B4-BE49-F238E27FC236}">
              <a16:creationId xmlns:a16="http://schemas.microsoft.com/office/drawing/2014/main" id="{DE8BB581-573B-449D-A8B9-22E71C28629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142</xdr:row>
      <xdr:rowOff>0</xdr:rowOff>
    </xdr:from>
    <xdr:to>
      <xdr:col>60</xdr:col>
      <xdr:colOff>83820</xdr:colOff>
      <xdr:row>142</xdr:row>
      <xdr:rowOff>114300</xdr:rowOff>
    </xdr:to>
    <xdr:sp macro="" textlink="">
      <xdr:nvSpPr>
        <xdr:cNvPr id="1008" name="Arrow: Down 1007">
          <a:extLst>
            <a:ext uri="{FF2B5EF4-FFF2-40B4-BE49-F238E27FC236}">
              <a16:creationId xmlns:a16="http://schemas.microsoft.com/office/drawing/2014/main" id="{81739F3F-2F86-433F-9960-A87A639DA5B9}"/>
            </a:ext>
          </a:extLst>
        </xdr:cNvPr>
        <xdr:cNvSpPr/>
      </xdr:nvSpPr>
      <xdr:spPr>
        <a:xfrm>
          <a:off x="153162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142</xdr:row>
      <xdr:rowOff>0</xdr:rowOff>
    </xdr:from>
    <xdr:to>
      <xdr:col>71</xdr:col>
      <xdr:colOff>83820</xdr:colOff>
      <xdr:row>142</xdr:row>
      <xdr:rowOff>114300</xdr:rowOff>
    </xdr:to>
    <xdr:sp macro="" textlink="">
      <xdr:nvSpPr>
        <xdr:cNvPr id="1009" name="Arrow: Down 1008">
          <a:extLst>
            <a:ext uri="{FF2B5EF4-FFF2-40B4-BE49-F238E27FC236}">
              <a16:creationId xmlns:a16="http://schemas.microsoft.com/office/drawing/2014/main" id="{385D6C59-A9CE-4C01-B3BE-79BDC77197DB}"/>
            </a:ext>
          </a:extLst>
        </xdr:cNvPr>
        <xdr:cNvSpPr/>
      </xdr:nvSpPr>
      <xdr:spPr>
        <a:xfrm>
          <a:off x="1763268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143</xdr:row>
      <xdr:rowOff>0</xdr:rowOff>
    </xdr:from>
    <xdr:to>
      <xdr:col>45</xdr:col>
      <xdr:colOff>83820</xdr:colOff>
      <xdr:row>143</xdr:row>
      <xdr:rowOff>114300</xdr:rowOff>
    </xdr:to>
    <xdr:sp macro="" textlink="">
      <xdr:nvSpPr>
        <xdr:cNvPr id="1010" name="Arrow: Down 1009">
          <a:extLst>
            <a:ext uri="{FF2B5EF4-FFF2-40B4-BE49-F238E27FC236}">
              <a16:creationId xmlns:a16="http://schemas.microsoft.com/office/drawing/2014/main" id="{1F09D143-42FA-4180-B33F-85FCD3CDF024}"/>
            </a:ext>
          </a:extLst>
        </xdr:cNvPr>
        <xdr:cNvSpPr/>
      </xdr:nvSpPr>
      <xdr:spPr>
        <a:xfrm rot="10800000">
          <a:off x="1055370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143</xdr:row>
      <xdr:rowOff>0</xdr:rowOff>
    </xdr:from>
    <xdr:to>
      <xdr:col>24</xdr:col>
      <xdr:colOff>83820</xdr:colOff>
      <xdr:row>143</xdr:row>
      <xdr:rowOff>114300</xdr:rowOff>
    </xdr:to>
    <xdr:sp macro="" textlink="">
      <xdr:nvSpPr>
        <xdr:cNvPr id="1013" name="Arrow: Down 1012">
          <a:extLst>
            <a:ext uri="{FF2B5EF4-FFF2-40B4-BE49-F238E27FC236}">
              <a16:creationId xmlns:a16="http://schemas.microsoft.com/office/drawing/2014/main" id="{2ADE61B4-E15A-4931-B07D-E5D7E66F557D}"/>
            </a:ext>
          </a:extLst>
        </xdr:cNvPr>
        <xdr:cNvSpPr/>
      </xdr:nvSpPr>
      <xdr:spPr>
        <a:xfrm>
          <a:off x="55854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143</xdr:row>
      <xdr:rowOff>0</xdr:rowOff>
    </xdr:from>
    <xdr:to>
      <xdr:col>39</xdr:col>
      <xdr:colOff>83820</xdr:colOff>
      <xdr:row>143</xdr:row>
      <xdr:rowOff>114300</xdr:rowOff>
    </xdr:to>
    <xdr:sp macro="" textlink="">
      <xdr:nvSpPr>
        <xdr:cNvPr id="1014" name="Arrow: Down 1013">
          <a:extLst>
            <a:ext uri="{FF2B5EF4-FFF2-40B4-BE49-F238E27FC236}">
              <a16:creationId xmlns:a16="http://schemas.microsoft.com/office/drawing/2014/main" id="{46F27A80-7D11-4D2C-9D90-441C8E356C20}"/>
            </a:ext>
          </a:extLst>
        </xdr:cNvPr>
        <xdr:cNvSpPr/>
      </xdr:nvSpPr>
      <xdr:spPr>
        <a:xfrm rot="10800000">
          <a:off x="8747760" y="26068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143</xdr:row>
      <xdr:rowOff>0</xdr:rowOff>
    </xdr:from>
    <xdr:to>
      <xdr:col>5</xdr:col>
      <xdr:colOff>83820</xdr:colOff>
      <xdr:row>143</xdr:row>
      <xdr:rowOff>114300</xdr:rowOff>
    </xdr:to>
    <xdr:sp macro="" textlink="">
      <xdr:nvSpPr>
        <xdr:cNvPr id="1017" name="Arrow: Down 1016">
          <a:extLst>
            <a:ext uri="{FF2B5EF4-FFF2-40B4-BE49-F238E27FC236}">
              <a16:creationId xmlns:a16="http://schemas.microsoft.com/office/drawing/2014/main" id="{3C2EACB0-0E20-425C-9A5B-BBBA525B3332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143</xdr:row>
      <xdr:rowOff>0</xdr:rowOff>
    </xdr:from>
    <xdr:to>
      <xdr:col>11</xdr:col>
      <xdr:colOff>83820</xdr:colOff>
      <xdr:row>143</xdr:row>
      <xdr:rowOff>114300</xdr:rowOff>
    </xdr:to>
    <xdr:sp macro="" textlink="">
      <xdr:nvSpPr>
        <xdr:cNvPr id="1018" name="Arrow: Down 1017">
          <a:extLst>
            <a:ext uri="{FF2B5EF4-FFF2-40B4-BE49-F238E27FC236}">
              <a16:creationId xmlns:a16="http://schemas.microsoft.com/office/drawing/2014/main" id="{FABB3758-4F9E-43D1-BD98-2CF8895FC508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143</xdr:row>
      <xdr:rowOff>0</xdr:rowOff>
    </xdr:from>
    <xdr:to>
      <xdr:col>60</xdr:col>
      <xdr:colOff>83820</xdr:colOff>
      <xdr:row>143</xdr:row>
      <xdr:rowOff>114300</xdr:rowOff>
    </xdr:to>
    <xdr:sp macro="" textlink="">
      <xdr:nvSpPr>
        <xdr:cNvPr id="1020" name="Arrow: Down 1019">
          <a:extLst>
            <a:ext uri="{FF2B5EF4-FFF2-40B4-BE49-F238E27FC236}">
              <a16:creationId xmlns:a16="http://schemas.microsoft.com/office/drawing/2014/main" id="{8B334531-90EA-4A03-9E27-6599A2918149}"/>
            </a:ext>
          </a:extLst>
        </xdr:cNvPr>
        <xdr:cNvSpPr/>
      </xdr:nvSpPr>
      <xdr:spPr>
        <a:xfrm rot="10800000">
          <a:off x="1531620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143</xdr:row>
      <xdr:rowOff>0</xdr:rowOff>
    </xdr:from>
    <xdr:to>
      <xdr:col>71</xdr:col>
      <xdr:colOff>83820</xdr:colOff>
      <xdr:row>143</xdr:row>
      <xdr:rowOff>114300</xdr:rowOff>
    </xdr:to>
    <xdr:sp macro="" textlink="">
      <xdr:nvSpPr>
        <xdr:cNvPr id="1021" name="Arrow: Down 1020">
          <a:extLst>
            <a:ext uri="{FF2B5EF4-FFF2-40B4-BE49-F238E27FC236}">
              <a16:creationId xmlns:a16="http://schemas.microsoft.com/office/drawing/2014/main" id="{7C07D284-5874-49CB-940F-CC744A2AF5F4}"/>
            </a:ext>
          </a:extLst>
        </xdr:cNvPr>
        <xdr:cNvSpPr/>
      </xdr:nvSpPr>
      <xdr:spPr>
        <a:xfrm rot="10800000">
          <a:off x="17632680" y="26250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144</xdr:row>
      <xdr:rowOff>0</xdr:rowOff>
    </xdr:from>
    <xdr:to>
      <xdr:col>24</xdr:col>
      <xdr:colOff>83820</xdr:colOff>
      <xdr:row>144</xdr:row>
      <xdr:rowOff>114300</xdr:rowOff>
    </xdr:to>
    <xdr:sp macro="" textlink="">
      <xdr:nvSpPr>
        <xdr:cNvPr id="1023" name="Arrow: Down 1022">
          <a:extLst>
            <a:ext uri="{FF2B5EF4-FFF2-40B4-BE49-F238E27FC236}">
              <a16:creationId xmlns:a16="http://schemas.microsoft.com/office/drawing/2014/main" id="{AAF4BF62-B6BC-4F6B-9AE5-CE06B14D9EB2}"/>
            </a:ext>
          </a:extLst>
        </xdr:cNvPr>
        <xdr:cNvSpPr/>
      </xdr:nvSpPr>
      <xdr:spPr>
        <a:xfrm>
          <a:off x="55854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144</xdr:row>
      <xdr:rowOff>0</xdr:rowOff>
    </xdr:from>
    <xdr:to>
      <xdr:col>5</xdr:col>
      <xdr:colOff>83820</xdr:colOff>
      <xdr:row>144</xdr:row>
      <xdr:rowOff>114300</xdr:rowOff>
    </xdr:to>
    <xdr:sp macro="" textlink="">
      <xdr:nvSpPr>
        <xdr:cNvPr id="1025" name="Arrow: Down 1024">
          <a:extLst>
            <a:ext uri="{FF2B5EF4-FFF2-40B4-BE49-F238E27FC236}">
              <a16:creationId xmlns:a16="http://schemas.microsoft.com/office/drawing/2014/main" id="{5E36AA2B-3324-48E2-8081-D1307CD80C7B}"/>
            </a:ext>
          </a:extLst>
        </xdr:cNvPr>
        <xdr:cNvSpPr/>
      </xdr:nvSpPr>
      <xdr:spPr>
        <a:xfrm>
          <a:off x="192786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144</xdr:row>
      <xdr:rowOff>0</xdr:rowOff>
    </xdr:from>
    <xdr:to>
      <xdr:col>11</xdr:col>
      <xdr:colOff>83820</xdr:colOff>
      <xdr:row>144</xdr:row>
      <xdr:rowOff>114300</xdr:rowOff>
    </xdr:to>
    <xdr:sp macro="" textlink="">
      <xdr:nvSpPr>
        <xdr:cNvPr id="1026" name="Arrow: Down 1025">
          <a:extLst>
            <a:ext uri="{FF2B5EF4-FFF2-40B4-BE49-F238E27FC236}">
              <a16:creationId xmlns:a16="http://schemas.microsoft.com/office/drawing/2014/main" id="{49253A47-471B-4537-9E4A-918ACE527AF9}"/>
            </a:ext>
          </a:extLst>
        </xdr:cNvPr>
        <xdr:cNvSpPr/>
      </xdr:nvSpPr>
      <xdr:spPr>
        <a:xfrm>
          <a:off x="3619500" y="26250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144</xdr:row>
      <xdr:rowOff>0</xdr:rowOff>
    </xdr:from>
    <xdr:to>
      <xdr:col>60</xdr:col>
      <xdr:colOff>83820</xdr:colOff>
      <xdr:row>144</xdr:row>
      <xdr:rowOff>114300</xdr:rowOff>
    </xdr:to>
    <xdr:sp macro="" textlink="">
      <xdr:nvSpPr>
        <xdr:cNvPr id="1029" name="Arrow: Down 1028">
          <a:extLst>
            <a:ext uri="{FF2B5EF4-FFF2-40B4-BE49-F238E27FC236}">
              <a16:creationId xmlns:a16="http://schemas.microsoft.com/office/drawing/2014/main" id="{12CAADF9-475E-4BEF-806F-52E0C255B0ED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144</xdr:row>
      <xdr:rowOff>0</xdr:rowOff>
    </xdr:from>
    <xdr:to>
      <xdr:col>71</xdr:col>
      <xdr:colOff>83820</xdr:colOff>
      <xdr:row>144</xdr:row>
      <xdr:rowOff>114300</xdr:rowOff>
    </xdr:to>
    <xdr:sp macro="" textlink="">
      <xdr:nvSpPr>
        <xdr:cNvPr id="1030" name="Arrow: Down 1029">
          <a:extLst>
            <a:ext uri="{FF2B5EF4-FFF2-40B4-BE49-F238E27FC236}">
              <a16:creationId xmlns:a16="http://schemas.microsoft.com/office/drawing/2014/main" id="{08831B7E-64AA-4F7B-B7B9-6C6815274A79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144</xdr:row>
      <xdr:rowOff>0</xdr:rowOff>
    </xdr:from>
    <xdr:to>
      <xdr:col>39</xdr:col>
      <xdr:colOff>83820</xdr:colOff>
      <xdr:row>144</xdr:row>
      <xdr:rowOff>114300</xdr:rowOff>
    </xdr:to>
    <xdr:sp macro="" textlink="">
      <xdr:nvSpPr>
        <xdr:cNvPr id="1031" name="Arrow: Down 1030">
          <a:extLst>
            <a:ext uri="{FF2B5EF4-FFF2-40B4-BE49-F238E27FC236}">
              <a16:creationId xmlns:a16="http://schemas.microsoft.com/office/drawing/2014/main" id="{40CD1573-43A9-48F2-9C38-DDAE79E1761B}"/>
            </a:ext>
          </a:extLst>
        </xdr:cNvPr>
        <xdr:cNvSpPr/>
      </xdr:nvSpPr>
      <xdr:spPr>
        <a:xfrm>
          <a:off x="1268730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144</xdr:row>
      <xdr:rowOff>0</xdr:rowOff>
    </xdr:from>
    <xdr:to>
      <xdr:col>45</xdr:col>
      <xdr:colOff>83820</xdr:colOff>
      <xdr:row>144</xdr:row>
      <xdr:rowOff>114300</xdr:rowOff>
    </xdr:to>
    <xdr:sp macro="" textlink="">
      <xdr:nvSpPr>
        <xdr:cNvPr id="1032" name="Arrow: Down 1031">
          <a:extLst>
            <a:ext uri="{FF2B5EF4-FFF2-40B4-BE49-F238E27FC236}">
              <a16:creationId xmlns:a16="http://schemas.microsoft.com/office/drawing/2014/main" id="{2F271A85-D695-49FE-94F0-6FC114635A34}"/>
            </a:ext>
          </a:extLst>
        </xdr:cNvPr>
        <xdr:cNvSpPr/>
      </xdr:nvSpPr>
      <xdr:spPr>
        <a:xfrm>
          <a:off x="14493240" y="26433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145</xdr:row>
      <xdr:rowOff>0</xdr:rowOff>
    </xdr:from>
    <xdr:to>
      <xdr:col>5</xdr:col>
      <xdr:colOff>83820</xdr:colOff>
      <xdr:row>145</xdr:row>
      <xdr:rowOff>114300</xdr:rowOff>
    </xdr:to>
    <xdr:sp macro="" textlink="">
      <xdr:nvSpPr>
        <xdr:cNvPr id="1041" name="Arrow: Down 1040">
          <a:extLst>
            <a:ext uri="{FF2B5EF4-FFF2-40B4-BE49-F238E27FC236}">
              <a16:creationId xmlns:a16="http://schemas.microsoft.com/office/drawing/2014/main" id="{061DDFF6-0D74-43E3-85AB-B2E1E1CA803B}"/>
            </a:ext>
          </a:extLst>
        </xdr:cNvPr>
        <xdr:cNvSpPr/>
      </xdr:nvSpPr>
      <xdr:spPr>
        <a:xfrm>
          <a:off x="192786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145</xdr:row>
      <xdr:rowOff>0</xdr:rowOff>
    </xdr:from>
    <xdr:to>
      <xdr:col>11</xdr:col>
      <xdr:colOff>83820</xdr:colOff>
      <xdr:row>145</xdr:row>
      <xdr:rowOff>114300</xdr:rowOff>
    </xdr:to>
    <xdr:sp macro="" textlink="">
      <xdr:nvSpPr>
        <xdr:cNvPr id="1042" name="Arrow: Down 1041">
          <a:extLst>
            <a:ext uri="{FF2B5EF4-FFF2-40B4-BE49-F238E27FC236}">
              <a16:creationId xmlns:a16="http://schemas.microsoft.com/office/drawing/2014/main" id="{DDD06988-826E-4A10-9111-54908FA5C8E5}"/>
            </a:ext>
          </a:extLst>
        </xdr:cNvPr>
        <xdr:cNvSpPr/>
      </xdr:nvSpPr>
      <xdr:spPr>
        <a:xfrm>
          <a:off x="36195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145</xdr:row>
      <xdr:rowOff>0</xdr:rowOff>
    </xdr:from>
    <xdr:to>
      <xdr:col>60</xdr:col>
      <xdr:colOff>83820</xdr:colOff>
      <xdr:row>145</xdr:row>
      <xdr:rowOff>114300</xdr:rowOff>
    </xdr:to>
    <xdr:sp macro="" textlink="">
      <xdr:nvSpPr>
        <xdr:cNvPr id="1043" name="Arrow: Down 1042">
          <a:extLst>
            <a:ext uri="{FF2B5EF4-FFF2-40B4-BE49-F238E27FC236}">
              <a16:creationId xmlns:a16="http://schemas.microsoft.com/office/drawing/2014/main" id="{A619A990-27A1-4AF3-B800-FAE5A2E56A04}"/>
            </a:ext>
          </a:extLst>
        </xdr:cNvPr>
        <xdr:cNvSpPr/>
      </xdr:nvSpPr>
      <xdr:spPr>
        <a:xfrm>
          <a:off x="1531620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145</xdr:row>
      <xdr:rowOff>0</xdr:rowOff>
    </xdr:from>
    <xdr:to>
      <xdr:col>71</xdr:col>
      <xdr:colOff>83820</xdr:colOff>
      <xdr:row>145</xdr:row>
      <xdr:rowOff>114300</xdr:rowOff>
    </xdr:to>
    <xdr:sp macro="" textlink="">
      <xdr:nvSpPr>
        <xdr:cNvPr id="1044" name="Arrow: Down 1043">
          <a:extLst>
            <a:ext uri="{FF2B5EF4-FFF2-40B4-BE49-F238E27FC236}">
              <a16:creationId xmlns:a16="http://schemas.microsoft.com/office/drawing/2014/main" id="{D65B4D1C-2E6D-4F50-B93D-59DD805FC331}"/>
            </a:ext>
          </a:extLst>
        </xdr:cNvPr>
        <xdr:cNvSpPr/>
      </xdr:nvSpPr>
      <xdr:spPr>
        <a:xfrm>
          <a:off x="17632680" y="26433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145</xdr:row>
      <xdr:rowOff>0</xdr:rowOff>
    </xdr:from>
    <xdr:to>
      <xdr:col>39</xdr:col>
      <xdr:colOff>83820</xdr:colOff>
      <xdr:row>145</xdr:row>
      <xdr:rowOff>114300</xdr:rowOff>
    </xdr:to>
    <xdr:sp macro="" textlink="">
      <xdr:nvSpPr>
        <xdr:cNvPr id="956" name="Arrow: Down 955">
          <a:extLst>
            <a:ext uri="{FF2B5EF4-FFF2-40B4-BE49-F238E27FC236}">
              <a16:creationId xmlns:a16="http://schemas.microsoft.com/office/drawing/2014/main" id="{4042548F-17FB-48DC-A7ED-BFE8177CD795}"/>
            </a:ext>
          </a:extLst>
        </xdr:cNvPr>
        <xdr:cNvSpPr/>
      </xdr:nvSpPr>
      <xdr:spPr>
        <a:xfrm rot="10800000">
          <a:off x="874776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145</xdr:row>
      <xdr:rowOff>0</xdr:rowOff>
    </xdr:from>
    <xdr:to>
      <xdr:col>45</xdr:col>
      <xdr:colOff>83820</xdr:colOff>
      <xdr:row>145</xdr:row>
      <xdr:rowOff>114300</xdr:rowOff>
    </xdr:to>
    <xdr:sp macro="" textlink="">
      <xdr:nvSpPr>
        <xdr:cNvPr id="957" name="Arrow: Down 956">
          <a:extLst>
            <a:ext uri="{FF2B5EF4-FFF2-40B4-BE49-F238E27FC236}">
              <a16:creationId xmlns:a16="http://schemas.microsoft.com/office/drawing/2014/main" id="{2BEF22FE-1D6F-4F76-8A7C-953FE0E3D8D3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145</xdr:row>
      <xdr:rowOff>0</xdr:rowOff>
    </xdr:from>
    <xdr:to>
      <xdr:col>24</xdr:col>
      <xdr:colOff>83820</xdr:colOff>
      <xdr:row>145</xdr:row>
      <xdr:rowOff>114300</xdr:rowOff>
    </xdr:to>
    <xdr:sp macro="" textlink="">
      <xdr:nvSpPr>
        <xdr:cNvPr id="958" name="Arrow: Down 957">
          <a:extLst>
            <a:ext uri="{FF2B5EF4-FFF2-40B4-BE49-F238E27FC236}">
              <a16:creationId xmlns:a16="http://schemas.microsoft.com/office/drawing/2014/main" id="{A8F4120E-A402-493A-A0A5-946F9A4D7218}"/>
            </a:ext>
          </a:extLst>
        </xdr:cNvPr>
        <xdr:cNvSpPr/>
      </xdr:nvSpPr>
      <xdr:spPr>
        <a:xfrm rot="10800000">
          <a:off x="5585460" y="26616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146</xdr:row>
      <xdr:rowOff>0</xdr:rowOff>
    </xdr:from>
    <xdr:to>
      <xdr:col>45</xdr:col>
      <xdr:colOff>83820</xdr:colOff>
      <xdr:row>146</xdr:row>
      <xdr:rowOff>114300</xdr:rowOff>
    </xdr:to>
    <xdr:sp macro="" textlink="">
      <xdr:nvSpPr>
        <xdr:cNvPr id="980" name="Arrow: Down 979">
          <a:extLst>
            <a:ext uri="{FF2B5EF4-FFF2-40B4-BE49-F238E27FC236}">
              <a16:creationId xmlns:a16="http://schemas.microsoft.com/office/drawing/2014/main" id="{21AB4641-BC99-4708-A355-D79018888AD5}"/>
            </a:ext>
          </a:extLst>
        </xdr:cNvPr>
        <xdr:cNvSpPr/>
      </xdr:nvSpPr>
      <xdr:spPr>
        <a:xfrm rot="10800000">
          <a:off x="10553700" y="26616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146</xdr:row>
      <xdr:rowOff>0</xdr:rowOff>
    </xdr:from>
    <xdr:to>
      <xdr:col>5</xdr:col>
      <xdr:colOff>83820</xdr:colOff>
      <xdr:row>146</xdr:row>
      <xdr:rowOff>114300</xdr:rowOff>
    </xdr:to>
    <xdr:sp macro="" textlink="">
      <xdr:nvSpPr>
        <xdr:cNvPr id="993" name="Arrow: Down 992">
          <a:extLst>
            <a:ext uri="{FF2B5EF4-FFF2-40B4-BE49-F238E27FC236}">
              <a16:creationId xmlns:a16="http://schemas.microsoft.com/office/drawing/2014/main" id="{C85C23AC-F411-4478-B543-DF678A2CEE02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146</xdr:row>
      <xdr:rowOff>0</xdr:rowOff>
    </xdr:from>
    <xdr:to>
      <xdr:col>11</xdr:col>
      <xdr:colOff>83820</xdr:colOff>
      <xdr:row>146</xdr:row>
      <xdr:rowOff>114300</xdr:rowOff>
    </xdr:to>
    <xdr:sp macro="" textlink="">
      <xdr:nvSpPr>
        <xdr:cNvPr id="1012" name="Arrow: Down 1011">
          <a:extLst>
            <a:ext uri="{FF2B5EF4-FFF2-40B4-BE49-F238E27FC236}">
              <a16:creationId xmlns:a16="http://schemas.microsoft.com/office/drawing/2014/main" id="{8231E96B-83FD-4F59-82DC-9051754BCCBF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146</xdr:row>
      <xdr:rowOff>0</xdr:rowOff>
    </xdr:from>
    <xdr:to>
      <xdr:col>24</xdr:col>
      <xdr:colOff>83820</xdr:colOff>
      <xdr:row>146</xdr:row>
      <xdr:rowOff>114300</xdr:rowOff>
    </xdr:to>
    <xdr:sp macro="" textlink="">
      <xdr:nvSpPr>
        <xdr:cNvPr id="1019" name="Arrow: Down 1018">
          <a:extLst>
            <a:ext uri="{FF2B5EF4-FFF2-40B4-BE49-F238E27FC236}">
              <a16:creationId xmlns:a16="http://schemas.microsoft.com/office/drawing/2014/main" id="{AD752C76-253C-44EC-AD26-21EB0C44A10A}"/>
            </a:ext>
          </a:extLst>
        </xdr:cNvPr>
        <xdr:cNvSpPr/>
      </xdr:nvSpPr>
      <xdr:spPr>
        <a:xfrm rot="10800000">
          <a:off x="55854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146</xdr:row>
      <xdr:rowOff>0</xdr:rowOff>
    </xdr:from>
    <xdr:to>
      <xdr:col>39</xdr:col>
      <xdr:colOff>83820</xdr:colOff>
      <xdr:row>146</xdr:row>
      <xdr:rowOff>114300</xdr:rowOff>
    </xdr:to>
    <xdr:sp macro="" textlink="">
      <xdr:nvSpPr>
        <xdr:cNvPr id="1022" name="Arrow: Down 1021">
          <a:extLst>
            <a:ext uri="{FF2B5EF4-FFF2-40B4-BE49-F238E27FC236}">
              <a16:creationId xmlns:a16="http://schemas.microsoft.com/office/drawing/2014/main" id="{53F8F98E-393D-4BC4-92CD-C52AF6CD3A46}"/>
            </a:ext>
          </a:extLst>
        </xdr:cNvPr>
        <xdr:cNvSpPr/>
      </xdr:nvSpPr>
      <xdr:spPr>
        <a:xfrm>
          <a:off x="87477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146</xdr:row>
      <xdr:rowOff>0</xdr:rowOff>
    </xdr:from>
    <xdr:to>
      <xdr:col>60</xdr:col>
      <xdr:colOff>83820</xdr:colOff>
      <xdr:row>146</xdr:row>
      <xdr:rowOff>114300</xdr:rowOff>
    </xdr:to>
    <xdr:sp macro="" textlink="">
      <xdr:nvSpPr>
        <xdr:cNvPr id="1027" name="Arrow: Down 1026">
          <a:extLst>
            <a:ext uri="{FF2B5EF4-FFF2-40B4-BE49-F238E27FC236}">
              <a16:creationId xmlns:a16="http://schemas.microsoft.com/office/drawing/2014/main" id="{C813538D-D35C-4BD9-A134-949B7B4BCF2F}"/>
            </a:ext>
          </a:extLst>
        </xdr:cNvPr>
        <xdr:cNvSpPr/>
      </xdr:nvSpPr>
      <xdr:spPr>
        <a:xfrm rot="10800000">
          <a:off x="153162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146</xdr:row>
      <xdr:rowOff>0</xdr:rowOff>
    </xdr:from>
    <xdr:to>
      <xdr:col>71</xdr:col>
      <xdr:colOff>83820</xdr:colOff>
      <xdr:row>146</xdr:row>
      <xdr:rowOff>114300</xdr:rowOff>
    </xdr:to>
    <xdr:sp macro="" textlink="">
      <xdr:nvSpPr>
        <xdr:cNvPr id="1028" name="Arrow: Down 1027">
          <a:extLst>
            <a:ext uri="{FF2B5EF4-FFF2-40B4-BE49-F238E27FC236}">
              <a16:creationId xmlns:a16="http://schemas.microsoft.com/office/drawing/2014/main" id="{340696E2-9F6B-4B05-89ED-AE1782A7814A}"/>
            </a:ext>
          </a:extLst>
        </xdr:cNvPr>
        <xdr:cNvSpPr/>
      </xdr:nvSpPr>
      <xdr:spPr>
        <a:xfrm rot="10800000">
          <a:off x="1763268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147</xdr:row>
      <xdr:rowOff>0</xdr:rowOff>
    </xdr:from>
    <xdr:to>
      <xdr:col>45</xdr:col>
      <xdr:colOff>83820</xdr:colOff>
      <xdr:row>147</xdr:row>
      <xdr:rowOff>114300</xdr:rowOff>
    </xdr:to>
    <xdr:sp macro="" textlink="">
      <xdr:nvSpPr>
        <xdr:cNvPr id="966" name="Arrow: Down 965">
          <a:extLst>
            <a:ext uri="{FF2B5EF4-FFF2-40B4-BE49-F238E27FC236}">
              <a16:creationId xmlns:a16="http://schemas.microsoft.com/office/drawing/2014/main" id="{72BFFA0E-C232-40F3-B57B-7001EF2C7836}"/>
            </a:ext>
          </a:extLst>
        </xdr:cNvPr>
        <xdr:cNvSpPr/>
      </xdr:nvSpPr>
      <xdr:spPr>
        <a:xfrm rot="10800000">
          <a:off x="10553700" y="26799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147</xdr:row>
      <xdr:rowOff>0</xdr:rowOff>
    </xdr:from>
    <xdr:to>
      <xdr:col>5</xdr:col>
      <xdr:colOff>83820</xdr:colOff>
      <xdr:row>147</xdr:row>
      <xdr:rowOff>114300</xdr:rowOff>
    </xdr:to>
    <xdr:sp macro="" textlink="">
      <xdr:nvSpPr>
        <xdr:cNvPr id="969" name="Arrow: Down 968">
          <a:extLst>
            <a:ext uri="{FF2B5EF4-FFF2-40B4-BE49-F238E27FC236}">
              <a16:creationId xmlns:a16="http://schemas.microsoft.com/office/drawing/2014/main" id="{552F8DA2-A27E-46CA-84A1-F35E5606733A}"/>
            </a:ext>
          </a:extLst>
        </xdr:cNvPr>
        <xdr:cNvSpPr/>
      </xdr:nvSpPr>
      <xdr:spPr>
        <a:xfrm rot="10800000">
          <a:off x="192786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147</xdr:row>
      <xdr:rowOff>0</xdr:rowOff>
    </xdr:from>
    <xdr:to>
      <xdr:col>11</xdr:col>
      <xdr:colOff>83820</xdr:colOff>
      <xdr:row>147</xdr:row>
      <xdr:rowOff>114300</xdr:rowOff>
    </xdr:to>
    <xdr:sp macro="" textlink="">
      <xdr:nvSpPr>
        <xdr:cNvPr id="970" name="Arrow: Down 969">
          <a:extLst>
            <a:ext uri="{FF2B5EF4-FFF2-40B4-BE49-F238E27FC236}">
              <a16:creationId xmlns:a16="http://schemas.microsoft.com/office/drawing/2014/main" id="{BFDBAF4B-64A8-49D6-B3F6-BCE12191C1F9}"/>
            </a:ext>
          </a:extLst>
        </xdr:cNvPr>
        <xdr:cNvSpPr/>
      </xdr:nvSpPr>
      <xdr:spPr>
        <a:xfrm rot="10800000">
          <a:off x="3619500" y="26799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147</xdr:row>
      <xdr:rowOff>0</xdr:rowOff>
    </xdr:from>
    <xdr:to>
      <xdr:col>24</xdr:col>
      <xdr:colOff>83820</xdr:colOff>
      <xdr:row>147</xdr:row>
      <xdr:rowOff>114300</xdr:rowOff>
    </xdr:to>
    <xdr:sp macro="" textlink="">
      <xdr:nvSpPr>
        <xdr:cNvPr id="995" name="Arrow: Down 994">
          <a:extLst>
            <a:ext uri="{FF2B5EF4-FFF2-40B4-BE49-F238E27FC236}">
              <a16:creationId xmlns:a16="http://schemas.microsoft.com/office/drawing/2014/main" id="{60B83ED8-90A9-4E9F-ABB2-E90ED218F1E1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147</xdr:row>
      <xdr:rowOff>0</xdr:rowOff>
    </xdr:from>
    <xdr:to>
      <xdr:col>39</xdr:col>
      <xdr:colOff>83820</xdr:colOff>
      <xdr:row>147</xdr:row>
      <xdr:rowOff>114300</xdr:rowOff>
    </xdr:to>
    <xdr:sp macro="" textlink="">
      <xdr:nvSpPr>
        <xdr:cNvPr id="1011" name="Arrow: Down 1010">
          <a:extLst>
            <a:ext uri="{FF2B5EF4-FFF2-40B4-BE49-F238E27FC236}">
              <a16:creationId xmlns:a16="http://schemas.microsoft.com/office/drawing/2014/main" id="{13A4E355-5C6F-48A6-8861-C0F1209BE355}"/>
            </a:ext>
          </a:extLst>
        </xdr:cNvPr>
        <xdr:cNvSpPr/>
      </xdr:nvSpPr>
      <xdr:spPr>
        <a:xfrm rot="10800000">
          <a:off x="87477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147</xdr:row>
      <xdr:rowOff>0</xdr:rowOff>
    </xdr:from>
    <xdr:to>
      <xdr:col>60</xdr:col>
      <xdr:colOff>83820</xdr:colOff>
      <xdr:row>147</xdr:row>
      <xdr:rowOff>114300</xdr:rowOff>
    </xdr:to>
    <xdr:sp macro="" textlink="">
      <xdr:nvSpPr>
        <xdr:cNvPr id="1016" name="Arrow: Down 1015">
          <a:extLst>
            <a:ext uri="{FF2B5EF4-FFF2-40B4-BE49-F238E27FC236}">
              <a16:creationId xmlns:a16="http://schemas.microsoft.com/office/drawing/2014/main" id="{607FA836-3359-4408-80D5-8D823F60FC9C}"/>
            </a:ext>
          </a:extLst>
        </xdr:cNvPr>
        <xdr:cNvSpPr/>
      </xdr:nvSpPr>
      <xdr:spPr>
        <a:xfrm>
          <a:off x="1531620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147</xdr:row>
      <xdr:rowOff>0</xdr:rowOff>
    </xdr:from>
    <xdr:to>
      <xdr:col>71</xdr:col>
      <xdr:colOff>83820</xdr:colOff>
      <xdr:row>147</xdr:row>
      <xdr:rowOff>114300</xdr:rowOff>
    </xdr:to>
    <xdr:sp macro="" textlink="">
      <xdr:nvSpPr>
        <xdr:cNvPr id="1033" name="Arrow: Down 1032">
          <a:extLst>
            <a:ext uri="{FF2B5EF4-FFF2-40B4-BE49-F238E27FC236}">
              <a16:creationId xmlns:a16="http://schemas.microsoft.com/office/drawing/2014/main" id="{B2053CE8-9EF9-4895-BE89-9235141768D6}"/>
            </a:ext>
          </a:extLst>
        </xdr:cNvPr>
        <xdr:cNvSpPr/>
      </xdr:nvSpPr>
      <xdr:spPr>
        <a:xfrm>
          <a:off x="1763268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148</xdr:row>
      <xdr:rowOff>0</xdr:rowOff>
    </xdr:from>
    <xdr:to>
      <xdr:col>5</xdr:col>
      <xdr:colOff>83820</xdr:colOff>
      <xdr:row>148</xdr:row>
      <xdr:rowOff>114300</xdr:rowOff>
    </xdr:to>
    <xdr:sp macro="" textlink="">
      <xdr:nvSpPr>
        <xdr:cNvPr id="1035" name="Arrow: Down 1034">
          <a:extLst>
            <a:ext uri="{FF2B5EF4-FFF2-40B4-BE49-F238E27FC236}">
              <a16:creationId xmlns:a16="http://schemas.microsoft.com/office/drawing/2014/main" id="{A5AA3208-8BE5-455C-BCDB-49AFAA41B5A1}"/>
            </a:ext>
          </a:extLst>
        </xdr:cNvPr>
        <xdr:cNvSpPr/>
      </xdr:nvSpPr>
      <xdr:spPr>
        <a:xfrm rot="10800000">
          <a:off x="192786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148</xdr:row>
      <xdr:rowOff>0</xdr:rowOff>
    </xdr:from>
    <xdr:to>
      <xdr:col>11</xdr:col>
      <xdr:colOff>83820</xdr:colOff>
      <xdr:row>148</xdr:row>
      <xdr:rowOff>114300</xdr:rowOff>
    </xdr:to>
    <xdr:sp macro="" textlink="">
      <xdr:nvSpPr>
        <xdr:cNvPr id="1036" name="Arrow: Down 1035">
          <a:extLst>
            <a:ext uri="{FF2B5EF4-FFF2-40B4-BE49-F238E27FC236}">
              <a16:creationId xmlns:a16="http://schemas.microsoft.com/office/drawing/2014/main" id="{B459710A-16EF-41C1-984C-48D9748CE23A}"/>
            </a:ext>
          </a:extLst>
        </xdr:cNvPr>
        <xdr:cNvSpPr/>
      </xdr:nvSpPr>
      <xdr:spPr>
        <a:xfrm rot="10800000">
          <a:off x="3619500" y="26982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148</xdr:row>
      <xdr:rowOff>0</xdr:rowOff>
    </xdr:from>
    <xdr:to>
      <xdr:col>24</xdr:col>
      <xdr:colOff>83820</xdr:colOff>
      <xdr:row>148</xdr:row>
      <xdr:rowOff>114300</xdr:rowOff>
    </xdr:to>
    <xdr:sp macro="" textlink="">
      <xdr:nvSpPr>
        <xdr:cNvPr id="1037" name="Arrow: Down 1036">
          <a:extLst>
            <a:ext uri="{FF2B5EF4-FFF2-40B4-BE49-F238E27FC236}">
              <a16:creationId xmlns:a16="http://schemas.microsoft.com/office/drawing/2014/main" id="{C80FE9FA-87DF-495E-AD20-38952F2F2D38}"/>
            </a:ext>
          </a:extLst>
        </xdr:cNvPr>
        <xdr:cNvSpPr/>
      </xdr:nvSpPr>
      <xdr:spPr>
        <a:xfrm>
          <a:off x="5585460" y="26982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148</xdr:row>
      <xdr:rowOff>0</xdr:rowOff>
    </xdr:from>
    <xdr:to>
      <xdr:col>39</xdr:col>
      <xdr:colOff>83820</xdr:colOff>
      <xdr:row>148</xdr:row>
      <xdr:rowOff>114300</xdr:rowOff>
    </xdr:to>
    <xdr:sp macro="" textlink="">
      <xdr:nvSpPr>
        <xdr:cNvPr id="971" name="Arrow: Down 970">
          <a:extLst>
            <a:ext uri="{FF2B5EF4-FFF2-40B4-BE49-F238E27FC236}">
              <a16:creationId xmlns:a16="http://schemas.microsoft.com/office/drawing/2014/main" id="{296C5CD7-37E2-430D-9B00-4773671856CF}"/>
            </a:ext>
          </a:extLst>
        </xdr:cNvPr>
        <xdr:cNvSpPr/>
      </xdr:nvSpPr>
      <xdr:spPr>
        <a:xfrm>
          <a:off x="87477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148</xdr:row>
      <xdr:rowOff>0</xdr:rowOff>
    </xdr:from>
    <xdr:to>
      <xdr:col>45</xdr:col>
      <xdr:colOff>83820</xdr:colOff>
      <xdr:row>148</xdr:row>
      <xdr:rowOff>114300</xdr:rowOff>
    </xdr:to>
    <xdr:sp macro="" textlink="">
      <xdr:nvSpPr>
        <xdr:cNvPr id="976" name="Arrow: Down 975">
          <a:extLst>
            <a:ext uri="{FF2B5EF4-FFF2-40B4-BE49-F238E27FC236}">
              <a16:creationId xmlns:a16="http://schemas.microsoft.com/office/drawing/2014/main" id="{0B8F77B7-5EEA-4BC8-84A7-8342CEDF02BF}"/>
            </a:ext>
          </a:extLst>
        </xdr:cNvPr>
        <xdr:cNvSpPr/>
      </xdr:nvSpPr>
      <xdr:spPr>
        <a:xfrm>
          <a:off x="105537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148</xdr:row>
      <xdr:rowOff>0</xdr:rowOff>
    </xdr:from>
    <xdr:to>
      <xdr:col>60</xdr:col>
      <xdr:colOff>83820</xdr:colOff>
      <xdr:row>148</xdr:row>
      <xdr:rowOff>114300</xdr:rowOff>
    </xdr:to>
    <xdr:sp macro="" textlink="">
      <xdr:nvSpPr>
        <xdr:cNvPr id="991" name="Arrow: Down 990">
          <a:extLst>
            <a:ext uri="{FF2B5EF4-FFF2-40B4-BE49-F238E27FC236}">
              <a16:creationId xmlns:a16="http://schemas.microsoft.com/office/drawing/2014/main" id="{ED9DD4B0-1C29-4DDA-9371-C1E6953FD022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148</xdr:row>
      <xdr:rowOff>0</xdr:rowOff>
    </xdr:from>
    <xdr:to>
      <xdr:col>71</xdr:col>
      <xdr:colOff>83820</xdr:colOff>
      <xdr:row>148</xdr:row>
      <xdr:rowOff>114300</xdr:rowOff>
    </xdr:to>
    <xdr:sp macro="" textlink="">
      <xdr:nvSpPr>
        <xdr:cNvPr id="1015" name="Arrow: Down 1014">
          <a:extLst>
            <a:ext uri="{FF2B5EF4-FFF2-40B4-BE49-F238E27FC236}">
              <a16:creationId xmlns:a16="http://schemas.microsoft.com/office/drawing/2014/main" id="{2D407877-704A-4DE9-AAE5-C871FC912F94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149</xdr:row>
      <xdr:rowOff>0</xdr:rowOff>
    </xdr:from>
    <xdr:to>
      <xdr:col>5</xdr:col>
      <xdr:colOff>83820</xdr:colOff>
      <xdr:row>149</xdr:row>
      <xdr:rowOff>114300</xdr:rowOff>
    </xdr:to>
    <xdr:sp macro="" textlink="">
      <xdr:nvSpPr>
        <xdr:cNvPr id="1024" name="Arrow: Down 1023">
          <a:extLst>
            <a:ext uri="{FF2B5EF4-FFF2-40B4-BE49-F238E27FC236}">
              <a16:creationId xmlns:a16="http://schemas.microsoft.com/office/drawing/2014/main" id="{61690D22-DB69-40EF-BF2F-6DBEDEDAB309}"/>
            </a:ext>
          </a:extLst>
        </xdr:cNvPr>
        <xdr:cNvSpPr/>
      </xdr:nvSpPr>
      <xdr:spPr>
        <a:xfrm rot="10800000">
          <a:off x="192786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149</xdr:row>
      <xdr:rowOff>0</xdr:rowOff>
    </xdr:from>
    <xdr:to>
      <xdr:col>11</xdr:col>
      <xdr:colOff>83820</xdr:colOff>
      <xdr:row>149</xdr:row>
      <xdr:rowOff>114300</xdr:rowOff>
    </xdr:to>
    <xdr:sp macro="" textlink="">
      <xdr:nvSpPr>
        <xdr:cNvPr id="1045" name="Arrow: Down 1044">
          <a:extLst>
            <a:ext uri="{FF2B5EF4-FFF2-40B4-BE49-F238E27FC236}">
              <a16:creationId xmlns:a16="http://schemas.microsoft.com/office/drawing/2014/main" id="{D938406B-ADC5-4582-9DE0-EEA86B1A9EE1}"/>
            </a:ext>
          </a:extLst>
        </xdr:cNvPr>
        <xdr:cNvSpPr/>
      </xdr:nvSpPr>
      <xdr:spPr>
        <a:xfrm rot="10800000">
          <a:off x="36195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149</xdr:row>
      <xdr:rowOff>0</xdr:rowOff>
    </xdr:from>
    <xdr:to>
      <xdr:col>60</xdr:col>
      <xdr:colOff>83820</xdr:colOff>
      <xdr:row>149</xdr:row>
      <xdr:rowOff>114300</xdr:rowOff>
    </xdr:to>
    <xdr:sp macro="" textlink="">
      <xdr:nvSpPr>
        <xdr:cNvPr id="1049" name="Arrow: Down 1048">
          <a:extLst>
            <a:ext uri="{FF2B5EF4-FFF2-40B4-BE49-F238E27FC236}">
              <a16:creationId xmlns:a16="http://schemas.microsoft.com/office/drawing/2014/main" id="{8D2F8789-B34D-4952-9C66-C10A648236CC}"/>
            </a:ext>
          </a:extLst>
        </xdr:cNvPr>
        <xdr:cNvSpPr/>
      </xdr:nvSpPr>
      <xdr:spPr>
        <a:xfrm rot="10800000">
          <a:off x="1531620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149</xdr:row>
      <xdr:rowOff>0</xdr:rowOff>
    </xdr:from>
    <xdr:to>
      <xdr:col>71</xdr:col>
      <xdr:colOff>83820</xdr:colOff>
      <xdr:row>149</xdr:row>
      <xdr:rowOff>114300</xdr:rowOff>
    </xdr:to>
    <xdr:sp macro="" textlink="">
      <xdr:nvSpPr>
        <xdr:cNvPr id="1050" name="Arrow: Down 1049">
          <a:extLst>
            <a:ext uri="{FF2B5EF4-FFF2-40B4-BE49-F238E27FC236}">
              <a16:creationId xmlns:a16="http://schemas.microsoft.com/office/drawing/2014/main" id="{12AFA0BD-E557-4296-B13E-2DD2F3BC52C3}"/>
            </a:ext>
          </a:extLst>
        </xdr:cNvPr>
        <xdr:cNvSpPr/>
      </xdr:nvSpPr>
      <xdr:spPr>
        <a:xfrm rot="10800000">
          <a:off x="17632680" y="2716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149</xdr:row>
      <xdr:rowOff>0</xdr:rowOff>
    </xdr:from>
    <xdr:to>
      <xdr:col>24</xdr:col>
      <xdr:colOff>83820</xdr:colOff>
      <xdr:row>149</xdr:row>
      <xdr:rowOff>114300</xdr:rowOff>
    </xdr:to>
    <xdr:sp macro="" textlink="">
      <xdr:nvSpPr>
        <xdr:cNvPr id="1051" name="Arrow: Down 1050">
          <a:extLst>
            <a:ext uri="{FF2B5EF4-FFF2-40B4-BE49-F238E27FC236}">
              <a16:creationId xmlns:a16="http://schemas.microsoft.com/office/drawing/2014/main" id="{BDE025BF-25D5-4820-8D8B-1AA5F7FF2A1D}"/>
            </a:ext>
          </a:extLst>
        </xdr:cNvPr>
        <xdr:cNvSpPr/>
      </xdr:nvSpPr>
      <xdr:spPr>
        <a:xfrm rot="10800000">
          <a:off x="5585460" y="2734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149</xdr:row>
      <xdr:rowOff>0</xdr:rowOff>
    </xdr:from>
    <xdr:to>
      <xdr:col>39</xdr:col>
      <xdr:colOff>83820</xdr:colOff>
      <xdr:row>149</xdr:row>
      <xdr:rowOff>114300</xdr:rowOff>
    </xdr:to>
    <xdr:sp macro="" textlink="">
      <xdr:nvSpPr>
        <xdr:cNvPr id="1052" name="Arrow: Down 1051">
          <a:extLst>
            <a:ext uri="{FF2B5EF4-FFF2-40B4-BE49-F238E27FC236}">
              <a16:creationId xmlns:a16="http://schemas.microsoft.com/office/drawing/2014/main" id="{461B7E07-DC74-41CD-8658-CA885855A542}"/>
            </a:ext>
          </a:extLst>
        </xdr:cNvPr>
        <xdr:cNvSpPr/>
      </xdr:nvSpPr>
      <xdr:spPr>
        <a:xfrm rot="10800000">
          <a:off x="874776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149</xdr:row>
      <xdr:rowOff>0</xdr:rowOff>
    </xdr:from>
    <xdr:to>
      <xdr:col>45</xdr:col>
      <xdr:colOff>83820</xdr:colOff>
      <xdr:row>149</xdr:row>
      <xdr:rowOff>114300</xdr:rowOff>
    </xdr:to>
    <xdr:sp macro="" textlink="">
      <xdr:nvSpPr>
        <xdr:cNvPr id="1053" name="Arrow: Down 1052">
          <a:extLst>
            <a:ext uri="{FF2B5EF4-FFF2-40B4-BE49-F238E27FC236}">
              <a16:creationId xmlns:a16="http://schemas.microsoft.com/office/drawing/2014/main" id="{E923D8E0-8AF4-4E8A-8FAD-5A8ED7862D1B}"/>
            </a:ext>
          </a:extLst>
        </xdr:cNvPr>
        <xdr:cNvSpPr/>
      </xdr:nvSpPr>
      <xdr:spPr>
        <a:xfrm rot="10800000">
          <a:off x="10553700" y="27348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150</xdr:row>
      <xdr:rowOff>0</xdr:rowOff>
    </xdr:from>
    <xdr:to>
      <xdr:col>5</xdr:col>
      <xdr:colOff>83820</xdr:colOff>
      <xdr:row>150</xdr:row>
      <xdr:rowOff>114300</xdr:rowOff>
    </xdr:to>
    <xdr:sp macro="" textlink="">
      <xdr:nvSpPr>
        <xdr:cNvPr id="1048" name="Arrow: Down 1047">
          <a:extLst>
            <a:ext uri="{FF2B5EF4-FFF2-40B4-BE49-F238E27FC236}">
              <a16:creationId xmlns:a16="http://schemas.microsoft.com/office/drawing/2014/main" id="{CE3F376A-E743-450D-AABD-B91EED328635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150</xdr:row>
      <xdr:rowOff>0</xdr:rowOff>
    </xdr:from>
    <xdr:to>
      <xdr:col>11</xdr:col>
      <xdr:colOff>83820</xdr:colOff>
      <xdr:row>150</xdr:row>
      <xdr:rowOff>114300</xdr:rowOff>
    </xdr:to>
    <xdr:sp macro="" textlink="">
      <xdr:nvSpPr>
        <xdr:cNvPr id="1054" name="Arrow: Down 1053">
          <a:extLst>
            <a:ext uri="{FF2B5EF4-FFF2-40B4-BE49-F238E27FC236}">
              <a16:creationId xmlns:a16="http://schemas.microsoft.com/office/drawing/2014/main" id="{D71957A3-47C9-4E43-93ED-D1C2A0536358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150</xdr:row>
      <xdr:rowOff>0</xdr:rowOff>
    </xdr:from>
    <xdr:to>
      <xdr:col>24</xdr:col>
      <xdr:colOff>83820</xdr:colOff>
      <xdr:row>150</xdr:row>
      <xdr:rowOff>114300</xdr:rowOff>
    </xdr:to>
    <xdr:sp macro="" textlink="">
      <xdr:nvSpPr>
        <xdr:cNvPr id="1055" name="Arrow: Down 1054">
          <a:extLst>
            <a:ext uri="{FF2B5EF4-FFF2-40B4-BE49-F238E27FC236}">
              <a16:creationId xmlns:a16="http://schemas.microsoft.com/office/drawing/2014/main" id="{9EA5BE6E-657C-4139-ACD5-D39FDC6029C2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150</xdr:row>
      <xdr:rowOff>0</xdr:rowOff>
    </xdr:from>
    <xdr:to>
      <xdr:col>60</xdr:col>
      <xdr:colOff>83820</xdr:colOff>
      <xdr:row>150</xdr:row>
      <xdr:rowOff>114300</xdr:rowOff>
    </xdr:to>
    <xdr:sp macro="" textlink="">
      <xdr:nvSpPr>
        <xdr:cNvPr id="1056" name="Arrow: Down 1055">
          <a:extLst>
            <a:ext uri="{FF2B5EF4-FFF2-40B4-BE49-F238E27FC236}">
              <a16:creationId xmlns:a16="http://schemas.microsoft.com/office/drawing/2014/main" id="{80D5AA29-31D7-4E32-96B1-0E89F3FFFA41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150</xdr:row>
      <xdr:rowOff>0</xdr:rowOff>
    </xdr:from>
    <xdr:to>
      <xdr:col>71</xdr:col>
      <xdr:colOff>83820</xdr:colOff>
      <xdr:row>150</xdr:row>
      <xdr:rowOff>114300</xdr:rowOff>
    </xdr:to>
    <xdr:sp macro="" textlink="">
      <xdr:nvSpPr>
        <xdr:cNvPr id="1058" name="Arrow: Down 1057">
          <a:extLst>
            <a:ext uri="{FF2B5EF4-FFF2-40B4-BE49-F238E27FC236}">
              <a16:creationId xmlns:a16="http://schemas.microsoft.com/office/drawing/2014/main" id="{22887A9C-3822-46C5-97B2-5EA3A69B25D4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150</xdr:row>
      <xdr:rowOff>0</xdr:rowOff>
    </xdr:from>
    <xdr:to>
      <xdr:col>39</xdr:col>
      <xdr:colOff>83820</xdr:colOff>
      <xdr:row>150</xdr:row>
      <xdr:rowOff>114300</xdr:rowOff>
    </xdr:to>
    <xdr:sp macro="" textlink="">
      <xdr:nvSpPr>
        <xdr:cNvPr id="1059" name="Arrow: Down 1058">
          <a:extLst>
            <a:ext uri="{FF2B5EF4-FFF2-40B4-BE49-F238E27FC236}">
              <a16:creationId xmlns:a16="http://schemas.microsoft.com/office/drawing/2014/main" id="{F843677D-3463-41F8-AC81-603E614D66F0}"/>
            </a:ext>
          </a:extLst>
        </xdr:cNvPr>
        <xdr:cNvSpPr/>
      </xdr:nvSpPr>
      <xdr:spPr>
        <a:xfrm>
          <a:off x="890778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150</xdr:row>
      <xdr:rowOff>0</xdr:rowOff>
    </xdr:from>
    <xdr:to>
      <xdr:col>45</xdr:col>
      <xdr:colOff>83820</xdr:colOff>
      <xdr:row>150</xdr:row>
      <xdr:rowOff>114300</xdr:rowOff>
    </xdr:to>
    <xdr:sp macro="" textlink="">
      <xdr:nvSpPr>
        <xdr:cNvPr id="1060" name="Arrow: Down 1059">
          <a:extLst>
            <a:ext uri="{FF2B5EF4-FFF2-40B4-BE49-F238E27FC236}">
              <a16:creationId xmlns:a16="http://schemas.microsoft.com/office/drawing/2014/main" id="{51332D56-3D3F-4113-9247-1CD4BE8F6497}"/>
            </a:ext>
          </a:extLst>
        </xdr:cNvPr>
        <xdr:cNvSpPr/>
      </xdr:nvSpPr>
      <xdr:spPr>
        <a:xfrm>
          <a:off x="10553700" y="27531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151</xdr:row>
      <xdr:rowOff>0</xdr:rowOff>
    </xdr:from>
    <xdr:to>
      <xdr:col>5</xdr:col>
      <xdr:colOff>83820</xdr:colOff>
      <xdr:row>151</xdr:row>
      <xdr:rowOff>114300</xdr:rowOff>
    </xdr:to>
    <xdr:sp macro="" textlink="">
      <xdr:nvSpPr>
        <xdr:cNvPr id="1061" name="Arrow: Down 1060">
          <a:extLst>
            <a:ext uri="{FF2B5EF4-FFF2-40B4-BE49-F238E27FC236}">
              <a16:creationId xmlns:a16="http://schemas.microsoft.com/office/drawing/2014/main" id="{E7586464-DA52-4E4A-9BE8-4E78DC8E575F}"/>
            </a:ext>
          </a:extLst>
        </xdr:cNvPr>
        <xdr:cNvSpPr/>
      </xdr:nvSpPr>
      <xdr:spPr>
        <a:xfrm>
          <a:off x="19278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151</xdr:row>
      <xdr:rowOff>0</xdr:rowOff>
    </xdr:from>
    <xdr:to>
      <xdr:col>11</xdr:col>
      <xdr:colOff>83820</xdr:colOff>
      <xdr:row>151</xdr:row>
      <xdr:rowOff>114300</xdr:rowOff>
    </xdr:to>
    <xdr:sp macro="" textlink="">
      <xdr:nvSpPr>
        <xdr:cNvPr id="1062" name="Arrow: Down 1061">
          <a:extLst>
            <a:ext uri="{FF2B5EF4-FFF2-40B4-BE49-F238E27FC236}">
              <a16:creationId xmlns:a16="http://schemas.microsoft.com/office/drawing/2014/main" id="{6357EC59-39E4-4CC4-9211-6BBF44406899}"/>
            </a:ext>
          </a:extLst>
        </xdr:cNvPr>
        <xdr:cNvSpPr/>
      </xdr:nvSpPr>
      <xdr:spPr>
        <a:xfrm>
          <a:off x="36195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151</xdr:row>
      <xdr:rowOff>0</xdr:rowOff>
    </xdr:from>
    <xdr:to>
      <xdr:col>24</xdr:col>
      <xdr:colOff>83820</xdr:colOff>
      <xdr:row>151</xdr:row>
      <xdr:rowOff>114300</xdr:rowOff>
    </xdr:to>
    <xdr:sp macro="" textlink="">
      <xdr:nvSpPr>
        <xdr:cNvPr id="1063" name="Arrow: Down 1062">
          <a:extLst>
            <a:ext uri="{FF2B5EF4-FFF2-40B4-BE49-F238E27FC236}">
              <a16:creationId xmlns:a16="http://schemas.microsoft.com/office/drawing/2014/main" id="{85DBA42A-DDF6-4C23-9060-D0837A4B8115}"/>
            </a:ext>
          </a:extLst>
        </xdr:cNvPr>
        <xdr:cNvSpPr/>
      </xdr:nvSpPr>
      <xdr:spPr>
        <a:xfrm>
          <a:off x="558546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151</xdr:row>
      <xdr:rowOff>0</xdr:rowOff>
    </xdr:from>
    <xdr:to>
      <xdr:col>60</xdr:col>
      <xdr:colOff>83820</xdr:colOff>
      <xdr:row>151</xdr:row>
      <xdr:rowOff>114300</xdr:rowOff>
    </xdr:to>
    <xdr:sp macro="" textlink="">
      <xdr:nvSpPr>
        <xdr:cNvPr id="1064" name="Arrow: Down 1063">
          <a:extLst>
            <a:ext uri="{FF2B5EF4-FFF2-40B4-BE49-F238E27FC236}">
              <a16:creationId xmlns:a16="http://schemas.microsoft.com/office/drawing/2014/main" id="{35E7FFF8-CB19-4C73-8738-EF62D1B338C3}"/>
            </a:ext>
          </a:extLst>
        </xdr:cNvPr>
        <xdr:cNvSpPr/>
      </xdr:nvSpPr>
      <xdr:spPr>
        <a:xfrm>
          <a:off x="1531620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151</xdr:row>
      <xdr:rowOff>0</xdr:rowOff>
    </xdr:from>
    <xdr:to>
      <xdr:col>71</xdr:col>
      <xdr:colOff>83820</xdr:colOff>
      <xdr:row>151</xdr:row>
      <xdr:rowOff>114300</xdr:rowOff>
    </xdr:to>
    <xdr:sp macro="" textlink="">
      <xdr:nvSpPr>
        <xdr:cNvPr id="1065" name="Arrow: Down 1064">
          <a:extLst>
            <a:ext uri="{FF2B5EF4-FFF2-40B4-BE49-F238E27FC236}">
              <a16:creationId xmlns:a16="http://schemas.microsoft.com/office/drawing/2014/main" id="{C286A619-A54D-46A0-B8FF-E454DD029FE0}"/>
            </a:ext>
          </a:extLst>
        </xdr:cNvPr>
        <xdr:cNvSpPr/>
      </xdr:nvSpPr>
      <xdr:spPr>
        <a:xfrm>
          <a:off x="17632680" y="27531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151</xdr:row>
      <xdr:rowOff>0</xdr:rowOff>
    </xdr:from>
    <xdr:to>
      <xdr:col>45</xdr:col>
      <xdr:colOff>83820</xdr:colOff>
      <xdr:row>151</xdr:row>
      <xdr:rowOff>114300</xdr:rowOff>
    </xdr:to>
    <xdr:sp macro="" textlink="">
      <xdr:nvSpPr>
        <xdr:cNvPr id="1069" name="Arrow: Down 1068">
          <a:extLst>
            <a:ext uri="{FF2B5EF4-FFF2-40B4-BE49-F238E27FC236}">
              <a16:creationId xmlns:a16="http://schemas.microsoft.com/office/drawing/2014/main" id="{9F31AD6D-6379-43C7-BFE5-697F2264348B}"/>
            </a:ext>
          </a:extLst>
        </xdr:cNvPr>
        <xdr:cNvSpPr/>
      </xdr:nvSpPr>
      <xdr:spPr>
        <a:xfrm rot="10800000">
          <a:off x="151028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151</xdr:row>
      <xdr:rowOff>0</xdr:rowOff>
    </xdr:from>
    <xdr:to>
      <xdr:col>39</xdr:col>
      <xdr:colOff>83820</xdr:colOff>
      <xdr:row>151</xdr:row>
      <xdr:rowOff>114300</xdr:rowOff>
    </xdr:to>
    <xdr:sp macro="" textlink="">
      <xdr:nvSpPr>
        <xdr:cNvPr id="1070" name="Arrow: Down 1069">
          <a:extLst>
            <a:ext uri="{FF2B5EF4-FFF2-40B4-BE49-F238E27FC236}">
              <a16:creationId xmlns:a16="http://schemas.microsoft.com/office/drawing/2014/main" id="{61B307C3-B3BA-4CD7-A194-5AD5D7AA66D8}"/>
            </a:ext>
          </a:extLst>
        </xdr:cNvPr>
        <xdr:cNvSpPr/>
      </xdr:nvSpPr>
      <xdr:spPr>
        <a:xfrm rot="10800000">
          <a:off x="1329690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152</xdr:row>
      <xdr:rowOff>0</xdr:rowOff>
    </xdr:from>
    <xdr:to>
      <xdr:col>71</xdr:col>
      <xdr:colOff>83820</xdr:colOff>
      <xdr:row>152</xdr:row>
      <xdr:rowOff>114300</xdr:rowOff>
    </xdr:to>
    <xdr:sp macro="" textlink="">
      <xdr:nvSpPr>
        <xdr:cNvPr id="1046" name="Arrow: Down 1045">
          <a:extLst>
            <a:ext uri="{FF2B5EF4-FFF2-40B4-BE49-F238E27FC236}">
              <a16:creationId xmlns:a16="http://schemas.microsoft.com/office/drawing/2014/main" id="{9F2F998A-9086-499C-B06A-E72BC33F21CB}"/>
            </a:ext>
          </a:extLst>
        </xdr:cNvPr>
        <xdr:cNvSpPr/>
      </xdr:nvSpPr>
      <xdr:spPr>
        <a:xfrm>
          <a:off x="1770126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152</xdr:row>
      <xdr:rowOff>0</xdr:rowOff>
    </xdr:from>
    <xdr:to>
      <xdr:col>45</xdr:col>
      <xdr:colOff>83820</xdr:colOff>
      <xdr:row>152</xdr:row>
      <xdr:rowOff>114300</xdr:rowOff>
    </xdr:to>
    <xdr:sp macro="" textlink="">
      <xdr:nvSpPr>
        <xdr:cNvPr id="1047" name="Arrow: Down 1046">
          <a:extLst>
            <a:ext uri="{FF2B5EF4-FFF2-40B4-BE49-F238E27FC236}">
              <a16:creationId xmlns:a16="http://schemas.microsoft.com/office/drawing/2014/main" id="{705F12C2-06D1-4F34-84BF-4A443110BF3F}"/>
            </a:ext>
          </a:extLst>
        </xdr:cNvPr>
        <xdr:cNvSpPr/>
      </xdr:nvSpPr>
      <xdr:spPr>
        <a:xfrm rot="10800000">
          <a:off x="1062228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152</xdr:row>
      <xdr:rowOff>0</xdr:rowOff>
    </xdr:from>
    <xdr:to>
      <xdr:col>39</xdr:col>
      <xdr:colOff>83820</xdr:colOff>
      <xdr:row>152</xdr:row>
      <xdr:rowOff>114300</xdr:rowOff>
    </xdr:to>
    <xdr:sp macro="" textlink="">
      <xdr:nvSpPr>
        <xdr:cNvPr id="1057" name="Arrow: Down 1056">
          <a:extLst>
            <a:ext uri="{FF2B5EF4-FFF2-40B4-BE49-F238E27FC236}">
              <a16:creationId xmlns:a16="http://schemas.microsoft.com/office/drawing/2014/main" id="{6EF9A5B9-FA7A-437A-BB16-B6337F8B4E8B}"/>
            </a:ext>
          </a:extLst>
        </xdr:cNvPr>
        <xdr:cNvSpPr/>
      </xdr:nvSpPr>
      <xdr:spPr>
        <a:xfrm rot="10800000">
          <a:off x="8816340" y="2771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152</xdr:row>
      <xdr:rowOff>0</xdr:rowOff>
    </xdr:from>
    <xdr:to>
      <xdr:col>24</xdr:col>
      <xdr:colOff>83820</xdr:colOff>
      <xdr:row>152</xdr:row>
      <xdr:rowOff>114300</xdr:rowOff>
    </xdr:to>
    <xdr:sp macro="" textlink="">
      <xdr:nvSpPr>
        <xdr:cNvPr id="1066" name="Arrow: Down 1065">
          <a:extLst>
            <a:ext uri="{FF2B5EF4-FFF2-40B4-BE49-F238E27FC236}">
              <a16:creationId xmlns:a16="http://schemas.microsoft.com/office/drawing/2014/main" id="{AA2DCD24-49F9-4D73-B71F-A057B19F69A5}"/>
            </a:ext>
          </a:extLst>
        </xdr:cNvPr>
        <xdr:cNvSpPr/>
      </xdr:nvSpPr>
      <xdr:spPr>
        <a:xfrm rot="10800000">
          <a:off x="565404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152</xdr:row>
      <xdr:rowOff>0</xdr:rowOff>
    </xdr:from>
    <xdr:to>
      <xdr:col>11</xdr:col>
      <xdr:colOff>83820</xdr:colOff>
      <xdr:row>152</xdr:row>
      <xdr:rowOff>114300</xdr:rowOff>
    </xdr:to>
    <xdr:sp macro="" textlink="">
      <xdr:nvSpPr>
        <xdr:cNvPr id="1068" name="Arrow: Down 1067">
          <a:extLst>
            <a:ext uri="{FF2B5EF4-FFF2-40B4-BE49-F238E27FC236}">
              <a16:creationId xmlns:a16="http://schemas.microsoft.com/office/drawing/2014/main" id="{A810EFBA-8063-4F3E-A132-BCBC84FA2C56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152</xdr:row>
      <xdr:rowOff>0</xdr:rowOff>
    </xdr:from>
    <xdr:to>
      <xdr:col>5</xdr:col>
      <xdr:colOff>83820</xdr:colOff>
      <xdr:row>152</xdr:row>
      <xdr:rowOff>114300</xdr:rowOff>
    </xdr:to>
    <xdr:sp macro="" textlink="">
      <xdr:nvSpPr>
        <xdr:cNvPr id="1072" name="Arrow: Down 1071">
          <a:extLst>
            <a:ext uri="{FF2B5EF4-FFF2-40B4-BE49-F238E27FC236}">
              <a16:creationId xmlns:a16="http://schemas.microsoft.com/office/drawing/2014/main" id="{D79F8C88-0A50-4B80-A625-AC9FD7DFE109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152</xdr:row>
      <xdr:rowOff>0</xdr:rowOff>
    </xdr:from>
    <xdr:to>
      <xdr:col>60</xdr:col>
      <xdr:colOff>83820</xdr:colOff>
      <xdr:row>152</xdr:row>
      <xdr:rowOff>114300</xdr:rowOff>
    </xdr:to>
    <xdr:sp macro="" textlink="">
      <xdr:nvSpPr>
        <xdr:cNvPr id="1073" name="Arrow: Down 1072">
          <a:extLst>
            <a:ext uri="{FF2B5EF4-FFF2-40B4-BE49-F238E27FC236}">
              <a16:creationId xmlns:a16="http://schemas.microsoft.com/office/drawing/2014/main" id="{8BD3D84C-2D6B-4486-9D1B-2F94715C6CA9}"/>
            </a:ext>
          </a:extLst>
        </xdr:cNvPr>
        <xdr:cNvSpPr/>
      </xdr:nvSpPr>
      <xdr:spPr>
        <a:xfrm rot="10800000">
          <a:off x="153847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153</xdr:row>
      <xdr:rowOff>0</xdr:rowOff>
    </xdr:from>
    <xdr:to>
      <xdr:col>45</xdr:col>
      <xdr:colOff>83820</xdr:colOff>
      <xdr:row>153</xdr:row>
      <xdr:rowOff>114300</xdr:rowOff>
    </xdr:to>
    <xdr:sp macro="" textlink="">
      <xdr:nvSpPr>
        <xdr:cNvPr id="1075" name="Arrow: Down 1074">
          <a:extLst>
            <a:ext uri="{FF2B5EF4-FFF2-40B4-BE49-F238E27FC236}">
              <a16:creationId xmlns:a16="http://schemas.microsoft.com/office/drawing/2014/main" id="{A1FD34B2-F3F6-45B8-B325-9C27C29146B6}"/>
            </a:ext>
          </a:extLst>
        </xdr:cNvPr>
        <xdr:cNvSpPr/>
      </xdr:nvSpPr>
      <xdr:spPr>
        <a:xfrm rot="10800000">
          <a:off x="10713720" y="27896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153</xdr:row>
      <xdr:rowOff>0</xdr:rowOff>
    </xdr:from>
    <xdr:to>
      <xdr:col>24</xdr:col>
      <xdr:colOff>83820</xdr:colOff>
      <xdr:row>153</xdr:row>
      <xdr:rowOff>114300</xdr:rowOff>
    </xdr:to>
    <xdr:sp macro="" textlink="">
      <xdr:nvSpPr>
        <xdr:cNvPr id="1077" name="Arrow: Down 1076">
          <a:extLst>
            <a:ext uri="{FF2B5EF4-FFF2-40B4-BE49-F238E27FC236}">
              <a16:creationId xmlns:a16="http://schemas.microsoft.com/office/drawing/2014/main" id="{6F601A62-3962-4E80-A66F-01AFF4620B95}"/>
            </a:ext>
          </a:extLst>
        </xdr:cNvPr>
        <xdr:cNvSpPr/>
      </xdr:nvSpPr>
      <xdr:spPr>
        <a:xfrm rot="10800000">
          <a:off x="574548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153</xdr:row>
      <xdr:rowOff>0</xdr:rowOff>
    </xdr:from>
    <xdr:to>
      <xdr:col>11</xdr:col>
      <xdr:colOff>83820</xdr:colOff>
      <xdr:row>153</xdr:row>
      <xdr:rowOff>114300</xdr:rowOff>
    </xdr:to>
    <xdr:sp macro="" textlink="">
      <xdr:nvSpPr>
        <xdr:cNvPr id="1078" name="Arrow: Down 1077">
          <a:extLst>
            <a:ext uri="{FF2B5EF4-FFF2-40B4-BE49-F238E27FC236}">
              <a16:creationId xmlns:a16="http://schemas.microsoft.com/office/drawing/2014/main" id="{0686CF41-DD33-4A90-A2B4-4173DF37D4AC}"/>
            </a:ext>
          </a:extLst>
        </xdr:cNvPr>
        <xdr:cNvSpPr/>
      </xdr:nvSpPr>
      <xdr:spPr>
        <a:xfrm rot="10800000">
          <a:off x="361950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153</xdr:row>
      <xdr:rowOff>0</xdr:rowOff>
    </xdr:from>
    <xdr:to>
      <xdr:col>5</xdr:col>
      <xdr:colOff>83820</xdr:colOff>
      <xdr:row>153</xdr:row>
      <xdr:rowOff>114300</xdr:rowOff>
    </xdr:to>
    <xdr:sp macro="" textlink="">
      <xdr:nvSpPr>
        <xdr:cNvPr id="1079" name="Arrow: Down 1078">
          <a:extLst>
            <a:ext uri="{FF2B5EF4-FFF2-40B4-BE49-F238E27FC236}">
              <a16:creationId xmlns:a16="http://schemas.microsoft.com/office/drawing/2014/main" id="{89239040-334A-4AAD-A269-8D8F73CD20CA}"/>
            </a:ext>
          </a:extLst>
        </xdr:cNvPr>
        <xdr:cNvSpPr/>
      </xdr:nvSpPr>
      <xdr:spPr>
        <a:xfrm rot="10800000">
          <a:off x="192786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153</xdr:row>
      <xdr:rowOff>0</xdr:rowOff>
    </xdr:from>
    <xdr:to>
      <xdr:col>60</xdr:col>
      <xdr:colOff>83820</xdr:colOff>
      <xdr:row>153</xdr:row>
      <xdr:rowOff>114300</xdr:rowOff>
    </xdr:to>
    <xdr:sp macro="" textlink="">
      <xdr:nvSpPr>
        <xdr:cNvPr id="1080" name="Arrow: Down 1079">
          <a:extLst>
            <a:ext uri="{FF2B5EF4-FFF2-40B4-BE49-F238E27FC236}">
              <a16:creationId xmlns:a16="http://schemas.microsoft.com/office/drawing/2014/main" id="{623D81C6-7688-4C7B-AEAD-74DFB070D28B}"/>
            </a:ext>
          </a:extLst>
        </xdr:cNvPr>
        <xdr:cNvSpPr/>
      </xdr:nvSpPr>
      <xdr:spPr>
        <a:xfrm rot="10800000">
          <a:off x="15476220" y="27896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153</xdr:row>
      <xdr:rowOff>0</xdr:rowOff>
    </xdr:from>
    <xdr:to>
      <xdr:col>39</xdr:col>
      <xdr:colOff>83820</xdr:colOff>
      <xdr:row>153</xdr:row>
      <xdr:rowOff>114300</xdr:rowOff>
    </xdr:to>
    <xdr:sp macro="" textlink="">
      <xdr:nvSpPr>
        <xdr:cNvPr id="1081" name="Arrow: Down 1080">
          <a:extLst>
            <a:ext uri="{FF2B5EF4-FFF2-40B4-BE49-F238E27FC236}">
              <a16:creationId xmlns:a16="http://schemas.microsoft.com/office/drawing/2014/main" id="{3BF5F3A0-3B37-47C9-B652-6A7975B42751}"/>
            </a:ext>
          </a:extLst>
        </xdr:cNvPr>
        <xdr:cNvSpPr/>
      </xdr:nvSpPr>
      <xdr:spPr>
        <a:xfrm>
          <a:off x="890778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153</xdr:row>
      <xdr:rowOff>0</xdr:rowOff>
    </xdr:from>
    <xdr:to>
      <xdr:col>71</xdr:col>
      <xdr:colOff>83820</xdr:colOff>
      <xdr:row>153</xdr:row>
      <xdr:rowOff>114300</xdr:rowOff>
    </xdr:to>
    <xdr:sp macro="" textlink="">
      <xdr:nvSpPr>
        <xdr:cNvPr id="1082" name="Arrow: Down 1081">
          <a:extLst>
            <a:ext uri="{FF2B5EF4-FFF2-40B4-BE49-F238E27FC236}">
              <a16:creationId xmlns:a16="http://schemas.microsoft.com/office/drawing/2014/main" id="{0AAE5BEB-5720-4888-84F9-6E27B593C71E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154</xdr:row>
      <xdr:rowOff>0</xdr:rowOff>
    </xdr:from>
    <xdr:to>
      <xdr:col>45</xdr:col>
      <xdr:colOff>83820</xdr:colOff>
      <xdr:row>154</xdr:row>
      <xdr:rowOff>114300</xdr:rowOff>
    </xdr:to>
    <xdr:sp macro="" textlink="">
      <xdr:nvSpPr>
        <xdr:cNvPr id="1034" name="Arrow: Down 1033">
          <a:extLst>
            <a:ext uri="{FF2B5EF4-FFF2-40B4-BE49-F238E27FC236}">
              <a16:creationId xmlns:a16="http://schemas.microsoft.com/office/drawing/2014/main" id="{ADFDE55C-4B52-48EF-A84F-B6FED378A06D}"/>
            </a:ext>
          </a:extLst>
        </xdr:cNvPr>
        <xdr:cNvSpPr/>
      </xdr:nvSpPr>
      <xdr:spPr>
        <a:xfrm rot="10800000">
          <a:off x="10713720" y="28079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154</xdr:row>
      <xdr:rowOff>0</xdr:rowOff>
    </xdr:from>
    <xdr:to>
      <xdr:col>60</xdr:col>
      <xdr:colOff>83820</xdr:colOff>
      <xdr:row>154</xdr:row>
      <xdr:rowOff>114300</xdr:rowOff>
    </xdr:to>
    <xdr:sp macro="" textlink="">
      <xdr:nvSpPr>
        <xdr:cNvPr id="1067" name="Arrow: Down 1066">
          <a:extLst>
            <a:ext uri="{FF2B5EF4-FFF2-40B4-BE49-F238E27FC236}">
              <a16:creationId xmlns:a16="http://schemas.microsoft.com/office/drawing/2014/main" id="{19A16703-8B07-44D3-882A-96842B94811F}"/>
            </a:ext>
          </a:extLst>
        </xdr:cNvPr>
        <xdr:cNvSpPr/>
      </xdr:nvSpPr>
      <xdr:spPr>
        <a:xfrm rot="10800000">
          <a:off x="1547622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154</xdr:row>
      <xdr:rowOff>0</xdr:rowOff>
    </xdr:from>
    <xdr:to>
      <xdr:col>71</xdr:col>
      <xdr:colOff>83820</xdr:colOff>
      <xdr:row>154</xdr:row>
      <xdr:rowOff>114300</xdr:rowOff>
    </xdr:to>
    <xdr:sp macro="" textlink="">
      <xdr:nvSpPr>
        <xdr:cNvPr id="1074" name="Arrow: Down 1073">
          <a:extLst>
            <a:ext uri="{FF2B5EF4-FFF2-40B4-BE49-F238E27FC236}">
              <a16:creationId xmlns:a16="http://schemas.microsoft.com/office/drawing/2014/main" id="{959BC2B3-2DF2-4DBD-B51A-0E12E6DB75D6}"/>
            </a:ext>
          </a:extLst>
        </xdr:cNvPr>
        <xdr:cNvSpPr/>
      </xdr:nvSpPr>
      <xdr:spPr>
        <a:xfrm rot="10800000">
          <a:off x="17792700" y="2807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154</xdr:row>
      <xdr:rowOff>0</xdr:rowOff>
    </xdr:from>
    <xdr:to>
      <xdr:col>5</xdr:col>
      <xdr:colOff>83820</xdr:colOff>
      <xdr:row>154</xdr:row>
      <xdr:rowOff>114300</xdr:rowOff>
    </xdr:to>
    <xdr:sp macro="" textlink="">
      <xdr:nvSpPr>
        <xdr:cNvPr id="1076" name="Arrow: Down 1075">
          <a:extLst>
            <a:ext uri="{FF2B5EF4-FFF2-40B4-BE49-F238E27FC236}">
              <a16:creationId xmlns:a16="http://schemas.microsoft.com/office/drawing/2014/main" id="{B47D3B07-4B6E-4ADB-8F9C-0888685B8E9C}"/>
            </a:ext>
          </a:extLst>
        </xdr:cNvPr>
        <xdr:cNvSpPr/>
      </xdr:nvSpPr>
      <xdr:spPr>
        <a:xfrm>
          <a:off x="192786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154</xdr:row>
      <xdr:rowOff>0</xdr:rowOff>
    </xdr:from>
    <xdr:to>
      <xdr:col>11</xdr:col>
      <xdr:colOff>83820</xdr:colOff>
      <xdr:row>154</xdr:row>
      <xdr:rowOff>114300</xdr:rowOff>
    </xdr:to>
    <xdr:sp macro="" textlink="">
      <xdr:nvSpPr>
        <xdr:cNvPr id="1083" name="Arrow: Down 1082">
          <a:extLst>
            <a:ext uri="{FF2B5EF4-FFF2-40B4-BE49-F238E27FC236}">
              <a16:creationId xmlns:a16="http://schemas.microsoft.com/office/drawing/2014/main" id="{6B3750BE-3060-48EC-8351-240D4EA57817}"/>
            </a:ext>
          </a:extLst>
        </xdr:cNvPr>
        <xdr:cNvSpPr/>
      </xdr:nvSpPr>
      <xdr:spPr>
        <a:xfrm>
          <a:off x="361950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83820</xdr:colOff>
      <xdr:row>154</xdr:row>
      <xdr:rowOff>114300</xdr:rowOff>
    </xdr:to>
    <xdr:sp macro="" textlink="">
      <xdr:nvSpPr>
        <xdr:cNvPr id="1084" name="Arrow: Down 1083">
          <a:extLst>
            <a:ext uri="{FF2B5EF4-FFF2-40B4-BE49-F238E27FC236}">
              <a16:creationId xmlns:a16="http://schemas.microsoft.com/office/drawing/2014/main" id="{3FE514D8-02BD-49BF-ABE3-2537BA5738E1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154</xdr:row>
      <xdr:rowOff>0</xdr:rowOff>
    </xdr:from>
    <xdr:to>
      <xdr:col>39</xdr:col>
      <xdr:colOff>83820</xdr:colOff>
      <xdr:row>154</xdr:row>
      <xdr:rowOff>114300</xdr:rowOff>
    </xdr:to>
    <xdr:sp macro="" textlink="">
      <xdr:nvSpPr>
        <xdr:cNvPr id="1085" name="Arrow: Down 1084">
          <a:extLst>
            <a:ext uri="{FF2B5EF4-FFF2-40B4-BE49-F238E27FC236}">
              <a16:creationId xmlns:a16="http://schemas.microsoft.com/office/drawing/2014/main" id="{81A381BA-6ABE-4EF8-AF88-5A16F1955683}"/>
            </a:ext>
          </a:extLst>
        </xdr:cNvPr>
        <xdr:cNvSpPr/>
      </xdr:nvSpPr>
      <xdr:spPr>
        <a:xfrm rot="10800000">
          <a:off x="89077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155</xdr:row>
      <xdr:rowOff>0</xdr:rowOff>
    </xdr:from>
    <xdr:to>
      <xdr:col>45</xdr:col>
      <xdr:colOff>83820</xdr:colOff>
      <xdr:row>155</xdr:row>
      <xdr:rowOff>114300</xdr:rowOff>
    </xdr:to>
    <xdr:sp macro="" textlink="">
      <xdr:nvSpPr>
        <xdr:cNvPr id="1093" name="Arrow: Down 1092">
          <a:extLst>
            <a:ext uri="{FF2B5EF4-FFF2-40B4-BE49-F238E27FC236}">
              <a16:creationId xmlns:a16="http://schemas.microsoft.com/office/drawing/2014/main" id="{27FE9B1E-D941-4EC7-B68C-679E790ABCD3}"/>
            </a:ext>
          </a:extLst>
        </xdr:cNvPr>
        <xdr:cNvSpPr/>
      </xdr:nvSpPr>
      <xdr:spPr>
        <a:xfrm rot="10800000">
          <a:off x="1071372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155</xdr:row>
      <xdr:rowOff>0</xdr:rowOff>
    </xdr:from>
    <xdr:to>
      <xdr:col>24</xdr:col>
      <xdr:colOff>83820</xdr:colOff>
      <xdr:row>155</xdr:row>
      <xdr:rowOff>114300</xdr:rowOff>
    </xdr:to>
    <xdr:sp macro="" textlink="">
      <xdr:nvSpPr>
        <xdr:cNvPr id="1098" name="Arrow: Down 1097">
          <a:extLst>
            <a:ext uri="{FF2B5EF4-FFF2-40B4-BE49-F238E27FC236}">
              <a16:creationId xmlns:a16="http://schemas.microsoft.com/office/drawing/2014/main" id="{6F3F9720-2079-4F44-B430-5204D27B53CF}"/>
            </a:ext>
          </a:extLst>
        </xdr:cNvPr>
        <xdr:cNvSpPr/>
      </xdr:nvSpPr>
      <xdr:spPr>
        <a:xfrm>
          <a:off x="5745480" y="28262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155</xdr:row>
      <xdr:rowOff>0</xdr:rowOff>
    </xdr:from>
    <xdr:to>
      <xdr:col>11</xdr:col>
      <xdr:colOff>83820</xdr:colOff>
      <xdr:row>155</xdr:row>
      <xdr:rowOff>114300</xdr:rowOff>
    </xdr:to>
    <xdr:sp macro="" textlink="">
      <xdr:nvSpPr>
        <xdr:cNvPr id="1101" name="Arrow: Down 1100">
          <a:extLst>
            <a:ext uri="{FF2B5EF4-FFF2-40B4-BE49-F238E27FC236}">
              <a16:creationId xmlns:a16="http://schemas.microsoft.com/office/drawing/2014/main" id="{2F67B167-755A-4D77-A489-9BC527D39CEC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155</xdr:row>
      <xdr:rowOff>0</xdr:rowOff>
    </xdr:from>
    <xdr:to>
      <xdr:col>5</xdr:col>
      <xdr:colOff>83820</xdr:colOff>
      <xdr:row>155</xdr:row>
      <xdr:rowOff>114300</xdr:rowOff>
    </xdr:to>
    <xdr:sp macro="" textlink="">
      <xdr:nvSpPr>
        <xdr:cNvPr id="1102" name="Arrow: Down 1101">
          <a:extLst>
            <a:ext uri="{FF2B5EF4-FFF2-40B4-BE49-F238E27FC236}">
              <a16:creationId xmlns:a16="http://schemas.microsoft.com/office/drawing/2014/main" id="{380E652E-2A60-4EDC-AF9C-5D1F20C12F75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155</xdr:row>
      <xdr:rowOff>0</xdr:rowOff>
    </xdr:from>
    <xdr:to>
      <xdr:col>39</xdr:col>
      <xdr:colOff>83820</xdr:colOff>
      <xdr:row>155</xdr:row>
      <xdr:rowOff>114300</xdr:rowOff>
    </xdr:to>
    <xdr:sp macro="" textlink="">
      <xdr:nvSpPr>
        <xdr:cNvPr id="1104" name="Arrow: Down 1103">
          <a:extLst>
            <a:ext uri="{FF2B5EF4-FFF2-40B4-BE49-F238E27FC236}">
              <a16:creationId xmlns:a16="http://schemas.microsoft.com/office/drawing/2014/main" id="{F9460A0C-FD6E-4987-A5DD-90B370C4E453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155</xdr:row>
      <xdr:rowOff>0</xdr:rowOff>
    </xdr:from>
    <xdr:to>
      <xdr:col>71</xdr:col>
      <xdr:colOff>83820</xdr:colOff>
      <xdr:row>155</xdr:row>
      <xdr:rowOff>114300</xdr:rowOff>
    </xdr:to>
    <xdr:sp macro="" textlink="">
      <xdr:nvSpPr>
        <xdr:cNvPr id="1105" name="Arrow: Down 1104">
          <a:extLst>
            <a:ext uri="{FF2B5EF4-FFF2-40B4-BE49-F238E27FC236}">
              <a16:creationId xmlns:a16="http://schemas.microsoft.com/office/drawing/2014/main" id="{A7679060-FC60-490F-9EE4-65F637126462}"/>
            </a:ext>
          </a:extLst>
        </xdr:cNvPr>
        <xdr:cNvSpPr/>
      </xdr:nvSpPr>
      <xdr:spPr>
        <a:xfrm>
          <a:off x="1779270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155</xdr:row>
      <xdr:rowOff>0</xdr:rowOff>
    </xdr:from>
    <xdr:to>
      <xdr:col>60</xdr:col>
      <xdr:colOff>83820</xdr:colOff>
      <xdr:row>155</xdr:row>
      <xdr:rowOff>114300</xdr:rowOff>
    </xdr:to>
    <xdr:sp macro="" textlink="">
      <xdr:nvSpPr>
        <xdr:cNvPr id="1106" name="Arrow: Down 1105">
          <a:extLst>
            <a:ext uri="{FF2B5EF4-FFF2-40B4-BE49-F238E27FC236}">
              <a16:creationId xmlns:a16="http://schemas.microsoft.com/office/drawing/2014/main" id="{52BC06DD-F961-47C7-978A-A9B6501511B8}"/>
            </a:ext>
          </a:extLst>
        </xdr:cNvPr>
        <xdr:cNvSpPr/>
      </xdr:nvSpPr>
      <xdr:spPr>
        <a:xfrm>
          <a:off x="154762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156</xdr:row>
      <xdr:rowOff>0</xdr:rowOff>
    </xdr:from>
    <xdr:to>
      <xdr:col>45</xdr:col>
      <xdr:colOff>83820</xdr:colOff>
      <xdr:row>156</xdr:row>
      <xdr:rowOff>114300</xdr:rowOff>
    </xdr:to>
    <xdr:sp macro="" textlink="">
      <xdr:nvSpPr>
        <xdr:cNvPr id="1107" name="Arrow: Down 1106">
          <a:extLst>
            <a:ext uri="{FF2B5EF4-FFF2-40B4-BE49-F238E27FC236}">
              <a16:creationId xmlns:a16="http://schemas.microsoft.com/office/drawing/2014/main" id="{FE108345-2BC6-49B6-A5D6-807E877C466A}"/>
            </a:ext>
          </a:extLst>
        </xdr:cNvPr>
        <xdr:cNvSpPr/>
      </xdr:nvSpPr>
      <xdr:spPr>
        <a:xfrm rot="10800000">
          <a:off x="1071372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156</xdr:row>
      <xdr:rowOff>0</xdr:rowOff>
    </xdr:from>
    <xdr:to>
      <xdr:col>24</xdr:col>
      <xdr:colOff>83820</xdr:colOff>
      <xdr:row>156</xdr:row>
      <xdr:rowOff>114300</xdr:rowOff>
    </xdr:to>
    <xdr:sp macro="" textlink="">
      <xdr:nvSpPr>
        <xdr:cNvPr id="1108" name="Arrow: Down 1107">
          <a:extLst>
            <a:ext uri="{FF2B5EF4-FFF2-40B4-BE49-F238E27FC236}">
              <a16:creationId xmlns:a16="http://schemas.microsoft.com/office/drawing/2014/main" id="{A536F20D-2441-4A86-946C-75BE47B5C2EB}"/>
            </a:ext>
          </a:extLst>
        </xdr:cNvPr>
        <xdr:cNvSpPr/>
      </xdr:nvSpPr>
      <xdr:spPr>
        <a:xfrm>
          <a:off x="5745480" y="28445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156</xdr:row>
      <xdr:rowOff>0</xdr:rowOff>
    </xdr:from>
    <xdr:to>
      <xdr:col>11</xdr:col>
      <xdr:colOff>83820</xdr:colOff>
      <xdr:row>156</xdr:row>
      <xdr:rowOff>114300</xdr:rowOff>
    </xdr:to>
    <xdr:sp macro="" textlink="">
      <xdr:nvSpPr>
        <xdr:cNvPr id="1109" name="Arrow: Down 1108">
          <a:extLst>
            <a:ext uri="{FF2B5EF4-FFF2-40B4-BE49-F238E27FC236}">
              <a16:creationId xmlns:a16="http://schemas.microsoft.com/office/drawing/2014/main" id="{2C4052DC-11CD-4FA1-903C-5F2671BD7E62}"/>
            </a:ext>
          </a:extLst>
        </xdr:cNvPr>
        <xdr:cNvSpPr/>
      </xdr:nvSpPr>
      <xdr:spPr>
        <a:xfrm rot="10800000">
          <a:off x="361950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156</xdr:row>
      <xdr:rowOff>0</xdr:rowOff>
    </xdr:from>
    <xdr:to>
      <xdr:col>5</xdr:col>
      <xdr:colOff>83820</xdr:colOff>
      <xdr:row>156</xdr:row>
      <xdr:rowOff>114300</xdr:rowOff>
    </xdr:to>
    <xdr:sp macro="" textlink="">
      <xdr:nvSpPr>
        <xdr:cNvPr id="1110" name="Arrow: Down 1109">
          <a:extLst>
            <a:ext uri="{FF2B5EF4-FFF2-40B4-BE49-F238E27FC236}">
              <a16:creationId xmlns:a16="http://schemas.microsoft.com/office/drawing/2014/main" id="{5AF9D44E-2C5D-4B51-A678-1670E65959FD}"/>
            </a:ext>
          </a:extLst>
        </xdr:cNvPr>
        <xdr:cNvSpPr/>
      </xdr:nvSpPr>
      <xdr:spPr>
        <a:xfrm rot="10800000">
          <a:off x="192786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156</xdr:row>
      <xdr:rowOff>0</xdr:rowOff>
    </xdr:from>
    <xdr:to>
      <xdr:col>39</xdr:col>
      <xdr:colOff>83820</xdr:colOff>
      <xdr:row>156</xdr:row>
      <xdr:rowOff>114300</xdr:rowOff>
    </xdr:to>
    <xdr:sp macro="" textlink="">
      <xdr:nvSpPr>
        <xdr:cNvPr id="1111" name="Arrow: Down 1110">
          <a:extLst>
            <a:ext uri="{FF2B5EF4-FFF2-40B4-BE49-F238E27FC236}">
              <a16:creationId xmlns:a16="http://schemas.microsoft.com/office/drawing/2014/main" id="{B1FF1969-27EE-4A4A-8B5A-C5AAA5F71E37}"/>
            </a:ext>
          </a:extLst>
        </xdr:cNvPr>
        <xdr:cNvSpPr/>
      </xdr:nvSpPr>
      <xdr:spPr>
        <a:xfrm>
          <a:off x="8907780" y="2844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156</xdr:row>
      <xdr:rowOff>0</xdr:rowOff>
    </xdr:from>
    <xdr:to>
      <xdr:col>71</xdr:col>
      <xdr:colOff>83820</xdr:colOff>
      <xdr:row>156</xdr:row>
      <xdr:rowOff>114300</xdr:rowOff>
    </xdr:to>
    <xdr:sp macro="" textlink="">
      <xdr:nvSpPr>
        <xdr:cNvPr id="1114" name="Arrow: Down 1113">
          <a:extLst>
            <a:ext uri="{FF2B5EF4-FFF2-40B4-BE49-F238E27FC236}">
              <a16:creationId xmlns:a16="http://schemas.microsoft.com/office/drawing/2014/main" id="{70B57DD7-E8B5-471A-B300-B356EB54A1D5}"/>
            </a:ext>
          </a:extLst>
        </xdr:cNvPr>
        <xdr:cNvSpPr/>
      </xdr:nvSpPr>
      <xdr:spPr>
        <a:xfrm rot="10800000">
          <a:off x="1779270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156</xdr:row>
      <xdr:rowOff>0</xdr:rowOff>
    </xdr:from>
    <xdr:to>
      <xdr:col>60</xdr:col>
      <xdr:colOff>83820</xdr:colOff>
      <xdr:row>156</xdr:row>
      <xdr:rowOff>114300</xdr:rowOff>
    </xdr:to>
    <xdr:sp macro="" textlink="">
      <xdr:nvSpPr>
        <xdr:cNvPr id="1116" name="Arrow: Down 1115">
          <a:extLst>
            <a:ext uri="{FF2B5EF4-FFF2-40B4-BE49-F238E27FC236}">
              <a16:creationId xmlns:a16="http://schemas.microsoft.com/office/drawing/2014/main" id="{0D2DEFEC-6C84-4A2F-BB16-3EBD4EE2F53E}"/>
            </a:ext>
          </a:extLst>
        </xdr:cNvPr>
        <xdr:cNvSpPr/>
      </xdr:nvSpPr>
      <xdr:spPr>
        <a:xfrm rot="10800000">
          <a:off x="1547622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157</xdr:row>
      <xdr:rowOff>0</xdr:rowOff>
    </xdr:from>
    <xdr:to>
      <xdr:col>45</xdr:col>
      <xdr:colOff>83820</xdr:colOff>
      <xdr:row>157</xdr:row>
      <xdr:rowOff>114300</xdr:rowOff>
    </xdr:to>
    <xdr:sp macro="" textlink="">
      <xdr:nvSpPr>
        <xdr:cNvPr id="1117" name="Arrow: Down 1116">
          <a:extLst>
            <a:ext uri="{FF2B5EF4-FFF2-40B4-BE49-F238E27FC236}">
              <a16:creationId xmlns:a16="http://schemas.microsoft.com/office/drawing/2014/main" id="{E512633E-7EC3-4E72-BAE6-B7159411DDF9}"/>
            </a:ext>
          </a:extLst>
        </xdr:cNvPr>
        <xdr:cNvSpPr/>
      </xdr:nvSpPr>
      <xdr:spPr>
        <a:xfrm rot="10800000">
          <a:off x="1071372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157</xdr:row>
      <xdr:rowOff>0</xdr:rowOff>
    </xdr:from>
    <xdr:to>
      <xdr:col>24</xdr:col>
      <xdr:colOff>83820</xdr:colOff>
      <xdr:row>157</xdr:row>
      <xdr:rowOff>114300</xdr:rowOff>
    </xdr:to>
    <xdr:sp macro="" textlink="">
      <xdr:nvSpPr>
        <xdr:cNvPr id="1118" name="Arrow: Down 1117">
          <a:extLst>
            <a:ext uri="{FF2B5EF4-FFF2-40B4-BE49-F238E27FC236}">
              <a16:creationId xmlns:a16="http://schemas.microsoft.com/office/drawing/2014/main" id="{6EEE7B06-AF61-4CDE-B2D2-2E6851206E7B}"/>
            </a:ext>
          </a:extLst>
        </xdr:cNvPr>
        <xdr:cNvSpPr/>
      </xdr:nvSpPr>
      <xdr:spPr>
        <a:xfrm>
          <a:off x="5745480" y="28628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157</xdr:row>
      <xdr:rowOff>0</xdr:rowOff>
    </xdr:from>
    <xdr:to>
      <xdr:col>39</xdr:col>
      <xdr:colOff>83820</xdr:colOff>
      <xdr:row>157</xdr:row>
      <xdr:rowOff>114300</xdr:rowOff>
    </xdr:to>
    <xdr:sp macro="" textlink="">
      <xdr:nvSpPr>
        <xdr:cNvPr id="1121" name="Arrow: Down 1120">
          <a:extLst>
            <a:ext uri="{FF2B5EF4-FFF2-40B4-BE49-F238E27FC236}">
              <a16:creationId xmlns:a16="http://schemas.microsoft.com/office/drawing/2014/main" id="{A117081C-F00B-4346-BBB7-C92D4C126C58}"/>
            </a:ext>
          </a:extLst>
        </xdr:cNvPr>
        <xdr:cNvSpPr/>
      </xdr:nvSpPr>
      <xdr:spPr>
        <a:xfrm>
          <a:off x="8907780" y="2862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157</xdr:row>
      <xdr:rowOff>0</xdr:rowOff>
    </xdr:from>
    <xdr:to>
      <xdr:col>5</xdr:col>
      <xdr:colOff>83820</xdr:colOff>
      <xdr:row>157</xdr:row>
      <xdr:rowOff>114300</xdr:rowOff>
    </xdr:to>
    <xdr:sp macro="" textlink="">
      <xdr:nvSpPr>
        <xdr:cNvPr id="1124" name="Arrow: Down 1123">
          <a:extLst>
            <a:ext uri="{FF2B5EF4-FFF2-40B4-BE49-F238E27FC236}">
              <a16:creationId xmlns:a16="http://schemas.microsoft.com/office/drawing/2014/main" id="{2C59CCB7-323A-4ED1-AA93-3EAC98089B11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157</xdr:row>
      <xdr:rowOff>0</xdr:rowOff>
    </xdr:from>
    <xdr:to>
      <xdr:col>11</xdr:col>
      <xdr:colOff>83820</xdr:colOff>
      <xdr:row>157</xdr:row>
      <xdr:rowOff>114300</xdr:rowOff>
    </xdr:to>
    <xdr:sp macro="" textlink="">
      <xdr:nvSpPr>
        <xdr:cNvPr id="1125" name="Arrow: Down 1124">
          <a:extLst>
            <a:ext uri="{FF2B5EF4-FFF2-40B4-BE49-F238E27FC236}">
              <a16:creationId xmlns:a16="http://schemas.microsoft.com/office/drawing/2014/main" id="{C22907D2-B0AB-4584-9716-45C511DE7B8C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157</xdr:row>
      <xdr:rowOff>0</xdr:rowOff>
    </xdr:from>
    <xdr:to>
      <xdr:col>71</xdr:col>
      <xdr:colOff>83820</xdr:colOff>
      <xdr:row>157</xdr:row>
      <xdr:rowOff>114300</xdr:rowOff>
    </xdr:to>
    <xdr:sp macro="" textlink="">
      <xdr:nvSpPr>
        <xdr:cNvPr id="1127" name="Arrow: Down 1126">
          <a:extLst>
            <a:ext uri="{FF2B5EF4-FFF2-40B4-BE49-F238E27FC236}">
              <a16:creationId xmlns:a16="http://schemas.microsoft.com/office/drawing/2014/main" id="{BEE80141-CF21-469B-B5AB-1B0A146839D2}"/>
            </a:ext>
          </a:extLst>
        </xdr:cNvPr>
        <xdr:cNvSpPr/>
      </xdr:nvSpPr>
      <xdr:spPr>
        <a:xfrm>
          <a:off x="177927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157</xdr:row>
      <xdr:rowOff>0</xdr:rowOff>
    </xdr:from>
    <xdr:to>
      <xdr:col>60</xdr:col>
      <xdr:colOff>83820</xdr:colOff>
      <xdr:row>157</xdr:row>
      <xdr:rowOff>114300</xdr:rowOff>
    </xdr:to>
    <xdr:sp macro="" textlink="">
      <xdr:nvSpPr>
        <xdr:cNvPr id="1128" name="Arrow: Down 1127">
          <a:extLst>
            <a:ext uri="{FF2B5EF4-FFF2-40B4-BE49-F238E27FC236}">
              <a16:creationId xmlns:a16="http://schemas.microsoft.com/office/drawing/2014/main" id="{BF7AFA04-6849-4924-A3CE-1D061222F6F4}"/>
            </a:ext>
          </a:extLst>
        </xdr:cNvPr>
        <xdr:cNvSpPr/>
      </xdr:nvSpPr>
      <xdr:spPr>
        <a:xfrm>
          <a:off x="1547622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158</xdr:row>
      <xdr:rowOff>0</xdr:rowOff>
    </xdr:from>
    <xdr:to>
      <xdr:col>24</xdr:col>
      <xdr:colOff>83820</xdr:colOff>
      <xdr:row>158</xdr:row>
      <xdr:rowOff>114300</xdr:rowOff>
    </xdr:to>
    <xdr:sp macro="" textlink="">
      <xdr:nvSpPr>
        <xdr:cNvPr id="1137" name="Arrow: Down 1136">
          <a:extLst>
            <a:ext uri="{FF2B5EF4-FFF2-40B4-BE49-F238E27FC236}">
              <a16:creationId xmlns:a16="http://schemas.microsoft.com/office/drawing/2014/main" id="{E9252220-8091-4C57-ADBA-C4765322EB17}"/>
            </a:ext>
          </a:extLst>
        </xdr:cNvPr>
        <xdr:cNvSpPr/>
      </xdr:nvSpPr>
      <xdr:spPr>
        <a:xfrm>
          <a:off x="584454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158</xdr:row>
      <xdr:rowOff>0</xdr:rowOff>
    </xdr:from>
    <xdr:to>
      <xdr:col>39</xdr:col>
      <xdr:colOff>83820</xdr:colOff>
      <xdr:row>158</xdr:row>
      <xdr:rowOff>114300</xdr:rowOff>
    </xdr:to>
    <xdr:sp macro="" textlink="">
      <xdr:nvSpPr>
        <xdr:cNvPr id="1138" name="Arrow: Down 1137">
          <a:extLst>
            <a:ext uri="{FF2B5EF4-FFF2-40B4-BE49-F238E27FC236}">
              <a16:creationId xmlns:a16="http://schemas.microsoft.com/office/drawing/2014/main" id="{8918CC03-EC41-4BBB-B20A-F122D181A951}"/>
            </a:ext>
          </a:extLst>
        </xdr:cNvPr>
        <xdr:cNvSpPr/>
      </xdr:nvSpPr>
      <xdr:spPr>
        <a:xfrm>
          <a:off x="9006840" y="2881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158</xdr:row>
      <xdr:rowOff>0</xdr:rowOff>
    </xdr:from>
    <xdr:to>
      <xdr:col>5</xdr:col>
      <xdr:colOff>83820</xdr:colOff>
      <xdr:row>158</xdr:row>
      <xdr:rowOff>114300</xdr:rowOff>
    </xdr:to>
    <xdr:sp macro="" textlink="">
      <xdr:nvSpPr>
        <xdr:cNvPr id="1139" name="Arrow: Down 1138">
          <a:extLst>
            <a:ext uri="{FF2B5EF4-FFF2-40B4-BE49-F238E27FC236}">
              <a16:creationId xmlns:a16="http://schemas.microsoft.com/office/drawing/2014/main" id="{951897A1-0D15-45EF-93F0-D154BB2F25A5}"/>
            </a:ext>
          </a:extLst>
        </xdr:cNvPr>
        <xdr:cNvSpPr/>
      </xdr:nvSpPr>
      <xdr:spPr>
        <a:xfrm>
          <a:off x="19278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158</xdr:row>
      <xdr:rowOff>0</xdr:rowOff>
    </xdr:from>
    <xdr:to>
      <xdr:col>11</xdr:col>
      <xdr:colOff>83820</xdr:colOff>
      <xdr:row>158</xdr:row>
      <xdr:rowOff>114300</xdr:rowOff>
    </xdr:to>
    <xdr:sp macro="" textlink="">
      <xdr:nvSpPr>
        <xdr:cNvPr id="1140" name="Arrow: Down 1139">
          <a:extLst>
            <a:ext uri="{FF2B5EF4-FFF2-40B4-BE49-F238E27FC236}">
              <a16:creationId xmlns:a16="http://schemas.microsoft.com/office/drawing/2014/main" id="{06C0199E-2186-4B4D-9046-4F94E0C4C43A}"/>
            </a:ext>
          </a:extLst>
        </xdr:cNvPr>
        <xdr:cNvSpPr/>
      </xdr:nvSpPr>
      <xdr:spPr>
        <a:xfrm>
          <a:off x="361950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158</xdr:row>
      <xdr:rowOff>0</xdr:rowOff>
    </xdr:from>
    <xdr:to>
      <xdr:col>71</xdr:col>
      <xdr:colOff>83820</xdr:colOff>
      <xdr:row>158</xdr:row>
      <xdr:rowOff>114300</xdr:rowOff>
    </xdr:to>
    <xdr:sp macro="" textlink="">
      <xdr:nvSpPr>
        <xdr:cNvPr id="1141" name="Arrow: Down 1140">
          <a:extLst>
            <a:ext uri="{FF2B5EF4-FFF2-40B4-BE49-F238E27FC236}">
              <a16:creationId xmlns:a16="http://schemas.microsoft.com/office/drawing/2014/main" id="{D7B90E48-27F4-4BAF-8278-F4C382091612}"/>
            </a:ext>
          </a:extLst>
        </xdr:cNvPr>
        <xdr:cNvSpPr/>
      </xdr:nvSpPr>
      <xdr:spPr>
        <a:xfrm>
          <a:off x="1789176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158</xdr:row>
      <xdr:rowOff>0</xdr:rowOff>
    </xdr:from>
    <xdr:to>
      <xdr:col>60</xdr:col>
      <xdr:colOff>83820</xdr:colOff>
      <xdr:row>158</xdr:row>
      <xdr:rowOff>114300</xdr:rowOff>
    </xdr:to>
    <xdr:sp macro="" textlink="">
      <xdr:nvSpPr>
        <xdr:cNvPr id="1142" name="Arrow: Down 1141">
          <a:extLst>
            <a:ext uri="{FF2B5EF4-FFF2-40B4-BE49-F238E27FC236}">
              <a16:creationId xmlns:a16="http://schemas.microsoft.com/office/drawing/2014/main" id="{3A5D3820-8CEF-4FA1-8080-9ECAFC86AD6D}"/>
            </a:ext>
          </a:extLst>
        </xdr:cNvPr>
        <xdr:cNvSpPr/>
      </xdr:nvSpPr>
      <xdr:spPr>
        <a:xfrm>
          <a:off x="15575280" y="2881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36</xdr:col>
      <xdr:colOff>137160</xdr:colOff>
      <xdr:row>305</xdr:row>
      <xdr:rowOff>125730</xdr:rowOff>
    </xdr:from>
    <xdr:to>
      <xdr:col>54</xdr:col>
      <xdr:colOff>213360</xdr:colOff>
      <xdr:row>320</xdr:row>
      <xdr:rowOff>118110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094808-04A9-4C9A-AA60-C78EFE37D4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45</xdr:col>
      <xdr:colOff>0</xdr:colOff>
      <xdr:row>158</xdr:row>
      <xdr:rowOff>0</xdr:rowOff>
    </xdr:from>
    <xdr:to>
      <xdr:col>45</xdr:col>
      <xdr:colOff>83820</xdr:colOff>
      <xdr:row>158</xdr:row>
      <xdr:rowOff>114300</xdr:rowOff>
    </xdr:to>
    <xdr:sp macro="" textlink="">
      <xdr:nvSpPr>
        <xdr:cNvPr id="1143" name="Arrow: Down 1142">
          <a:extLst>
            <a:ext uri="{FF2B5EF4-FFF2-40B4-BE49-F238E27FC236}">
              <a16:creationId xmlns:a16="http://schemas.microsoft.com/office/drawing/2014/main" id="{EDD95B55-342E-407E-8AFB-278AD7291DFB}"/>
            </a:ext>
          </a:extLst>
        </xdr:cNvPr>
        <xdr:cNvSpPr/>
      </xdr:nvSpPr>
      <xdr:spPr>
        <a:xfrm>
          <a:off x="11308080" y="2899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159</xdr:row>
      <xdr:rowOff>0</xdr:rowOff>
    </xdr:from>
    <xdr:to>
      <xdr:col>71</xdr:col>
      <xdr:colOff>83820</xdr:colOff>
      <xdr:row>159</xdr:row>
      <xdr:rowOff>114300</xdr:rowOff>
    </xdr:to>
    <xdr:sp macro="" textlink="">
      <xdr:nvSpPr>
        <xdr:cNvPr id="1148" name="Arrow: Down 1147">
          <a:extLst>
            <a:ext uri="{FF2B5EF4-FFF2-40B4-BE49-F238E27FC236}">
              <a16:creationId xmlns:a16="http://schemas.microsoft.com/office/drawing/2014/main" id="{A35610B0-B21F-4569-BDD6-AC388166066D}"/>
            </a:ext>
          </a:extLst>
        </xdr:cNvPr>
        <xdr:cNvSpPr/>
      </xdr:nvSpPr>
      <xdr:spPr>
        <a:xfrm>
          <a:off x="17853660" y="28994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159</xdr:row>
      <xdr:rowOff>0</xdr:rowOff>
    </xdr:from>
    <xdr:to>
      <xdr:col>39</xdr:col>
      <xdr:colOff>83820</xdr:colOff>
      <xdr:row>159</xdr:row>
      <xdr:rowOff>114300</xdr:rowOff>
    </xdr:to>
    <xdr:sp macro="" textlink="">
      <xdr:nvSpPr>
        <xdr:cNvPr id="1151" name="Arrow: Down 1150">
          <a:extLst>
            <a:ext uri="{FF2B5EF4-FFF2-40B4-BE49-F238E27FC236}">
              <a16:creationId xmlns:a16="http://schemas.microsoft.com/office/drawing/2014/main" id="{3B714D2A-CC58-4958-AC45-AB055E3D5B37}"/>
            </a:ext>
          </a:extLst>
        </xdr:cNvPr>
        <xdr:cNvSpPr/>
      </xdr:nvSpPr>
      <xdr:spPr>
        <a:xfrm rot="10800000">
          <a:off x="901446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159</xdr:row>
      <xdr:rowOff>0</xdr:rowOff>
    </xdr:from>
    <xdr:to>
      <xdr:col>45</xdr:col>
      <xdr:colOff>83820</xdr:colOff>
      <xdr:row>159</xdr:row>
      <xdr:rowOff>114300</xdr:rowOff>
    </xdr:to>
    <xdr:sp macro="" textlink="">
      <xdr:nvSpPr>
        <xdr:cNvPr id="1152" name="Arrow: Down 1151">
          <a:extLst>
            <a:ext uri="{FF2B5EF4-FFF2-40B4-BE49-F238E27FC236}">
              <a16:creationId xmlns:a16="http://schemas.microsoft.com/office/drawing/2014/main" id="{13EA6921-8BBC-410E-8EF6-A442D34CE5C4}"/>
            </a:ext>
          </a:extLst>
        </xdr:cNvPr>
        <xdr:cNvSpPr/>
      </xdr:nvSpPr>
      <xdr:spPr>
        <a:xfrm rot="10800000">
          <a:off x="108204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159</xdr:row>
      <xdr:rowOff>0</xdr:rowOff>
    </xdr:from>
    <xdr:to>
      <xdr:col>11</xdr:col>
      <xdr:colOff>83820</xdr:colOff>
      <xdr:row>159</xdr:row>
      <xdr:rowOff>114300</xdr:rowOff>
    </xdr:to>
    <xdr:sp macro="" textlink="">
      <xdr:nvSpPr>
        <xdr:cNvPr id="1153" name="Arrow: Down 1152">
          <a:extLst>
            <a:ext uri="{FF2B5EF4-FFF2-40B4-BE49-F238E27FC236}">
              <a16:creationId xmlns:a16="http://schemas.microsoft.com/office/drawing/2014/main" id="{53FCF9F4-288C-476E-BCC5-827C990D9DF4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159</xdr:row>
      <xdr:rowOff>0</xdr:rowOff>
    </xdr:from>
    <xdr:to>
      <xdr:col>5</xdr:col>
      <xdr:colOff>83820</xdr:colOff>
      <xdr:row>159</xdr:row>
      <xdr:rowOff>114300</xdr:rowOff>
    </xdr:to>
    <xdr:sp macro="" textlink="">
      <xdr:nvSpPr>
        <xdr:cNvPr id="1154" name="Arrow: Down 1153">
          <a:extLst>
            <a:ext uri="{FF2B5EF4-FFF2-40B4-BE49-F238E27FC236}">
              <a16:creationId xmlns:a16="http://schemas.microsoft.com/office/drawing/2014/main" id="{0DCC5CE7-F79D-45E9-8F2D-C4825EE79F80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159</xdr:row>
      <xdr:rowOff>0</xdr:rowOff>
    </xdr:from>
    <xdr:to>
      <xdr:col>24</xdr:col>
      <xdr:colOff>83820</xdr:colOff>
      <xdr:row>159</xdr:row>
      <xdr:rowOff>114300</xdr:rowOff>
    </xdr:to>
    <xdr:sp macro="" textlink="">
      <xdr:nvSpPr>
        <xdr:cNvPr id="1155" name="Arrow: Down 1154">
          <a:extLst>
            <a:ext uri="{FF2B5EF4-FFF2-40B4-BE49-F238E27FC236}">
              <a16:creationId xmlns:a16="http://schemas.microsoft.com/office/drawing/2014/main" id="{20B2ED51-BEE1-4446-8FC3-52150E2ED67C}"/>
            </a:ext>
          </a:extLst>
        </xdr:cNvPr>
        <xdr:cNvSpPr/>
      </xdr:nvSpPr>
      <xdr:spPr>
        <a:xfrm rot="10800000">
          <a:off x="58521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159</xdr:row>
      <xdr:rowOff>0</xdr:rowOff>
    </xdr:from>
    <xdr:to>
      <xdr:col>60</xdr:col>
      <xdr:colOff>83820</xdr:colOff>
      <xdr:row>159</xdr:row>
      <xdr:rowOff>114300</xdr:rowOff>
    </xdr:to>
    <xdr:sp macro="" textlink="">
      <xdr:nvSpPr>
        <xdr:cNvPr id="1157" name="Arrow: Down 1156">
          <a:extLst>
            <a:ext uri="{FF2B5EF4-FFF2-40B4-BE49-F238E27FC236}">
              <a16:creationId xmlns:a16="http://schemas.microsoft.com/office/drawing/2014/main" id="{B3885D79-93FF-4740-A74C-7A5F586516E3}"/>
            </a:ext>
          </a:extLst>
        </xdr:cNvPr>
        <xdr:cNvSpPr/>
      </xdr:nvSpPr>
      <xdr:spPr>
        <a:xfrm rot="10800000">
          <a:off x="155829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160</xdr:row>
      <xdr:rowOff>0</xdr:rowOff>
    </xdr:from>
    <xdr:to>
      <xdr:col>71</xdr:col>
      <xdr:colOff>83820</xdr:colOff>
      <xdr:row>160</xdr:row>
      <xdr:rowOff>114300</xdr:rowOff>
    </xdr:to>
    <xdr:sp macro="" textlink="">
      <xdr:nvSpPr>
        <xdr:cNvPr id="1090" name="Arrow: Down 1089">
          <a:extLst>
            <a:ext uri="{FF2B5EF4-FFF2-40B4-BE49-F238E27FC236}">
              <a16:creationId xmlns:a16="http://schemas.microsoft.com/office/drawing/2014/main" id="{30EAA649-7085-4EB5-8EB5-036AE1A3BE38}"/>
            </a:ext>
          </a:extLst>
        </xdr:cNvPr>
        <xdr:cNvSpPr/>
      </xdr:nvSpPr>
      <xdr:spPr>
        <a:xfrm>
          <a:off x="17907000" y="2917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160</xdr:row>
      <xdr:rowOff>0</xdr:rowOff>
    </xdr:from>
    <xdr:to>
      <xdr:col>11</xdr:col>
      <xdr:colOff>83820</xdr:colOff>
      <xdr:row>160</xdr:row>
      <xdr:rowOff>114300</xdr:rowOff>
    </xdr:to>
    <xdr:sp macro="" textlink="">
      <xdr:nvSpPr>
        <xdr:cNvPr id="1094" name="Arrow: Down 1093">
          <a:extLst>
            <a:ext uri="{FF2B5EF4-FFF2-40B4-BE49-F238E27FC236}">
              <a16:creationId xmlns:a16="http://schemas.microsoft.com/office/drawing/2014/main" id="{54B782FB-01D0-4C40-8E10-B1413ECB7BF3}"/>
            </a:ext>
          </a:extLst>
        </xdr:cNvPr>
        <xdr:cNvSpPr/>
      </xdr:nvSpPr>
      <xdr:spPr>
        <a:xfrm rot="10800000">
          <a:off x="361950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160</xdr:row>
      <xdr:rowOff>0</xdr:rowOff>
    </xdr:from>
    <xdr:to>
      <xdr:col>5</xdr:col>
      <xdr:colOff>83820</xdr:colOff>
      <xdr:row>160</xdr:row>
      <xdr:rowOff>114300</xdr:rowOff>
    </xdr:to>
    <xdr:sp macro="" textlink="">
      <xdr:nvSpPr>
        <xdr:cNvPr id="1095" name="Arrow: Down 1094">
          <a:extLst>
            <a:ext uri="{FF2B5EF4-FFF2-40B4-BE49-F238E27FC236}">
              <a16:creationId xmlns:a16="http://schemas.microsoft.com/office/drawing/2014/main" id="{FC1AAE07-2E6E-44AA-A17E-54A7F75F34FD}"/>
            </a:ext>
          </a:extLst>
        </xdr:cNvPr>
        <xdr:cNvSpPr/>
      </xdr:nvSpPr>
      <xdr:spPr>
        <a:xfrm rot="10800000">
          <a:off x="192786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160</xdr:row>
      <xdr:rowOff>0</xdr:rowOff>
    </xdr:from>
    <xdr:to>
      <xdr:col>24</xdr:col>
      <xdr:colOff>83820</xdr:colOff>
      <xdr:row>160</xdr:row>
      <xdr:rowOff>114300</xdr:rowOff>
    </xdr:to>
    <xdr:sp macro="" textlink="">
      <xdr:nvSpPr>
        <xdr:cNvPr id="1096" name="Arrow: Down 1095">
          <a:extLst>
            <a:ext uri="{FF2B5EF4-FFF2-40B4-BE49-F238E27FC236}">
              <a16:creationId xmlns:a16="http://schemas.microsoft.com/office/drawing/2014/main" id="{450C50F7-63EC-4BE2-AEED-3A329FA73E23}"/>
            </a:ext>
          </a:extLst>
        </xdr:cNvPr>
        <xdr:cNvSpPr/>
      </xdr:nvSpPr>
      <xdr:spPr>
        <a:xfrm rot="10800000">
          <a:off x="585978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160</xdr:row>
      <xdr:rowOff>0</xdr:rowOff>
    </xdr:from>
    <xdr:to>
      <xdr:col>60</xdr:col>
      <xdr:colOff>83820</xdr:colOff>
      <xdr:row>160</xdr:row>
      <xdr:rowOff>114300</xdr:rowOff>
    </xdr:to>
    <xdr:sp macro="" textlink="">
      <xdr:nvSpPr>
        <xdr:cNvPr id="1097" name="Arrow: Down 1096">
          <a:extLst>
            <a:ext uri="{FF2B5EF4-FFF2-40B4-BE49-F238E27FC236}">
              <a16:creationId xmlns:a16="http://schemas.microsoft.com/office/drawing/2014/main" id="{3152EE92-07AD-443E-A94A-0CFCA06E41DB}"/>
            </a:ext>
          </a:extLst>
        </xdr:cNvPr>
        <xdr:cNvSpPr/>
      </xdr:nvSpPr>
      <xdr:spPr>
        <a:xfrm rot="10800000">
          <a:off x="15590520" y="29176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160</xdr:row>
      <xdr:rowOff>0</xdr:rowOff>
    </xdr:from>
    <xdr:to>
      <xdr:col>39</xdr:col>
      <xdr:colOff>83820</xdr:colOff>
      <xdr:row>160</xdr:row>
      <xdr:rowOff>114300</xdr:rowOff>
    </xdr:to>
    <xdr:sp macro="" textlink="">
      <xdr:nvSpPr>
        <xdr:cNvPr id="1099" name="Arrow: Down 1098">
          <a:extLst>
            <a:ext uri="{FF2B5EF4-FFF2-40B4-BE49-F238E27FC236}">
              <a16:creationId xmlns:a16="http://schemas.microsoft.com/office/drawing/2014/main" id="{434CFD95-D4D5-4205-AA9F-2BB785548CD7}"/>
            </a:ext>
          </a:extLst>
        </xdr:cNvPr>
        <xdr:cNvSpPr/>
      </xdr:nvSpPr>
      <xdr:spPr>
        <a:xfrm>
          <a:off x="8953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160</xdr:row>
      <xdr:rowOff>0</xdr:rowOff>
    </xdr:from>
    <xdr:to>
      <xdr:col>45</xdr:col>
      <xdr:colOff>83820</xdr:colOff>
      <xdr:row>160</xdr:row>
      <xdr:rowOff>114300</xdr:rowOff>
    </xdr:to>
    <xdr:sp macro="" textlink="">
      <xdr:nvSpPr>
        <xdr:cNvPr id="1103" name="Arrow: Down 1102">
          <a:extLst>
            <a:ext uri="{FF2B5EF4-FFF2-40B4-BE49-F238E27FC236}">
              <a16:creationId xmlns:a16="http://schemas.microsoft.com/office/drawing/2014/main" id="{76F5291A-1E09-454C-B39C-EA4BE05BA272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161</xdr:row>
      <xdr:rowOff>0</xdr:rowOff>
    </xdr:from>
    <xdr:to>
      <xdr:col>71</xdr:col>
      <xdr:colOff>83820</xdr:colOff>
      <xdr:row>161</xdr:row>
      <xdr:rowOff>114300</xdr:rowOff>
    </xdr:to>
    <xdr:sp macro="" textlink="">
      <xdr:nvSpPr>
        <xdr:cNvPr id="1071" name="Arrow: Down 1070">
          <a:extLst>
            <a:ext uri="{FF2B5EF4-FFF2-40B4-BE49-F238E27FC236}">
              <a16:creationId xmlns:a16="http://schemas.microsoft.com/office/drawing/2014/main" id="{723F98E9-3105-40F3-8DE4-5E51655911FA}"/>
            </a:ext>
          </a:extLst>
        </xdr:cNvPr>
        <xdr:cNvSpPr/>
      </xdr:nvSpPr>
      <xdr:spPr>
        <a:xfrm>
          <a:off x="1783842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161</xdr:row>
      <xdr:rowOff>0</xdr:rowOff>
    </xdr:from>
    <xdr:to>
      <xdr:col>11</xdr:col>
      <xdr:colOff>83820</xdr:colOff>
      <xdr:row>161</xdr:row>
      <xdr:rowOff>114300</xdr:rowOff>
    </xdr:to>
    <xdr:sp macro="" textlink="">
      <xdr:nvSpPr>
        <xdr:cNvPr id="1086" name="Arrow: Down 1085">
          <a:extLst>
            <a:ext uri="{FF2B5EF4-FFF2-40B4-BE49-F238E27FC236}">
              <a16:creationId xmlns:a16="http://schemas.microsoft.com/office/drawing/2014/main" id="{6BF0ADFF-4CE1-4650-B1CF-0D53B1B1F75F}"/>
            </a:ext>
          </a:extLst>
        </xdr:cNvPr>
        <xdr:cNvSpPr/>
      </xdr:nvSpPr>
      <xdr:spPr>
        <a:xfrm rot="10800000">
          <a:off x="361950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161</xdr:row>
      <xdr:rowOff>0</xdr:rowOff>
    </xdr:from>
    <xdr:to>
      <xdr:col>5</xdr:col>
      <xdr:colOff>83820</xdr:colOff>
      <xdr:row>161</xdr:row>
      <xdr:rowOff>114300</xdr:rowOff>
    </xdr:to>
    <xdr:sp macro="" textlink="">
      <xdr:nvSpPr>
        <xdr:cNvPr id="1087" name="Arrow: Down 1086">
          <a:extLst>
            <a:ext uri="{FF2B5EF4-FFF2-40B4-BE49-F238E27FC236}">
              <a16:creationId xmlns:a16="http://schemas.microsoft.com/office/drawing/2014/main" id="{F9E8C87B-B87A-4AB7-8CF1-658CC521B50D}"/>
            </a:ext>
          </a:extLst>
        </xdr:cNvPr>
        <xdr:cNvSpPr/>
      </xdr:nvSpPr>
      <xdr:spPr>
        <a:xfrm rot="10800000">
          <a:off x="1927860" y="2935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161</xdr:row>
      <xdr:rowOff>0</xdr:rowOff>
    </xdr:from>
    <xdr:to>
      <xdr:col>45</xdr:col>
      <xdr:colOff>83820</xdr:colOff>
      <xdr:row>161</xdr:row>
      <xdr:rowOff>114300</xdr:rowOff>
    </xdr:to>
    <xdr:sp macro="" textlink="">
      <xdr:nvSpPr>
        <xdr:cNvPr id="1092" name="Arrow: Down 1091">
          <a:extLst>
            <a:ext uri="{FF2B5EF4-FFF2-40B4-BE49-F238E27FC236}">
              <a16:creationId xmlns:a16="http://schemas.microsoft.com/office/drawing/2014/main" id="{8E65BEC6-51B4-4605-86B4-E375BD225ACC}"/>
            </a:ext>
          </a:extLst>
        </xdr:cNvPr>
        <xdr:cNvSpPr/>
      </xdr:nvSpPr>
      <xdr:spPr>
        <a:xfrm rot="10800000">
          <a:off x="10759440" y="2935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161</xdr:row>
      <xdr:rowOff>0</xdr:rowOff>
    </xdr:from>
    <xdr:to>
      <xdr:col>24</xdr:col>
      <xdr:colOff>83820</xdr:colOff>
      <xdr:row>161</xdr:row>
      <xdr:rowOff>114300</xdr:rowOff>
    </xdr:to>
    <xdr:sp macro="" textlink="">
      <xdr:nvSpPr>
        <xdr:cNvPr id="1100" name="Arrow: Down 1099">
          <a:extLst>
            <a:ext uri="{FF2B5EF4-FFF2-40B4-BE49-F238E27FC236}">
              <a16:creationId xmlns:a16="http://schemas.microsoft.com/office/drawing/2014/main" id="{EE2838FE-C962-4CCD-BA09-7FD621D3444A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161</xdr:row>
      <xdr:rowOff>0</xdr:rowOff>
    </xdr:from>
    <xdr:to>
      <xdr:col>60</xdr:col>
      <xdr:colOff>83820</xdr:colOff>
      <xdr:row>161</xdr:row>
      <xdr:rowOff>114300</xdr:rowOff>
    </xdr:to>
    <xdr:sp macro="" textlink="">
      <xdr:nvSpPr>
        <xdr:cNvPr id="1115" name="Arrow: Down 1114">
          <a:extLst>
            <a:ext uri="{FF2B5EF4-FFF2-40B4-BE49-F238E27FC236}">
              <a16:creationId xmlns:a16="http://schemas.microsoft.com/office/drawing/2014/main" id="{B3A120B2-7909-4CC0-887D-5028DCA62ABB}"/>
            </a:ext>
          </a:extLst>
        </xdr:cNvPr>
        <xdr:cNvSpPr/>
      </xdr:nvSpPr>
      <xdr:spPr>
        <a:xfrm>
          <a:off x="155219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162</xdr:row>
      <xdr:rowOff>0</xdr:rowOff>
    </xdr:from>
    <xdr:to>
      <xdr:col>71</xdr:col>
      <xdr:colOff>83820</xdr:colOff>
      <xdr:row>162</xdr:row>
      <xdr:rowOff>114300</xdr:rowOff>
    </xdr:to>
    <xdr:sp macro="" textlink="">
      <xdr:nvSpPr>
        <xdr:cNvPr id="1119" name="Arrow: Down 1118">
          <a:extLst>
            <a:ext uri="{FF2B5EF4-FFF2-40B4-BE49-F238E27FC236}">
              <a16:creationId xmlns:a16="http://schemas.microsoft.com/office/drawing/2014/main" id="{F2D43479-EA31-439F-BFCD-5E88D4DB7560}"/>
            </a:ext>
          </a:extLst>
        </xdr:cNvPr>
        <xdr:cNvSpPr/>
      </xdr:nvSpPr>
      <xdr:spPr>
        <a:xfrm>
          <a:off x="1783842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162</xdr:row>
      <xdr:rowOff>0</xdr:rowOff>
    </xdr:from>
    <xdr:to>
      <xdr:col>11</xdr:col>
      <xdr:colOff>83820</xdr:colOff>
      <xdr:row>162</xdr:row>
      <xdr:rowOff>114300</xdr:rowOff>
    </xdr:to>
    <xdr:sp macro="" textlink="">
      <xdr:nvSpPr>
        <xdr:cNvPr id="1120" name="Arrow: Down 1119">
          <a:extLst>
            <a:ext uri="{FF2B5EF4-FFF2-40B4-BE49-F238E27FC236}">
              <a16:creationId xmlns:a16="http://schemas.microsoft.com/office/drawing/2014/main" id="{F2DEA78B-7DE6-4E02-AA19-030759309BDA}"/>
            </a:ext>
          </a:extLst>
        </xdr:cNvPr>
        <xdr:cNvSpPr/>
      </xdr:nvSpPr>
      <xdr:spPr>
        <a:xfrm rot="10800000">
          <a:off x="361950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162</xdr:row>
      <xdr:rowOff>0</xdr:rowOff>
    </xdr:from>
    <xdr:to>
      <xdr:col>5</xdr:col>
      <xdr:colOff>83820</xdr:colOff>
      <xdr:row>162</xdr:row>
      <xdr:rowOff>114300</xdr:rowOff>
    </xdr:to>
    <xdr:sp macro="" textlink="">
      <xdr:nvSpPr>
        <xdr:cNvPr id="1122" name="Arrow: Down 1121">
          <a:extLst>
            <a:ext uri="{FF2B5EF4-FFF2-40B4-BE49-F238E27FC236}">
              <a16:creationId xmlns:a16="http://schemas.microsoft.com/office/drawing/2014/main" id="{1ECB3950-B0C2-439B-B0EC-FB5A4C5D2FD4}"/>
            </a:ext>
          </a:extLst>
        </xdr:cNvPr>
        <xdr:cNvSpPr/>
      </xdr:nvSpPr>
      <xdr:spPr>
        <a:xfrm rot="10800000">
          <a:off x="1927860" y="2954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162</xdr:row>
      <xdr:rowOff>0</xdr:rowOff>
    </xdr:from>
    <xdr:to>
      <xdr:col>45</xdr:col>
      <xdr:colOff>83820</xdr:colOff>
      <xdr:row>162</xdr:row>
      <xdr:rowOff>114300</xdr:rowOff>
    </xdr:to>
    <xdr:sp macro="" textlink="">
      <xdr:nvSpPr>
        <xdr:cNvPr id="1123" name="Arrow: Down 1122">
          <a:extLst>
            <a:ext uri="{FF2B5EF4-FFF2-40B4-BE49-F238E27FC236}">
              <a16:creationId xmlns:a16="http://schemas.microsoft.com/office/drawing/2014/main" id="{CC3C7D40-EE05-4838-9CF3-A85ED11E5C25}"/>
            </a:ext>
          </a:extLst>
        </xdr:cNvPr>
        <xdr:cNvSpPr/>
      </xdr:nvSpPr>
      <xdr:spPr>
        <a:xfrm rot="10800000">
          <a:off x="1075944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162</xdr:row>
      <xdr:rowOff>0</xdr:rowOff>
    </xdr:from>
    <xdr:to>
      <xdr:col>24</xdr:col>
      <xdr:colOff>83820</xdr:colOff>
      <xdr:row>162</xdr:row>
      <xdr:rowOff>114300</xdr:rowOff>
    </xdr:to>
    <xdr:sp macro="" textlink="">
      <xdr:nvSpPr>
        <xdr:cNvPr id="1126" name="Arrow: Down 1125">
          <a:extLst>
            <a:ext uri="{FF2B5EF4-FFF2-40B4-BE49-F238E27FC236}">
              <a16:creationId xmlns:a16="http://schemas.microsoft.com/office/drawing/2014/main" id="{EB734A16-8F49-44A0-9DF6-D9C33C0DF3AF}"/>
            </a:ext>
          </a:extLst>
        </xdr:cNvPr>
        <xdr:cNvSpPr/>
      </xdr:nvSpPr>
      <xdr:spPr>
        <a:xfrm>
          <a:off x="579120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162</xdr:row>
      <xdr:rowOff>0</xdr:rowOff>
    </xdr:from>
    <xdr:to>
      <xdr:col>39</xdr:col>
      <xdr:colOff>83820</xdr:colOff>
      <xdr:row>162</xdr:row>
      <xdr:rowOff>114300</xdr:rowOff>
    </xdr:to>
    <xdr:sp macro="" textlink="">
      <xdr:nvSpPr>
        <xdr:cNvPr id="1132" name="Arrow: Down 1131">
          <a:extLst>
            <a:ext uri="{FF2B5EF4-FFF2-40B4-BE49-F238E27FC236}">
              <a16:creationId xmlns:a16="http://schemas.microsoft.com/office/drawing/2014/main" id="{6152C410-7656-45FC-933F-5F9D3B1BEC3C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162</xdr:row>
      <xdr:rowOff>0</xdr:rowOff>
    </xdr:from>
    <xdr:to>
      <xdr:col>60</xdr:col>
      <xdr:colOff>83820</xdr:colOff>
      <xdr:row>162</xdr:row>
      <xdr:rowOff>114300</xdr:rowOff>
    </xdr:to>
    <xdr:sp macro="" textlink="">
      <xdr:nvSpPr>
        <xdr:cNvPr id="1133" name="Arrow: Down 1132">
          <a:extLst>
            <a:ext uri="{FF2B5EF4-FFF2-40B4-BE49-F238E27FC236}">
              <a16:creationId xmlns:a16="http://schemas.microsoft.com/office/drawing/2014/main" id="{0929BEB7-3699-4CFD-BD6E-020B36F2128E}"/>
            </a:ext>
          </a:extLst>
        </xdr:cNvPr>
        <xdr:cNvSpPr/>
      </xdr:nvSpPr>
      <xdr:spPr>
        <a:xfrm rot="10800000">
          <a:off x="1552194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163</xdr:row>
      <xdr:rowOff>0</xdr:rowOff>
    </xdr:from>
    <xdr:to>
      <xdr:col>71</xdr:col>
      <xdr:colOff>83820</xdr:colOff>
      <xdr:row>163</xdr:row>
      <xdr:rowOff>114300</xdr:rowOff>
    </xdr:to>
    <xdr:sp macro="" textlink="">
      <xdr:nvSpPr>
        <xdr:cNvPr id="1134" name="Arrow: Down 1133">
          <a:extLst>
            <a:ext uri="{FF2B5EF4-FFF2-40B4-BE49-F238E27FC236}">
              <a16:creationId xmlns:a16="http://schemas.microsoft.com/office/drawing/2014/main" id="{8858F650-233C-4625-BEC3-B8FE267A8055}"/>
            </a:ext>
          </a:extLst>
        </xdr:cNvPr>
        <xdr:cNvSpPr/>
      </xdr:nvSpPr>
      <xdr:spPr>
        <a:xfrm>
          <a:off x="1783842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163</xdr:row>
      <xdr:rowOff>0</xdr:rowOff>
    </xdr:from>
    <xdr:to>
      <xdr:col>11</xdr:col>
      <xdr:colOff>83820</xdr:colOff>
      <xdr:row>163</xdr:row>
      <xdr:rowOff>114300</xdr:rowOff>
    </xdr:to>
    <xdr:sp macro="" textlink="">
      <xdr:nvSpPr>
        <xdr:cNvPr id="1135" name="Arrow: Down 1134">
          <a:extLst>
            <a:ext uri="{FF2B5EF4-FFF2-40B4-BE49-F238E27FC236}">
              <a16:creationId xmlns:a16="http://schemas.microsoft.com/office/drawing/2014/main" id="{7F86C737-23CE-43FB-BD82-56BECF12BF3E}"/>
            </a:ext>
          </a:extLst>
        </xdr:cNvPr>
        <xdr:cNvSpPr/>
      </xdr:nvSpPr>
      <xdr:spPr>
        <a:xfrm rot="10800000">
          <a:off x="3619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163</xdr:row>
      <xdr:rowOff>0</xdr:rowOff>
    </xdr:from>
    <xdr:to>
      <xdr:col>5</xdr:col>
      <xdr:colOff>83820</xdr:colOff>
      <xdr:row>163</xdr:row>
      <xdr:rowOff>114300</xdr:rowOff>
    </xdr:to>
    <xdr:sp macro="" textlink="">
      <xdr:nvSpPr>
        <xdr:cNvPr id="1136" name="Arrow: Down 1135">
          <a:extLst>
            <a:ext uri="{FF2B5EF4-FFF2-40B4-BE49-F238E27FC236}">
              <a16:creationId xmlns:a16="http://schemas.microsoft.com/office/drawing/2014/main" id="{0D304866-0974-4130-85D9-6DBCCF0F4123}"/>
            </a:ext>
          </a:extLst>
        </xdr:cNvPr>
        <xdr:cNvSpPr/>
      </xdr:nvSpPr>
      <xdr:spPr>
        <a:xfrm rot="10800000">
          <a:off x="192786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163</xdr:row>
      <xdr:rowOff>0</xdr:rowOff>
    </xdr:from>
    <xdr:to>
      <xdr:col>45</xdr:col>
      <xdr:colOff>83820</xdr:colOff>
      <xdr:row>163</xdr:row>
      <xdr:rowOff>114300</xdr:rowOff>
    </xdr:to>
    <xdr:sp macro="" textlink="">
      <xdr:nvSpPr>
        <xdr:cNvPr id="1144" name="Arrow: Down 1143">
          <a:extLst>
            <a:ext uri="{FF2B5EF4-FFF2-40B4-BE49-F238E27FC236}">
              <a16:creationId xmlns:a16="http://schemas.microsoft.com/office/drawing/2014/main" id="{B2035F93-2278-4191-9AAF-5318485CF858}"/>
            </a:ext>
          </a:extLst>
        </xdr:cNvPr>
        <xdr:cNvSpPr/>
      </xdr:nvSpPr>
      <xdr:spPr>
        <a:xfrm rot="10800000">
          <a:off x="10759440" y="29725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163</xdr:row>
      <xdr:rowOff>0</xdr:rowOff>
    </xdr:from>
    <xdr:to>
      <xdr:col>39</xdr:col>
      <xdr:colOff>83820</xdr:colOff>
      <xdr:row>163</xdr:row>
      <xdr:rowOff>114300</xdr:rowOff>
    </xdr:to>
    <xdr:sp macro="" textlink="">
      <xdr:nvSpPr>
        <xdr:cNvPr id="1146" name="Arrow: Down 1145">
          <a:extLst>
            <a:ext uri="{FF2B5EF4-FFF2-40B4-BE49-F238E27FC236}">
              <a16:creationId xmlns:a16="http://schemas.microsoft.com/office/drawing/2014/main" id="{36F3D4CA-2ACF-453D-9D1E-53946262C02D}"/>
            </a:ext>
          </a:extLst>
        </xdr:cNvPr>
        <xdr:cNvSpPr/>
      </xdr:nvSpPr>
      <xdr:spPr>
        <a:xfrm>
          <a:off x="8953500" y="2972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163</xdr:row>
      <xdr:rowOff>0</xdr:rowOff>
    </xdr:from>
    <xdr:to>
      <xdr:col>24</xdr:col>
      <xdr:colOff>83820</xdr:colOff>
      <xdr:row>163</xdr:row>
      <xdr:rowOff>114300</xdr:rowOff>
    </xdr:to>
    <xdr:sp macro="" textlink="">
      <xdr:nvSpPr>
        <xdr:cNvPr id="1150" name="Arrow: Down 1149">
          <a:extLst>
            <a:ext uri="{FF2B5EF4-FFF2-40B4-BE49-F238E27FC236}">
              <a16:creationId xmlns:a16="http://schemas.microsoft.com/office/drawing/2014/main" id="{00475573-BCEF-496B-BB5B-70DF21F9CE61}"/>
            </a:ext>
          </a:extLst>
        </xdr:cNvPr>
        <xdr:cNvSpPr/>
      </xdr:nvSpPr>
      <xdr:spPr>
        <a:xfrm rot="10800000">
          <a:off x="582930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163</xdr:row>
      <xdr:rowOff>0</xdr:rowOff>
    </xdr:from>
    <xdr:to>
      <xdr:col>60</xdr:col>
      <xdr:colOff>83820</xdr:colOff>
      <xdr:row>163</xdr:row>
      <xdr:rowOff>114300</xdr:rowOff>
    </xdr:to>
    <xdr:sp macro="" textlink="">
      <xdr:nvSpPr>
        <xdr:cNvPr id="1156" name="Arrow: Down 1155">
          <a:extLst>
            <a:ext uri="{FF2B5EF4-FFF2-40B4-BE49-F238E27FC236}">
              <a16:creationId xmlns:a16="http://schemas.microsoft.com/office/drawing/2014/main" id="{7F624657-DAD8-4AC0-8D88-EDF2076B177D}"/>
            </a:ext>
          </a:extLst>
        </xdr:cNvPr>
        <xdr:cNvSpPr/>
      </xdr:nvSpPr>
      <xdr:spPr>
        <a:xfrm>
          <a:off x="155600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164</xdr:row>
      <xdr:rowOff>0</xdr:rowOff>
    </xdr:from>
    <xdr:to>
      <xdr:col>71</xdr:col>
      <xdr:colOff>83820</xdr:colOff>
      <xdr:row>164</xdr:row>
      <xdr:rowOff>114300</xdr:rowOff>
    </xdr:to>
    <xdr:sp macro="" textlink="">
      <xdr:nvSpPr>
        <xdr:cNvPr id="1091" name="Arrow: Down 1090">
          <a:extLst>
            <a:ext uri="{FF2B5EF4-FFF2-40B4-BE49-F238E27FC236}">
              <a16:creationId xmlns:a16="http://schemas.microsoft.com/office/drawing/2014/main" id="{5BE205EE-AD33-4FF8-8CA7-5BC46B854D1C}"/>
            </a:ext>
          </a:extLst>
        </xdr:cNvPr>
        <xdr:cNvSpPr/>
      </xdr:nvSpPr>
      <xdr:spPr>
        <a:xfrm>
          <a:off x="1834134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164</xdr:row>
      <xdr:rowOff>0</xdr:rowOff>
    </xdr:from>
    <xdr:to>
      <xdr:col>45</xdr:col>
      <xdr:colOff>83820</xdr:colOff>
      <xdr:row>164</xdr:row>
      <xdr:rowOff>114300</xdr:rowOff>
    </xdr:to>
    <xdr:sp macro="" textlink="">
      <xdr:nvSpPr>
        <xdr:cNvPr id="1130" name="Arrow: Down 1129">
          <a:extLst>
            <a:ext uri="{FF2B5EF4-FFF2-40B4-BE49-F238E27FC236}">
              <a16:creationId xmlns:a16="http://schemas.microsoft.com/office/drawing/2014/main" id="{DC0869DD-C708-47AB-853C-32CB54FF1E0F}"/>
            </a:ext>
          </a:extLst>
        </xdr:cNvPr>
        <xdr:cNvSpPr/>
      </xdr:nvSpPr>
      <xdr:spPr>
        <a:xfrm rot="10800000">
          <a:off x="112623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164</xdr:row>
      <xdr:rowOff>0</xdr:rowOff>
    </xdr:from>
    <xdr:to>
      <xdr:col>39</xdr:col>
      <xdr:colOff>83820</xdr:colOff>
      <xdr:row>164</xdr:row>
      <xdr:rowOff>114300</xdr:rowOff>
    </xdr:to>
    <xdr:sp macro="" textlink="">
      <xdr:nvSpPr>
        <xdr:cNvPr id="1131" name="Arrow: Down 1130">
          <a:extLst>
            <a:ext uri="{FF2B5EF4-FFF2-40B4-BE49-F238E27FC236}">
              <a16:creationId xmlns:a16="http://schemas.microsoft.com/office/drawing/2014/main" id="{B24CEF47-5E91-434F-AE16-9FE115EE9978}"/>
            </a:ext>
          </a:extLst>
        </xdr:cNvPr>
        <xdr:cNvSpPr/>
      </xdr:nvSpPr>
      <xdr:spPr>
        <a:xfrm>
          <a:off x="9456420" y="2990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164</xdr:row>
      <xdr:rowOff>0</xdr:rowOff>
    </xdr:from>
    <xdr:to>
      <xdr:col>60</xdr:col>
      <xdr:colOff>83820</xdr:colOff>
      <xdr:row>164</xdr:row>
      <xdr:rowOff>114300</xdr:rowOff>
    </xdr:to>
    <xdr:sp macro="" textlink="">
      <xdr:nvSpPr>
        <xdr:cNvPr id="1147" name="Arrow: Down 1146">
          <a:extLst>
            <a:ext uri="{FF2B5EF4-FFF2-40B4-BE49-F238E27FC236}">
              <a16:creationId xmlns:a16="http://schemas.microsoft.com/office/drawing/2014/main" id="{C9E437E0-59AE-4ADB-B500-381CE3FABB24}"/>
            </a:ext>
          </a:extLst>
        </xdr:cNvPr>
        <xdr:cNvSpPr/>
      </xdr:nvSpPr>
      <xdr:spPr>
        <a:xfrm>
          <a:off x="16024860" y="2990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164</xdr:row>
      <xdr:rowOff>0</xdr:rowOff>
    </xdr:from>
    <xdr:to>
      <xdr:col>5</xdr:col>
      <xdr:colOff>83820</xdr:colOff>
      <xdr:row>164</xdr:row>
      <xdr:rowOff>114300</xdr:rowOff>
    </xdr:to>
    <xdr:sp macro="" textlink="">
      <xdr:nvSpPr>
        <xdr:cNvPr id="1158" name="Arrow: Down 1157">
          <a:extLst>
            <a:ext uri="{FF2B5EF4-FFF2-40B4-BE49-F238E27FC236}">
              <a16:creationId xmlns:a16="http://schemas.microsoft.com/office/drawing/2014/main" id="{6945B24E-8196-4EF1-A78E-BF0EC8CB86A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164</xdr:row>
      <xdr:rowOff>0</xdr:rowOff>
    </xdr:from>
    <xdr:to>
      <xdr:col>11</xdr:col>
      <xdr:colOff>83820</xdr:colOff>
      <xdr:row>164</xdr:row>
      <xdr:rowOff>114300</xdr:rowOff>
    </xdr:to>
    <xdr:sp macro="" textlink="">
      <xdr:nvSpPr>
        <xdr:cNvPr id="1162" name="Arrow: Down 1161">
          <a:extLst>
            <a:ext uri="{FF2B5EF4-FFF2-40B4-BE49-F238E27FC236}">
              <a16:creationId xmlns:a16="http://schemas.microsoft.com/office/drawing/2014/main" id="{17402F47-58BB-4545-AFC5-0AB9B17517F5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83820</xdr:colOff>
      <xdr:row>164</xdr:row>
      <xdr:rowOff>114300</xdr:rowOff>
    </xdr:to>
    <xdr:sp macro="" textlink="">
      <xdr:nvSpPr>
        <xdr:cNvPr id="1164" name="Arrow: Down 1163">
          <a:extLst>
            <a:ext uri="{FF2B5EF4-FFF2-40B4-BE49-F238E27FC236}">
              <a16:creationId xmlns:a16="http://schemas.microsoft.com/office/drawing/2014/main" id="{5464AED0-E514-4274-8A87-3D6AEACB68E2}"/>
            </a:ext>
          </a:extLst>
        </xdr:cNvPr>
        <xdr:cNvSpPr/>
      </xdr:nvSpPr>
      <xdr:spPr>
        <a:xfrm>
          <a:off x="62941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165</xdr:row>
      <xdr:rowOff>0</xdr:rowOff>
    </xdr:from>
    <xdr:to>
      <xdr:col>71</xdr:col>
      <xdr:colOff>83820</xdr:colOff>
      <xdr:row>165</xdr:row>
      <xdr:rowOff>114300</xdr:rowOff>
    </xdr:to>
    <xdr:sp macro="" textlink="">
      <xdr:nvSpPr>
        <xdr:cNvPr id="1165" name="Arrow: Down 1164">
          <a:extLst>
            <a:ext uri="{FF2B5EF4-FFF2-40B4-BE49-F238E27FC236}">
              <a16:creationId xmlns:a16="http://schemas.microsoft.com/office/drawing/2014/main" id="{56F7DFF8-433B-43F4-A994-3920A326EF0A}"/>
            </a:ext>
          </a:extLst>
        </xdr:cNvPr>
        <xdr:cNvSpPr/>
      </xdr:nvSpPr>
      <xdr:spPr>
        <a:xfrm>
          <a:off x="1898142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165</xdr:row>
      <xdr:rowOff>0</xdr:rowOff>
    </xdr:from>
    <xdr:to>
      <xdr:col>45</xdr:col>
      <xdr:colOff>83820</xdr:colOff>
      <xdr:row>165</xdr:row>
      <xdr:rowOff>114300</xdr:rowOff>
    </xdr:to>
    <xdr:sp macro="" textlink="">
      <xdr:nvSpPr>
        <xdr:cNvPr id="1166" name="Arrow: Down 1165">
          <a:extLst>
            <a:ext uri="{FF2B5EF4-FFF2-40B4-BE49-F238E27FC236}">
              <a16:creationId xmlns:a16="http://schemas.microsoft.com/office/drawing/2014/main" id="{57581B03-5160-480E-9D65-A2FDBA35A662}"/>
            </a:ext>
          </a:extLst>
        </xdr:cNvPr>
        <xdr:cNvSpPr/>
      </xdr:nvSpPr>
      <xdr:spPr>
        <a:xfrm rot="10800000">
          <a:off x="119024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165</xdr:row>
      <xdr:rowOff>0</xdr:rowOff>
    </xdr:from>
    <xdr:to>
      <xdr:col>39</xdr:col>
      <xdr:colOff>83820</xdr:colOff>
      <xdr:row>165</xdr:row>
      <xdr:rowOff>114300</xdr:rowOff>
    </xdr:to>
    <xdr:sp macro="" textlink="">
      <xdr:nvSpPr>
        <xdr:cNvPr id="1167" name="Arrow: Down 1166">
          <a:extLst>
            <a:ext uri="{FF2B5EF4-FFF2-40B4-BE49-F238E27FC236}">
              <a16:creationId xmlns:a16="http://schemas.microsoft.com/office/drawing/2014/main" id="{C785001D-418C-4B67-90FD-2F6A7575FA28}"/>
            </a:ext>
          </a:extLst>
        </xdr:cNvPr>
        <xdr:cNvSpPr/>
      </xdr:nvSpPr>
      <xdr:spPr>
        <a:xfrm>
          <a:off x="10096500" y="3009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165</xdr:row>
      <xdr:rowOff>0</xdr:rowOff>
    </xdr:from>
    <xdr:to>
      <xdr:col>60</xdr:col>
      <xdr:colOff>83820</xdr:colOff>
      <xdr:row>165</xdr:row>
      <xdr:rowOff>114300</xdr:rowOff>
    </xdr:to>
    <xdr:sp macro="" textlink="">
      <xdr:nvSpPr>
        <xdr:cNvPr id="1168" name="Arrow: Down 1167">
          <a:extLst>
            <a:ext uri="{FF2B5EF4-FFF2-40B4-BE49-F238E27FC236}">
              <a16:creationId xmlns:a16="http://schemas.microsoft.com/office/drawing/2014/main" id="{17ACB60F-2957-4A9A-AC4B-66856428BE8C}"/>
            </a:ext>
          </a:extLst>
        </xdr:cNvPr>
        <xdr:cNvSpPr/>
      </xdr:nvSpPr>
      <xdr:spPr>
        <a:xfrm>
          <a:off x="1666494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165</xdr:row>
      <xdr:rowOff>0</xdr:rowOff>
    </xdr:from>
    <xdr:to>
      <xdr:col>5</xdr:col>
      <xdr:colOff>83820</xdr:colOff>
      <xdr:row>165</xdr:row>
      <xdr:rowOff>114300</xdr:rowOff>
    </xdr:to>
    <xdr:sp macro="" textlink="">
      <xdr:nvSpPr>
        <xdr:cNvPr id="1169" name="Arrow: Down 1168">
          <a:extLst>
            <a:ext uri="{FF2B5EF4-FFF2-40B4-BE49-F238E27FC236}">
              <a16:creationId xmlns:a16="http://schemas.microsoft.com/office/drawing/2014/main" id="{A7D72BD9-5A8D-4A91-81D6-9BBD99B5AC58}"/>
            </a:ext>
          </a:extLst>
        </xdr:cNvPr>
        <xdr:cNvSpPr/>
      </xdr:nvSpPr>
      <xdr:spPr>
        <a:xfrm>
          <a:off x="192786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165</xdr:row>
      <xdr:rowOff>0</xdr:rowOff>
    </xdr:from>
    <xdr:to>
      <xdr:col>11</xdr:col>
      <xdr:colOff>83820</xdr:colOff>
      <xdr:row>165</xdr:row>
      <xdr:rowOff>114300</xdr:rowOff>
    </xdr:to>
    <xdr:sp macro="" textlink="">
      <xdr:nvSpPr>
        <xdr:cNvPr id="1170" name="Arrow: Down 1169">
          <a:extLst>
            <a:ext uri="{FF2B5EF4-FFF2-40B4-BE49-F238E27FC236}">
              <a16:creationId xmlns:a16="http://schemas.microsoft.com/office/drawing/2014/main" id="{3C36D6CC-71FF-446F-A47F-BB05A45C54DF}"/>
            </a:ext>
          </a:extLst>
        </xdr:cNvPr>
        <xdr:cNvSpPr/>
      </xdr:nvSpPr>
      <xdr:spPr>
        <a:xfrm>
          <a:off x="36195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165</xdr:row>
      <xdr:rowOff>0</xdr:rowOff>
    </xdr:from>
    <xdr:to>
      <xdr:col>24</xdr:col>
      <xdr:colOff>83820</xdr:colOff>
      <xdr:row>165</xdr:row>
      <xdr:rowOff>114300</xdr:rowOff>
    </xdr:to>
    <xdr:sp macro="" textlink="">
      <xdr:nvSpPr>
        <xdr:cNvPr id="1171" name="Arrow: Down 1170">
          <a:extLst>
            <a:ext uri="{FF2B5EF4-FFF2-40B4-BE49-F238E27FC236}">
              <a16:creationId xmlns:a16="http://schemas.microsoft.com/office/drawing/2014/main" id="{B066B333-4900-4F59-B6C7-72FFF559D321}"/>
            </a:ext>
          </a:extLst>
        </xdr:cNvPr>
        <xdr:cNvSpPr/>
      </xdr:nvSpPr>
      <xdr:spPr>
        <a:xfrm>
          <a:off x="6934200" y="3009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166</xdr:row>
      <xdr:rowOff>0</xdr:rowOff>
    </xdr:from>
    <xdr:to>
      <xdr:col>71</xdr:col>
      <xdr:colOff>83820</xdr:colOff>
      <xdr:row>166</xdr:row>
      <xdr:rowOff>114300</xdr:rowOff>
    </xdr:to>
    <xdr:sp macro="" textlink="">
      <xdr:nvSpPr>
        <xdr:cNvPr id="1172" name="Arrow: Down 1171">
          <a:extLst>
            <a:ext uri="{FF2B5EF4-FFF2-40B4-BE49-F238E27FC236}">
              <a16:creationId xmlns:a16="http://schemas.microsoft.com/office/drawing/2014/main" id="{125ABA56-21E6-42D5-8058-49DAD59B2652}"/>
            </a:ext>
          </a:extLst>
        </xdr:cNvPr>
        <xdr:cNvSpPr/>
      </xdr:nvSpPr>
      <xdr:spPr>
        <a:xfrm>
          <a:off x="1786128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166</xdr:row>
      <xdr:rowOff>0</xdr:rowOff>
    </xdr:from>
    <xdr:to>
      <xdr:col>45</xdr:col>
      <xdr:colOff>83820</xdr:colOff>
      <xdr:row>166</xdr:row>
      <xdr:rowOff>114300</xdr:rowOff>
    </xdr:to>
    <xdr:sp macro="" textlink="">
      <xdr:nvSpPr>
        <xdr:cNvPr id="1173" name="Arrow: Down 1172">
          <a:extLst>
            <a:ext uri="{FF2B5EF4-FFF2-40B4-BE49-F238E27FC236}">
              <a16:creationId xmlns:a16="http://schemas.microsoft.com/office/drawing/2014/main" id="{8D2BE5C6-8B40-414D-AB85-966BC2269854}"/>
            </a:ext>
          </a:extLst>
        </xdr:cNvPr>
        <xdr:cNvSpPr/>
      </xdr:nvSpPr>
      <xdr:spPr>
        <a:xfrm rot="10800000">
          <a:off x="10782300" y="3027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166</xdr:row>
      <xdr:rowOff>0</xdr:rowOff>
    </xdr:from>
    <xdr:to>
      <xdr:col>5</xdr:col>
      <xdr:colOff>83820</xdr:colOff>
      <xdr:row>166</xdr:row>
      <xdr:rowOff>114300</xdr:rowOff>
    </xdr:to>
    <xdr:sp macro="" textlink="">
      <xdr:nvSpPr>
        <xdr:cNvPr id="1179" name="Arrow: Down 1178">
          <a:extLst>
            <a:ext uri="{FF2B5EF4-FFF2-40B4-BE49-F238E27FC236}">
              <a16:creationId xmlns:a16="http://schemas.microsoft.com/office/drawing/2014/main" id="{38D5B2E0-6763-4801-80A4-7F1304E54A24}"/>
            </a:ext>
          </a:extLst>
        </xdr:cNvPr>
        <xdr:cNvSpPr/>
      </xdr:nvSpPr>
      <xdr:spPr>
        <a:xfrm rot="10800000">
          <a:off x="192786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166</xdr:row>
      <xdr:rowOff>0</xdr:rowOff>
    </xdr:from>
    <xdr:to>
      <xdr:col>11</xdr:col>
      <xdr:colOff>83820</xdr:colOff>
      <xdr:row>166</xdr:row>
      <xdr:rowOff>114300</xdr:rowOff>
    </xdr:to>
    <xdr:sp macro="" textlink="">
      <xdr:nvSpPr>
        <xdr:cNvPr id="1181" name="Arrow: Down 1180">
          <a:extLst>
            <a:ext uri="{FF2B5EF4-FFF2-40B4-BE49-F238E27FC236}">
              <a16:creationId xmlns:a16="http://schemas.microsoft.com/office/drawing/2014/main" id="{171660A7-4D15-4D5A-999F-F5E40C3BE3AC}"/>
            </a:ext>
          </a:extLst>
        </xdr:cNvPr>
        <xdr:cNvSpPr/>
      </xdr:nvSpPr>
      <xdr:spPr>
        <a:xfrm rot="10800000">
          <a:off x="36195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166</xdr:row>
      <xdr:rowOff>0</xdr:rowOff>
    </xdr:from>
    <xdr:to>
      <xdr:col>24</xdr:col>
      <xdr:colOff>83820</xdr:colOff>
      <xdr:row>166</xdr:row>
      <xdr:rowOff>114300</xdr:rowOff>
    </xdr:to>
    <xdr:sp macro="" textlink="">
      <xdr:nvSpPr>
        <xdr:cNvPr id="1183" name="Arrow: Down 1182">
          <a:extLst>
            <a:ext uri="{FF2B5EF4-FFF2-40B4-BE49-F238E27FC236}">
              <a16:creationId xmlns:a16="http://schemas.microsoft.com/office/drawing/2014/main" id="{0E236C20-9BD4-490D-A435-5CF7EE9F29C9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39</xdr:col>
      <xdr:colOff>0</xdr:colOff>
      <xdr:row>161</xdr:row>
      <xdr:rowOff>0</xdr:rowOff>
    </xdr:from>
    <xdr:to>
      <xdr:col>39</xdr:col>
      <xdr:colOff>83820</xdr:colOff>
      <xdr:row>161</xdr:row>
      <xdr:rowOff>114300</xdr:rowOff>
    </xdr:to>
    <xdr:sp macro="" textlink="">
      <xdr:nvSpPr>
        <xdr:cNvPr id="1184" name="Arrow: Down 1183">
          <a:extLst>
            <a:ext uri="{FF2B5EF4-FFF2-40B4-BE49-F238E27FC236}">
              <a16:creationId xmlns:a16="http://schemas.microsoft.com/office/drawing/2014/main" id="{72BCC6FB-5CD0-429C-BF31-210E40712A53}"/>
            </a:ext>
          </a:extLst>
        </xdr:cNvPr>
        <xdr:cNvSpPr/>
      </xdr:nvSpPr>
      <xdr:spPr>
        <a:xfrm rot="10800000">
          <a:off x="8976360" y="29542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166</xdr:row>
      <xdr:rowOff>0</xdr:rowOff>
    </xdr:from>
    <xdr:to>
      <xdr:col>39</xdr:col>
      <xdr:colOff>83820</xdr:colOff>
      <xdr:row>166</xdr:row>
      <xdr:rowOff>114300</xdr:rowOff>
    </xdr:to>
    <xdr:sp macro="" textlink="">
      <xdr:nvSpPr>
        <xdr:cNvPr id="1186" name="Arrow: Down 1185">
          <a:extLst>
            <a:ext uri="{FF2B5EF4-FFF2-40B4-BE49-F238E27FC236}">
              <a16:creationId xmlns:a16="http://schemas.microsoft.com/office/drawing/2014/main" id="{FA5BD723-D643-424F-AB2C-0D4B49C154A7}"/>
            </a:ext>
          </a:extLst>
        </xdr:cNvPr>
        <xdr:cNvSpPr/>
      </xdr:nvSpPr>
      <xdr:spPr>
        <a:xfrm rot="10800000">
          <a:off x="897636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166</xdr:row>
      <xdr:rowOff>0</xdr:rowOff>
    </xdr:from>
    <xdr:to>
      <xdr:col>60</xdr:col>
      <xdr:colOff>83820</xdr:colOff>
      <xdr:row>166</xdr:row>
      <xdr:rowOff>114300</xdr:rowOff>
    </xdr:to>
    <xdr:sp macro="" textlink="">
      <xdr:nvSpPr>
        <xdr:cNvPr id="1188" name="Arrow: Down 1187">
          <a:extLst>
            <a:ext uri="{FF2B5EF4-FFF2-40B4-BE49-F238E27FC236}">
              <a16:creationId xmlns:a16="http://schemas.microsoft.com/office/drawing/2014/main" id="{71674335-8095-4C15-9C59-F2C80095BE2C}"/>
            </a:ext>
          </a:extLst>
        </xdr:cNvPr>
        <xdr:cNvSpPr/>
      </xdr:nvSpPr>
      <xdr:spPr>
        <a:xfrm rot="10800000">
          <a:off x="15544800" y="30457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167</xdr:row>
      <xdr:rowOff>0</xdr:rowOff>
    </xdr:from>
    <xdr:to>
      <xdr:col>71</xdr:col>
      <xdr:colOff>83820</xdr:colOff>
      <xdr:row>167</xdr:row>
      <xdr:rowOff>114300</xdr:rowOff>
    </xdr:to>
    <xdr:sp macro="" textlink="">
      <xdr:nvSpPr>
        <xdr:cNvPr id="1189" name="Arrow: Down 1188">
          <a:extLst>
            <a:ext uri="{FF2B5EF4-FFF2-40B4-BE49-F238E27FC236}">
              <a16:creationId xmlns:a16="http://schemas.microsoft.com/office/drawing/2014/main" id="{8B5A6BF3-DEDD-4905-8ACC-0EA8AE95DF11}"/>
            </a:ext>
          </a:extLst>
        </xdr:cNvPr>
        <xdr:cNvSpPr/>
      </xdr:nvSpPr>
      <xdr:spPr>
        <a:xfrm>
          <a:off x="1786128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167</xdr:row>
      <xdr:rowOff>0</xdr:rowOff>
    </xdr:from>
    <xdr:to>
      <xdr:col>45</xdr:col>
      <xdr:colOff>83820</xdr:colOff>
      <xdr:row>167</xdr:row>
      <xdr:rowOff>114300</xdr:rowOff>
    </xdr:to>
    <xdr:sp macro="" textlink="">
      <xdr:nvSpPr>
        <xdr:cNvPr id="1190" name="Arrow: Down 1189">
          <a:extLst>
            <a:ext uri="{FF2B5EF4-FFF2-40B4-BE49-F238E27FC236}">
              <a16:creationId xmlns:a16="http://schemas.microsoft.com/office/drawing/2014/main" id="{AE5BDFB8-025A-4DAF-B91A-BED165063E20}"/>
            </a:ext>
          </a:extLst>
        </xdr:cNvPr>
        <xdr:cNvSpPr/>
      </xdr:nvSpPr>
      <xdr:spPr>
        <a:xfrm rot="10800000">
          <a:off x="10782300" y="3045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167</xdr:row>
      <xdr:rowOff>0</xdr:rowOff>
    </xdr:from>
    <xdr:to>
      <xdr:col>24</xdr:col>
      <xdr:colOff>83820</xdr:colOff>
      <xdr:row>167</xdr:row>
      <xdr:rowOff>114300</xdr:rowOff>
    </xdr:to>
    <xdr:sp macro="" textlink="">
      <xdr:nvSpPr>
        <xdr:cNvPr id="1193" name="Arrow: Down 1192">
          <a:extLst>
            <a:ext uri="{FF2B5EF4-FFF2-40B4-BE49-F238E27FC236}">
              <a16:creationId xmlns:a16="http://schemas.microsoft.com/office/drawing/2014/main" id="{C6BBBCC2-42E3-4006-A355-E26D78F7845F}"/>
            </a:ext>
          </a:extLst>
        </xdr:cNvPr>
        <xdr:cNvSpPr/>
      </xdr:nvSpPr>
      <xdr:spPr>
        <a:xfrm rot="10800000">
          <a:off x="5814060" y="30457140"/>
          <a:ext cx="83820" cy="114300"/>
        </a:xfrm>
        <a:prstGeom prst="downArrow">
          <a:avLst/>
        </a:prstGeom>
        <a:solidFill>
          <a:srgbClr val="C0000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solidFill>
                <a:srgbClr val="92D050"/>
              </a:solidFill>
            </a:ln>
            <a:solidFill>
              <a:srgbClr val="00B050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60</xdr:col>
      <xdr:colOff>0</xdr:colOff>
      <xdr:row>167</xdr:row>
      <xdr:rowOff>0</xdr:rowOff>
    </xdr:from>
    <xdr:to>
      <xdr:col>60</xdr:col>
      <xdr:colOff>83820</xdr:colOff>
      <xdr:row>167</xdr:row>
      <xdr:rowOff>114300</xdr:rowOff>
    </xdr:to>
    <xdr:sp macro="" textlink="">
      <xdr:nvSpPr>
        <xdr:cNvPr id="1196" name="Arrow: Down 1195">
          <a:extLst>
            <a:ext uri="{FF2B5EF4-FFF2-40B4-BE49-F238E27FC236}">
              <a16:creationId xmlns:a16="http://schemas.microsoft.com/office/drawing/2014/main" id="{11DCB4F4-2198-4A54-8A61-442E7A3ACB56}"/>
            </a:ext>
          </a:extLst>
        </xdr:cNvPr>
        <xdr:cNvSpPr/>
      </xdr:nvSpPr>
      <xdr:spPr>
        <a:xfrm>
          <a:off x="155448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167</xdr:row>
      <xdr:rowOff>0</xdr:rowOff>
    </xdr:from>
    <xdr:to>
      <xdr:col>11</xdr:col>
      <xdr:colOff>83820</xdr:colOff>
      <xdr:row>167</xdr:row>
      <xdr:rowOff>114300</xdr:rowOff>
    </xdr:to>
    <xdr:sp macro="" textlink="">
      <xdr:nvSpPr>
        <xdr:cNvPr id="1197" name="Arrow: Down 1196">
          <a:extLst>
            <a:ext uri="{FF2B5EF4-FFF2-40B4-BE49-F238E27FC236}">
              <a16:creationId xmlns:a16="http://schemas.microsoft.com/office/drawing/2014/main" id="{9758619B-A76E-45D7-8515-BC9A92BB4C62}"/>
            </a:ext>
          </a:extLst>
        </xdr:cNvPr>
        <xdr:cNvSpPr/>
      </xdr:nvSpPr>
      <xdr:spPr>
        <a:xfrm>
          <a:off x="361950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167</xdr:row>
      <xdr:rowOff>0</xdr:rowOff>
    </xdr:from>
    <xdr:to>
      <xdr:col>39</xdr:col>
      <xdr:colOff>83820</xdr:colOff>
      <xdr:row>167</xdr:row>
      <xdr:rowOff>114300</xdr:rowOff>
    </xdr:to>
    <xdr:sp macro="" textlink="">
      <xdr:nvSpPr>
        <xdr:cNvPr id="1198" name="Arrow: Down 1197">
          <a:extLst>
            <a:ext uri="{FF2B5EF4-FFF2-40B4-BE49-F238E27FC236}">
              <a16:creationId xmlns:a16="http://schemas.microsoft.com/office/drawing/2014/main" id="{145611A0-3D63-4142-955D-15B59F0BE7C7}"/>
            </a:ext>
          </a:extLst>
        </xdr:cNvPr>
        <xdr:cNvSpPr/>
      </xdr:nvSpPr>
      <xdr:spPr>
        <a:xfrm>
          <a:off x="9006840" y="30640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83820</xdr:colOff>
      <xdr:row>167</xdr:row>
      <xdr:rowOff>114300</xdr:rowOff>
    </xdr:to>
    <xdr:sp macro="" textlink="">
      <xdr:nvSpPr>
        <xdr:cNvPr id="1199" name="Arrow: Down 1198">
          <a:extLst>
            <a:ext uri="{FF2B5EF4-FFF2-40B4-BE49-F238E27FC236}">
              <a16:creationId xmlns:a16="http://schemas.microsoft.com/office/drawing/2014/main" id="{B5B6355C-A09C-4E7B-86B7-658C990DC919}"/>
            </a:ext>
          </a:extLst>
        </xdr:cNvPr>
        <xdr:cNvSpPr/>
      </xdr:nvSpPr>
      <xdr:spPr>
        <a:xfrm>
          <a:off x="19278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168</xdr:row>
      <xdr:rowOff>0</xdr:rowOff>
    </xdr:from>
    <xdr:to>
      <xdr:col>71</xdr:col>
      <xdr:colOff>83820</xdr:colOff>
      <xdr:row>168</xdr:row>
      <xdr:rowOff>114300</xdr:rowOff>
    </xdr:to>
    <xdr:sp macro="" textlink="">
      <xdr:nvSpPr>
        <xdr:cNvPr id="1207" name="Arrow: Down 1206">
          <a:extLst>
            <a:ext uri="{FF2B5EF4-FFF2-40B4-BE49-F238E27FC236}">
              <a16:creationId xmlns:a16="http://schemas.microsoft.com/office/drawing/2014/main" id="{F05840C9-7350-4F4B-B616-194C45AE168A}"/>
            </a:ext>
          </a:extLst>
        </xdr:cNvPr>
        <xdr:cNvSpPr/>
      </xdr:nvSpPr>
      <xdr:spPr>
        <a:xfrm>
          <a:off x="1788414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168</xdr:row>
      <xdr:rowOff>0</xdr:rowOff>
    </xdr:from>
    <xdr:to>
      <xdr:col>45</xdr:col>
      <xdr:colOff>83820</xdr:colOff>
      <xdr:row>168</xdr:row>
      <xdr:rowOff>114300</xdr:rowOff>
    </xdr:to>
    <xdr:sp macro="" textlink="">
      <xdr:nvSpPr>
        <xdr:cNvPr id="1208" name="Arrow: Down 1207">
          <a:extLst>
            <a:ext uri="{FF2B5EF4-FFF2-40B4-BE49-F238E27FC236}">
              <a16:creationId xmlns:a16="http://schemas.microsoft.com/office/drawing/2014/main" id="{E11CE8C8-FE76-44F1-BF26-1090BE47F92B}"/>
            </a:ext>
          </a:extLst>
        </xdr:cNvPr>
        <xdr:cNvSpPr/>
      </xdr:nvSpPr>
      <xdr:spPr>
        <a:xfrm rot="10800000">
          <a:off x="10805160" y="3064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168</xdr:row>
      <xdr:rowOff>0</xdr:rowOff>
    </xdr:from>
    <xdr:to>
      <xdr:col>24</xdr:col>
      <xdr:colOff>83820</xdr:colOff>
      <xdr:row>168</xdr:row>
      <xdr:rowOff>114300</xdr:rowOff>
    </xdr:to>
    <xdr:sp macro="" textlink="">
      <xdr:nvSpPr>
        <xdr:cNvPr id="1113" name="Arrow: Down 1112">
          <a:extLst>
            <a:ext uri="{FF2B5EF4-FFF2-40B4-BE49-F238E27FC236}">
              <a16:creationId xmlns:a16="http://schemas.microsoft.com/office/drawing/2014/main" id="{A79F99D7-5701-48B4-A812-583D14C32B78}"/>
            </a:ext>
          </a:extLst>
        </xdr:cNvPr>
        <xdr:cNvSpPr/>
      </xdr:nvSpPr>
      <xdr:spPr>
        <a:xfrm>
          <a:off x="58369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168</xdr:row>
      <xdr:rowOff>0</xdr:rowOff>
    </xdr:from>
    <xdr:to>
      <xdr:col>39</xdr:col>
      <xdr:colOff>83820</xdr:colOff>
      <xdr:row>168</xdr:row>
      <xdr:rowOff>114300</xdr:rowOff>
    </xdr:to>
    <xdr:sp macro="" textlink="">
      <xdr:nvSpPr>
        <xdr:cNvPr id="1129" name="Arrow: Down 1128">
          <a:extLst>
            <a:ext uri="{FF2B5EF4-FFF2-40B4-BE49-F238E27FC236}">
              <a16:creationId xmlns:a16="http://schemas.microsoft.com/office/drawing/2014/main" id="{C245B274-74AC-409F-A39A-8168261DA45A}"/>
            </a:ext>
          </a:extLst>
        </xdr:cNvPr>
        <xdr:cNvSpPr/>
      </xdr:nvSpPr>
      <xdr:spPr>
        <a:xfrm rot="10800000">
          <a:off x="89992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168</xdr:row>
      <xdr:rowOff>0</xdr:rowOff>
    </xdr:from>
    <xdr:to>
      <xdr:col>11</xdr:col>
      <xdr:colOff>83820</xdr:colOff>
      <xdr:row>168</xdr:row>
      <xdr:rowOff>114300</xdr:rowOff>
    </xdr:to>
    <xdr:sp macro="" textlink="">
      <xdr:nvSpPr>
        <xdr:cNvPr id="1174" name="Arrow: Down 1173">
          <a:extLst>
            <a:ext uri="{FF2B5EF4-FFF2-40B4-BE49-F238E27FC236}">
              <a16:creationId xmlns:a16="http://schemas.microsoft.com/office/drawing/2014/main" id="{54F4A0C1-C09E-4319-8D04-B54D6345DA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168</xdr:row>
      <xdr:rowOff>0</xdr:rowOff>
    </xdr:from>
    <xdr:to>
      <xdr:col>5</xdr:col>
      <xdr:colOff>83820</xdr:colOff>
      <xdr:row>168</xdr:row>
      <xdr:rowOff>114300</xdr:rowOff>
    </xdr:to>
    <xdr:sp macro="" textlink="">
      <xdr:nvSpPr>
        <xdr:cNvPr id="1175" name="Arrow: Down 1174">
          <a:extLst>
            <a:ext uri="{FF2B5EF4-FFF2-40B4-BE49-F238E27FC236}">
              <a16:creationId xmlns:a16="http://schemas.microsoft.com/office/drawing/2014/main" id="{88287415-97B4-4FF5-8E7F-F6487A182233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169</xdr:row>
      <xdr:rowOff>0</xdr:rowOff>
    </xdr:from>
    <xdr:to>
      <xdr:col>71</xdr:col>
      <xdr:colOff>83820</xdr:colOff>
      <xdr:row>169</xdr:row>
      <xdr:rowOff>114300</xdr:rowOff>
    </xdr:to>
    <xdr:sp macro="" textlink="">
      <xdr:nvSpPr>
        <xdr:cNvPr id="1176" name="Arrow: Down 1175">
          <a:extLst>
            <a:ext uri="{FF2B5EF4-FFF2-40B4-BE49-F238E27FC236}">
              <a16:creationId xmlns:a16="http://schemas.microsoft.com/office/drawing/2014/main" id="{04229778-0C61-43C6-851F-64D37B8D1C3E}"/>
            </a:ext>
          </a:extLst>
        </xdr:cNvPr>
        <xdr:cNvSpPr/>
      </xdr:nvSpPr>
      <xdr:spPr>
        <a:xfrm>
          <a:off x="1849374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169</xdr:row>
      <xdr:rowOff>0</xdr:rowOff>
    </xdr:from>
    <xdr:to>
      <xdr:col>45</xdr:col>
      <xdr:colOff>83820</xdr:colOff>
      <xdr:row>169</xdr:row>
      <xdr:rowOff>114300</xdr:rowOff>
    </xdr:to>
    <xdr:sp macro="" textlink="">
      <xdr:nvSpPr>
        <xdr:cNvPr id="1177" name="Arrow: Down 1176">
          <a:extLst>
            <a:ext uri="{FF2B5EF4-FFF2-40B4-BE49-F238E27FC236}">
              <a16:creationId xmlns:a16="http://schemas.microsoft.com/office/drawing/2014/main" id="{A3A67A64-B35C-4358-A2E0-EB63BF014B3E}"/>
            </a:ext>
          </a:extLst>
        </xdr:cNvPr>
        <xdr:cNvSpPr/>
      </xdr:nvSpPr>
      <xdr:spPr>
        <a:xfrm rot="10800000">
          <a:off x="1141476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169</xdr:row>
      <xdr:rowOff>0</xdr:rowOff>
    </xdr:from>
    <xdr:to>
      <xdr:col>24</xdr:col>
      <xdr:colOff>83820</xdr:colOff>
      <xdr:row>169</xdr:row>
      <xdr:rowOff>114300</xdr:rowOff>
    </xdr:to>
    <xdr:sp macro="" textlink="">
      <xdr:nvSpPr>
        <xdr:cNvPr id="1180" name="Arrow: Down 1179">
          <a:extLst>
            <a:ext uri="{FF2B5EF4-FFF2-40B4-BE49-F238E27FC236}">
              <a16:creationId xmlns:a16="http://schemas.microsoft.com/office/drawing/2014/main" id="{258B44C0-DF9A-4002-AACE-06CC51C2F366}"/>
            </a:ext>
          </a:extLst>
        </xdr:cNvPr>
        <xdr:cNvSpPr/>
      </xdr:nvSpPr>
      <xdr:spPr>
        <a:xfrm>
          <a:off x="6446520" y="3082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169</xdr:row>
      <xdr:rowOff>0</xdr:rowOff>
    </xdr:from>
    <xdr:to>
      <xdr:col>11</xdr:col>
      <xdr:colOff>83820</xdr:colOff>
      <xdr:row>169</xdr:row>
      <xdr:rowOff>114300</xdr:rowOff>
    </xdr:to>
    <xdr:sp macro="" textlink="">
      <xdr:nvSpPr>
        <xdr:cNvPr id="1185" name="Arrow: Down 1184">
          <a:extLst>
            <a:ext uri="{FF2B5EF4-FFF2-40B4-BE49-F238E27FC236}">
              <a16:creationId xmlns:a16="http://schemas.microsoft.com/office/drawing/2014/main" id="{757CA62E-B831-43DD-9722-FC40EEA915BE}"/>
            </a:ext>
          </a:extLst>
        </xdr:cNvPr>
        <xdr:cNvSpPr/>
      </xdr:nvSpPr>
      <xdr:spPr>
        <a:xfrm rot="10800000">
          <a:off x="361950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169</xdr:row>
      <xdr:rowOff>0</xdr:rowOff>
    </xdr:from>
    <xdr:to>
      <xdr:col>5</xdr:col>
      <xdr:colOff>83820</xdr:colOff>
      <xdr:row>169</xdr:row>
      <xdr:rowOff>114300</xdr:rowOff>
    </xdr:to>
    <xdr:sp macro="" textlink="">
      <xdr:nvSpPr>
        <xdr:cNvPr id="1187" name="Arrow: Down 1186">
          <a:extLst>
            <a:ext uri="{FF2B5EF4-FFF2-40B4-BE49-F238E27FC236}">
              <a16:creationId xmlns:a16="http://schemas.microsoft.com/office/drawing/2014/main" id="{317DA41D-9535-49EA-B007-F311578401C9}"/>
            </a:ext>
          </a:extLst>
        </xdr:cNvPr>
        <xdr:cNvSpPr/>
      </xdr:nvSpPr>
      <xdr:spPr>
        <a:xfrm rot="10800000">
          <a:off x="19278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169</xdr:row>
      <xdr:rowOff>0</xdr:rowOff>
    </xdr:from>
    <xdr:to>
      <xdr:col>39</xdr:col>
      <xdr:colOff>83820</xdr:colOff>
      <xdr:row>169</xdr:row>
      <xdr:rowOff>114300</xdr:rowOff>
    </xdr:to>
    <xdr:sp macro="" textlink="">
      <xdr:nvSpPr>
        <xdr:cNvPr id="1194" name="Arrow: Down 1193">
          <a:extLst>
            <a:ext uri="{FF2B5EF4-FFF2-40B4-BE49-F238E27FC236}">
              <a16:creationId xmlns:a16="http://schemas.microsoft.com/office/drawing/2014/main" id="{18BD2910-7DC7-4883-93B5-A2788FCA534B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169</xdr:row>
      <xdr:rowOff>0</xdr:rowOff>
    </xdr:from>
    <xdr:to>
      <xdr:col>60</xdr:col>
      <xdr:colOff>83820</xdr:colOff>
      <xdr:row>169</xdr:row>
      <xdr:rowOff>114300</xdr:rowOff>
    </xdr:to>
    <xdr:sp macro="" textlink="">
      <xdr:nvSpPr>
        <xdr:cNvPr id="1201" name="Arrow: Down 1200">
          <a:extLst>
            <a:ext uri="{FF2B5EF4-FFF2-40B4-BE49-F238E27FC236}">
              <a16:creationId xmlns:a16="http://schemas.microsoft.com/office/drawing/2014/main" id="{658B009E-D383-446E-976D-4634B64E11EC}"/>
            </a:ext>
          </a:extLst>
        </xdr:cNvPr>
        <xdr:cNvSpPr/>
      </xdr:nvSpPr>
      <xdr:spPr>
        <a:xfrm>
          <a:off x="161772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168</xdr:row>
      <xdr:rowOff>0</xdr:rowOff>
    </xdr:from>
    <xdr:to>
      <xdr:col>60</xdr:col>
      <xdr:colOff>83820</xdr:colOff>
      <xdr:row>168</xdr:row>
      <xdr:rowOff>114300</xdr:rowOff>
    </xdr:to>
    <xdr:sp macro="" textlink="">
      <xdr:nvSpPr>
        <xdr:cNvPr id="1203" name="Arrow: Down 1202">
          <a:extLst>
            <a:ext uri="{FF2B5EF4-FFF2-40B4-BE49-F238E27FC236}">
              <a16:creationId xmlns:a16="http://schemas.microsoft.com/office/drawing/2014/main" id="{54BC4051-1BDB-485C-982C-613572FDBDE7}"/>
            </a:ext>
          </a:extLst>
        </xdr:cNvPr>
        <xdr:cNvSpPr/>
      </xdr:nvSpPr>
      <xdr:spPr>
        <a:xfrm rot="10800000">
          <a:off x="16177260" y="3082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170</xdr:row>
      <xdr:rowOff>0</xdr:rowOff>
    </xdr:from>
    <xdr:to>
      <xdr:col>71</xdr:col>
      <xdr:colOff>83820</xdr:colOff>
      <xdr:row>170</xdr:row>
      <xdr:rowOff>114300</xdr:rowOff>
    </xdr:to>
    <xdr:sp macro="" textlink="">
      <xdr:nvSpPr>
        <xdr:cNvPr id="1204" name="Arrow: Down 1203">
          <a:extLst>
            <a:ext uri="{FF2B5EF4-FFF2-40B4-BE49-F238E27FC236}">
              <a16:creationId xmlns:a16="http://schemas.microsoft.com/office/drawing/2014/main" id="{9A501C3B-99D7-4387-95EC-9BAD75294ED3}"/>
            </a:ext>
          </a:extLst>
        </xdr:cNvPr>
        <xdr:cNvSpPr/>
      </xdr:nvSpPr>
      <xdr:spPr>
        <a:xfrm>
          <a:off x="1849374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170</xdr:row>
      <xdr:rowOff>0</xdr:rowOff>
    </xdr:from>
    <xdr:to>
      <xdr:col>45</xdr:col>
      <xdr:colOff>83820</xdr:colOff>
      <xdr:row>170</xdr:row>
      <xdr:rowOff>114300</xdr:rowOff>
    </xdr:to>
    <xdr:sp macro="" textlink="">
      <xdr:nvSpPr>
        <xdr:cNvPr id="1205" name="Arrow: Down 1204">
          <a:extLst>
            <a:ext uri="{FF2B5EF4-FFF2-40B4-BE49-F238E27FC236}">
              <a16:creationId xmlns:a16="http://schemas.microsoft.com/office/drawing/2014/main" id="{9A6B7F34-CB72-4C59-A852-471C06106297}"/>
            </a:ext>
          </a:extLst>
        </xdr:cNvPr>
        <xdr:cNvSpPr/>
      </xdr:nvSpPr>
      <xdr:spPr>
        <a:xfrm rot="10800000">
          <a:off x="1141476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170</xdr:row>
      <xdr:rowOff>0</xdr:rowOff>
    </xdr:from>
    <xdr:to>
      <xdr:col>24</xdr:col>
      <xdr:colOff>83820</xdr:colOff>
      <xdr:row>170</xdr:row>
      <xdr:rowOff>114300</xdr:rowOff>
    </xdr:to>
    <xdr:sp macro="" textlink="">
      <xdr:nvSpPr>
        <xdr:cNvPr id="1206" name="Arrow: Down 1205">
          <a:extLst>
            <a:ext uri="{FF2B5EF4-FFF2-40B4-BE49-F238E27FC236}">
              <a16:creationId xmlns:a16="http://schemas.microsoft.com/office/drawing/2014/main" id="{03C085B4-37F2-4F52-B3BD-8C5D4D3641CC}"/>
            </a:ext>
          </a:extLst>
        </xdr:cNvPr>
        <xdr:cNvSpPr/>
      </xdr:nvSpPr>
      <xdr:spPr>
        <a:xfrm>
          <a:off x="6446520" y="3100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170</xdr:row>
      <xdr:rowOff>0</xdr:rowOff>
    </xdr:from>
    <xdr:to>
      <xdr:col>11</xdr:col>
      <xdr:colOff>83820</xdr:colOff>
      <xdr:row>170</xdr:row>
      <xdr:rowOff>114300</xdr:rowOff>
    </xdr:to>
    <xdr:sp macro="" textlink="">
      <xdr:nvSpPr>
        <xdr:cNvPr id="1214" name="Arrow: Down 1213">
          <a:extLst>
            <a:ext uri="{FF2B5EF4-FFF2-40B4-BE49-F238E27FC236}">
              <a16:creationId xmlns:a16="http://schemas.microsoft.com/office/drawing/2014/main" id="{54A6D369-D02F-47A3-80B7-A48DE59836E4}"/>
            </a:ext>
          </a:extLst>
        </xdr:cNvPr>
        <xdr:cNvSpPr/>
      </xdr:nvSpPr>
      <xdr:spPr>
        <a:xfrm rot="10800000">
          <a:off x="361950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170</xdr:row>
      <xdr:rowOff>0</xdr:rowOff>
    </xdr:from>
    <xdr:to>
      <xdr:col>5</xdr:col>
      <xdr:colOff>83820</xdr:colOff>
      <xdr:row>170</xdr:row>
      <xdr:rowOff>114300</xdr:rowOff>
    </xdr:to>
    <xdr:sp macro="" textlink="">
      <xdr:nvSpPr>
        <xdr:cNvPr id="1215" name="Arrow: Down 1214">
          <a:extLst>
            <a:ext uri="{FF2B5EF4-FFF2-40B4-BE49-F238E27FC236}">
              <a16:creationId xmlns:a16="http://schemas.microsoft.com/office/drawing/2014/main" id="{AE41E2DB-6A6C-4C80-B9A8-BEFB1CD9AA4A}"/>
            </a:ext>
          </a:extLst>
        </xdr:cNvPr>
        <xdr:cNvSpPr/>
      </xdr:nvSpPr>
      <xdr:spPr>
        <a:xfrm rot="10800000">
          <a:off x="192786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170</xdr:row>
      <xdr:rowOff>0</xdr:rowOff>
    </xdr:from>
    <xdr:to>
      <xdr:col>39</xdr:col>
      <xdr:colOff>83820</xdr:colOff>
      <xdr:row>170</xdr:row>
      <xdr:rowOff>114300</xdr:rowOff>
    </xdr:to>
    <xdr:sp macro="" textlink="">
      <xdr:nvSpPr>
        <xdr:cNvPr id="1216" name="Arrow: Down 1215">
          <a:extLst>
            <a:ext uri="{FF2B5EF4-FFF2-40B4-BE49-F238E27FC236}">
              <a16:creationId xmlns:a16="http://schemas.microsoft.com/office/drawing/2014/main" id="{FF3E1A33-A8D9-4660-9C92-BB678ACA6BE5}"/>
            </a:ext>
          </a:extLst>
        </xdr:cNvPr>
        <xdr:cNvSpPr/>
      </xdr:nvSpPr>
      <xdr:spPr>
        <a:xfrm>
          <a:off x="9608820" y="3100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170</xdr:row>
      <xdr:rowOff>0</xdr:rowOff>
    </xdr:from>
    <xdr:to>
      <xdr:col>60</xdr:col>
      <xdr:colOff>83820</xdr:colOff>
      <xdr:row>170</xdr:row>
      <xdr:rowOff>114300</xdr:rowOff>
    </xdr:to>
    <xdr:sp macro="" textlink="">
      <xdr:nvSpPr>
        <xdr:cNvPr id="1218" name="Arrow: Down 1217">
          <a:extLst>
            <a:ext uri="{FF2B5EF4-FFF2-40B4-BE49-F238E27FC236}">
              <a16:creationId xmlns:a16="http://schemas.microsoft.com/office/drawing/2014/main" id="{B3DE5F06-6C63-476B-B49D-55E6DD861526}"/>
            </a:ext>
          </a:extLst>
        </xdr:cNvPr>
        <xdr:cNvSpPr/>
      </xdr:nvSpPr>
      <xdr:spPr>
        <a:xfrm rot="10800000">
          <a:off x="16177260" y="3118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171</xdr:row>
      <xdr:rowOff>0</xdr:rowOff>
    </xdr:from>
    <xdr:to>
      <xdr:col>71</xdr:col>
      <xdr:colOff>83820</xdr:colOff>
      <xdr:row>171</xdr:row>
      <xdr:rowOff>114300</xdr:rowOff>
    </xdr:to>
    <xdr:sp macro="" textlink="">
      <xdr:nvSpPr>
        <xdr:cNvPr id="1219" name="Arrow: Down 1218">
          <a:extLst>
            <a:ext uri="{FF2B5EF4-FFF2-40B4-BE49-F238E27FC236}">
              <a16:creationId xmlns:a16="http://schemas.microsoft.com/office/drawing/2014/main" id="{91AB96E3-0714-4B62-9C68-06CE1D1B1C53}"/>
            </a:ext>
          </a:extLst>
        </xdr:cNvPr>
        <xdr:cNvSpPr/>
      </xdr:nvSpPr>
      <xdr:spPr>
        <a:xfrm>
          <a:off x="1849374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171</xdr:row>
      <xdr:rowOff>0</xdr:rowOff>
    </xdr:from>
    <xdr:to>
      <xdr:col>45</xdr:col>
      <xdr:colOff>83820</xdr:colOff>
      <xdr:row>171</xdr:row>
      <xdr:rowOff>114300</xdr:rowOff>
    </xdr:to>
    <xdr:sp macro="" textlink="">
      <xdr:nvSpPr>
        <xdr:cNvPr id="1220" name="Arrow: Down 1219">
          <a:extLst>
            <a:ext uri="{FF2B5EF4-FFF2-40B4-BE49-F238E27FC236}">
              <a16:creationId xmlns:a16="http://schemas.microsoft.com/office/drawing/2014/main" id="{E3E2F63C-0888-4918-A39B-2D93E7833CB7}"/>
            </a:ext>
          </a:extLst>
        </xdr:cNvPr>
        <xdr:cNvSpPr/>
      </xdr:nvSpPr>
      <xdr:spPr>
        <a:xfrm rot="10800000">
          <a:off x="1141476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171</xdr:row>
      <xdr:rowOff>0</xdr:rowOff>
    </xdr:from>
    <xdr:to>
      <xdr:col>24</xdr:col>
      <xdr:colOff>83820</xdr:colOff>
      <xdr:row>171</xdr:row>
      <xdr:rowOff>114300</xdr:rowOff>
    </xdr:to>
    <xdr:sp macro="" textlink="">
      <xdr:nvSpPr>
        <xdr:cNvPr id="1221" name="Arrow: Down 1220">
          <a:extLst>
            <a:ext uri="{FF2B5EF4-FFF2-40B4-BE49-F238E27FC236}">
              <a16:creationId xmlns:a16="http://schemas.microsoft.com/office/drawing/2014/main" id="{438B9432-06A9-4345-A060-0107A106A21A}"/>
            </a:ext>
          </a:extLst>
        </xdr:cNvPr>
        <xdr:cNvSpPr/>
      </xdr:nvSpPr>
      <xdr:spPr>
        <a:xfrm>
          <a:off x="6446520" y="3118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171</xdr:row>
      <xdr:rowOff>0</xdr:rowOff>
    </xdr:from>
    <xdr:to>
      <xdr:col>5</xdr:col>
      <xdr:colOff>83820</xdr:colOff>
      <xdr:row>171</xdr:row>
      <xdr:rowOff>114300</xdr:rowOff>
    </xdr:to>
    <xdr:sp macro="" textlink="">
      <xdr:nvSpPr>
        <xdr:cNvPr id="1227" name="Arrow: Down 1226">
          <a:extLst>
            <a:ext uri="{FF2B5EF4-FFF2-40B4-BE49-F238E27FC236}">
              <a16:creationId xmlns:a16="http://schemas.microsoft.com/office/drawing/2014/main" id="{3479F9CF-852F-4FC9-8C98-7474285BE513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171</xdr:row>
      <xdr:rowOff>0</xdr:rowOff>
    </xdr:from>
    <xdr:to>
      <xdr:col>11</xdr:col>
      <xdr:colOff>83820</xdr:colOff>
      <xdr:row>171</xdr:row>
      <xdr:rowOff>114300</xdr:rowOff>
    </xdr:to>
    <xdr:sp macro="" textlink="">
      <xdr:nvSpPr>
        <xdr:cNvPr id="1229" name="Arrow: Down 1228">
          <a:extLst>
            <a:ext uri="{FF2B5EF4-FFF2-40B4-BE49-F238E27FC236}">
              <a16:creationId xmlns:a16="http://schemas.microsoft.com/office/drawing/2014/main" id="{AEC12D64-7BBD-4F54-9288-ACF1EAA3EBA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171</xdr:row>
      <xdr:rowOff>0</xdr:rowOff>
    </xdr:from>
    <xdr:to>
      <xdr:col>60</xdr:col>
      <xdr:colOff>83820</xdr:colOff>
      <xdr:row>171</xdr:row>
      <xdr:rowOff>114300</xdr:rowOff>
    </xdr:to>
    <xdr:sp macro="" textlink="">
      <xdr:nvSpPr>
        <xdr:cNvPr id="1231" name="Arrow: Down 1230">
          <a:extLst>
            <a:ext uri="{FF2B5EF4-FFF2-40B4-BE49-F238E27FC236}">
              <a16:creationId xmlns:a16="http://schemas.microsoft.com/office/drawing/2014/main" id="{7E7A6FB0-5219-4743-B52E-B11F9F580E3E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171</xdr:row>
      <xdr:rowOff>0</xdr:rowOff>
    </xdr:from>
    <xdr:to>
      <xdr:col>39</xdr:col>
      <xdr:colOff>83820</xdr:colOff>
      <xdr:row>171</xdr:row>
      <xdr:rowOff>114300</xdr:rowOff>
    </xdr:to>
    <xdr:sp macro="" textlink="">
      <xdr:nvSpPr>
        <xdr:cNvPr id="1232" name="Arrow: Down 1231">
          <a:extLst>
            <a:ext uri="{FF2B5EF4-FFF2-40B4-BE49-F238E27FC236}">
              <a16:creationId xmlns:a16="http://schemas.microsoft.com/office/drawing/2014/main" id="{19E449A9-0499-41FC-A9E0-4D45A5A3C819}"/>
            </a:ext>
          </a:extLst>
        </xdr:cNvPr>
        <xdr:cNvSpPr/>
      </xdr:nvSpPr>
      <xdr:spPr>
        <a:xfrm rot="10800000">
          <a:off x="96316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172</xdr:row>
      <xdr:rowOff>0</xdr:rowOff>
    </xdr:from>
    <xdr:to>
      <xdr:col>71</xdr:col>
      <xdr:colOff>83820</xdr:colOff>
      <xdr:row>172</xdr:row>
      <xdr:rowOff>114300</xdr:rowOff>
    </xdr:to>
    <xdr:sp macro="" textlink="">
      <xdr:nvSpPr>
        <xdr:cNvPr id="1233" name="Arrow: Down 1232">
          <a:extLst>
            <a:ext uri="{FF2B5EF4-FFF2-40B4-BE49-F238E27FC236}">
              <a16:creationId xmlns:a16="http://schemas.microsoft.com/office/drawing/2014/main" id="{179F4C67-D1AE-44DE-A31F-637264706A35}"/>
            </a:ext>
          </a:extLst>
        </xdr:cNvPr>
        <xdr:cNvSpPr/>
      </xdr:nvSpPr>
      <xdr:spPr>
        <a:xfrm>
          <a:off x="20185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172</xdr:row>
      <xdr:rowOff>0</xdr:rowOff>
    </xdr:from>
    <xdr:to>
      <xdr:col>24</xdr:col>
      <xdr:colOff>83820</xdr:colOff>
      <xdr:row>172</xdr:row>
      <xdr:rowOff>114300</xdr:rowOff>
    </xdr:to>
    <xdr:sp macro="" textlink="">
      <xdr:nvSpPr>
        <xdr:cNvPr id="1235" name="Arrow: Down 1234">
          <a:extLst>
            <a:ext uri="{FF2B5EF4-FFF2-40B4-BE49-F238E27FC236}">
              <a16:creationId xmlns:a16="http://schemas.microsoft.com/office/drawing/2014/main" id="{CFA28A94-7B73-41DC-B321-E35A0887325D}"/>
            </a:ext>
          </a:extLst>
        </xdr:cNvPr>
        <xdr:cNvSpPr/>
      </xdr:nvSpPr>
      <xdr:spPr>
        <a:xfrm>
          <a:off x="646938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172</xdr:row>
      <xdr:rowOff>0</xdr:rowOff>
    </xdr:from>
    <xdr:to>
      <xdr:col>5</xdr:col>
      <xdr:colOff>83820</xdr:colOff>
      <xdr:row>172</xdr:row>
      <xdr:rowOff>114300</xdr:rowOff>
    </xdr:to>
    <xdr:sp macro="" textlink="">
      <xdr:nvSpPr>
        <xdr:cNvPr id="1236" name="Arrow: Down 1235">
          <a:extLst>
            <a:ext uri="{FF2B5EF4-FFF2-40B4-BE49-F238E27FC236}">
              <a16:creationId xmlns:a16="http://schemas.microsoft.com/office/drawing/2014/main" id="{60EFABB4-18CC-4A55-B470-7F0CE052CE4C}"/>
            </a:ext>
          </a:extLst>
        </xdr:cNvPr>
        <xdr:cNvSpPr/>
      </xdr:nvSpPr>
      <xdr:spPr>
        <a:xfrm>
          <a:off x="192786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172</xdr:row>
      <xdr:rowOff>0</xdr:rowOff>
    </xdr:from>
    <xdr:to>
      <xdr:col>11</xdr:col>
      <xdr:colOff>83820</xdr:colOff>
      <xdr:row>172</xdr:row>
      <xdr:rowOff>114300</xdr:rowOff>
    </xdr:to>
    <xdr:sp macro="" textlink="">
      <xdr:nvSpPr>
        <xdr:cNvPr id="1237" name="Arrow: Down 1236">
          <a:extLst>
            <a:ext uri="{FF2B5EF4-FFF2-40B4-BE49-F238E27FC236}">
              <a16:creationId xmlns:a16="http://schemas.microsoft.com/office/drawing/2014/main" id="{4A571F86-ADBA-447B-85A2-8A113BE37C60}"/>
            </a:ext>
          </a:extLst>
        </xdr:cNvPr>
        <xdr:cNvSpPr/>
      </xdr:nvSpPr>
      <xdr:spPr>
        <a:xfrm>
          <a:off x="361950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172</xdr:row>
      <xdr:rowOff>0</xdr:rowOff>
    </xdr:from>
    <xdr:to>
      <xdr:col>60</xdr:col>
      <xdr:colOff>83820</xdr:colOff>
      <xdr:row>172</xdr:row>
      <xdr:rowOff>114300</xdr:rowOff>
    </xdr:to>
    <xdr:sp macro="" textlink="">
      <xdr:nvSpPr>
        <xdr:cNvPr id="1238" name="Arrow: Down 1237">
          <a:extLst>
            <a:ext uri="{FF2B5EF4-FFF2-40B4-BE49-F238E27FC236}">
              <a16:creationId xmlns:a16="http://schemas.microsoft.com/office/drawing/2014/main" id="{903C114B-5F8A-406B-B7DB-79A99A9895B5}"/>
            </a:ext>
          </a:extLst>
        </xdr:cNvPr>
        <xdr:cNvSpPr/>
      </xdr:nvSpPr>
      <xdr:spPr>
        <a:xfrm>
          <a:off x="16200120" y="3137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172</xdr:row>
      <xdr:rowOff>0</xdr:rowOff>
    </xdr:from>
    <xdr:to>
      <xdr:col>39</xdr:col>
      <xdr:colOff>83820</xdr:colOff>
      <xdr:row>172</xdr:row>
      <xdr:rowOff>114300</xdr:rowOff>
    </xdr:to>
    <xdr:sp macro="" textlink="">
      <xdr:nvSpPr>
        <xdr:cNvPr id="1242" name="Arrow: Down 1241">
          <a:extLst>
            <a:ext uri="{FF2B5EF4-FFF2-40B4-BE49-F238E27FC236}">
              <a16:creationId xmlns:a16="http://schemas.microsoft.com/office/drawing/2014/main" id="{B41B6D56-6093-4973-B6D6-EAA2B12DB33E}"/>
            </a:ext>
          </a:extLst>
        </xdr:cNvPr>
        <xdr:cNvSpPr/>
      </xdr:nvSpPr>
      <xdr:spPr>
        <a:xfrm>
          <a:off x="963168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172</xdr:row>
      <xdr:rowOff>0</xdr:rowOff>
    </xdr:from>
    <xdr:to>
      <xdr:col>45</xdr:col>
      <xdr:colOff>83820</xdr:colOff>
      <xdr:row>172</xdr:row>
      <xdr:rowOff>114300</xdr:rowOff>
    </xdr:to>
    <xdr:sp macro="" textlink="">
      <xdr:nvSpPr>
        <xdr:cNvPr id="1243" name="Arrow: Down 1242">
          <a:extLst>
            <a:ext uri="{FF2B5EF4-FFF2-40B4-BE49-F238E27FC236}">
              <a16:creationId xmlns:a16="http://schemas.microsoft.com/office/drawing/2014/main" id="{745DFAE3-C781-42EB-A433-42D0EAE34D02}"/>
            </a:ext>
          </a:extLst>
        </xdr:cNvPr>
        <xdr:cNvSpPr/>
      </xdr:nvSpPr>
      <xdr:spPr>
        <a:xfrm>
          <a:off x="11437620" y="31554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173</xdr:row>
      <xdr:rowOff>0</xdr:rowOff>
    </xdr:from>
    <xdr:to>
      <xdr:col>71</xdr:col>
      <xdr:colOff>83820</xdr:colOff>
      <xdr:row>173</xdr:row>
      <xdr:rowOff>114300</xdr:rowOff>
    </xdr:to>
    <xdr:sp macro="" textlink="">
      <xdr:nvSpPr>
        <xdr:cNvPr id="1244" name="Arrow: Down 1243">
          <a:extLst>
            <a:ext uri="{FF2B5EF4-FFF2-40B4-BE49-F238E27FC236}">
              <a16:creationId xmlns:a16="http://schemas.microsoft.com/office/drawing/2014/main" id="{79C2634B-EC26-4B91-84E8-696F121EE051}"/>
            </a:ext>
          </a:extLst>
        </xdr:cNvPr>
        <xdr:cNvSpPr/>
      </xdr:nvSpPr>
      <xdr:spPr>
        <a:xfrm>
          <a:off x="17960340" y="3155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173</xdr:row>
      <xdr:rowOff>0</xdr:rowOff>
    </xdr:from>
    <xdr:to>
      <xdr:col>45</xdr:col>
      <xdr:colOff>83820</xdr:colOff>
      <xdr:row>173</xdr:row>
      <xdr:rowOff>114300</xdr:rowOff>
    </xdr:to>
    <xdr:sp macro="" textlink="">
      <xdr:nvSpPr>
        <xdr:cNvPr id="1252" name="Arrow: Down 1251">
          <a:extLst>
            <a:ext uri="{FF2B5EF4-FFF2-40B4-BE49-F238E27FC236}">
              <a16:creationId xmlns:a16="http://schemas.microsoft.com/office/drawing/2014/main" id="{D3CEE987-C075-4060-9923-19B281729701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173</xdr:row>
      <xdr:rowOff>0</xdr:rowOff>
    </xdr:from>
    <xdr:to>
      <xdr:col>39</xdr:col>
      <xdr:colOff>83820</xdr:colOff>
      <xdr:row>173</xdr:row>
      <xdr:rowOff>114300</xdr:rowOff>
    </xdr:to>
    <xdr:sp macro="" textlink="">
      <xdr:nvSpPr>
        <xdr:cNvPr id="1254" name="Arrow: Down 1253">
          <a:extLst>
            <a:ext uri="{FF2B5EF4-FFF2-40B4-BE49-F238E27FC236}">
              <a16:creationId xmlns:a16="http://schemas.microsoft.com/office/drawing/2014/main" id="{129931A5-F68C-447E-BB00-90312D031D4A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173</xdr:row>
      <xdr:rowOff>0</xdr:rowOff>
    </xdr:from>
    <xdr:to>
      <xdr:col>11</xdr:col>
      <xdr:colOff>83820</xdr:colOff>
      <xdr:row>173</xdr:row>
      <xdr:rowOff>114300</xdr:rowOff>
    </xdr:to>
    <xdr:sp macro="" textlink="">
      <xdr:nvSpPr>
        <xdr:cNvPr id="1256" name="Arrow: Down 1255">
          <a:extLst>
            <a:ext uri="{FF2B5EF4-FFF2-40B4-BE49-F238E27FC236}">
              <a16:creationId xmlns:a16="http://schemas.microsoft.com/office/drawing/2014/main" id="{9986C4CD-5848-4568-8CFE-AC45F5EA951A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173</xdr:row>
      <xdr:rowOff>0</xdr:rowOff>
    </xdr:from>
    <xdr:to>
      <xdr:col>24</xdr:col>
      <xdr:colOff>83820</xdr:colOff>
      <xdr:row>173</xdr:row>
      <xdr:rowOff>114300</xdr:rowOff>
    </xdr:to>
    <xdr:sp macro="" textlink="">
      <xdr:nvSpPr>
        <xdr:cNvPr id="1257" name="Arrow: Down 1256">
          <a:extLst>
            <a:ext uri="{FF2B5EF4-FFF2-40B4-BE49-F238E27FC236}">
              <a16:creationId xmlns:a16="http://schemas.microsoft.com/office/drawing/2014/main" id="{A068FFC5-10C9-4EA8-9C26-C658BB70C709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173</xdr:row>
      <xdr:rowOff>0</xdr:rowOff>
    </xdr:from>
    <xdr:to>
      <xdr:col>5</xdr:col>
      <xdr:colOff>83820</xdr:colOff>
      <xdr:row>173</xdr:row>
      <xdr:rowOff>114300</xdr:rowOff>
    </xdr:to>
    <xdr:sp macro="" textlink="">
      <xdr:nvSpPr>
        <xdr:cNvPr id="1259" name="Arrow: Down 1258">
          <a:extLst>
            <a:ext uri="{FF2B5EF4-FFF2-40B4-BE49-F238E27FC236}">
              <a16:creationId xmlns:a16="http://schemas.microsoft.com/office/drawing/2014/main" id="{6B1661B0-7ACA-4985-BE54-290472C57437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173</xdr:row>
      <xdr:rowOff>0</xdr:rowOff>
    </xdr:from>
    <xdr:to>
      <xdr:col>60</xdr:col>
      <xdr:colOff>83820</xdr:colOff>
      <xdr:row>173</xdr:row>
      <xdr:rowOff>114300</xdr:rowOff>
    </xdr:to>
    <xdr:sp macro="" textlink="">
      <xdr:nvSpPr>
        <xdr:cNvPr id="1261" name="Arrow: Down 1260">
          <a:extLst>
            <a:ext uri="{FF2B5EF4-FFF2-40B4-BE49-F238E27FC236}">
              <a16:creationId xmlns:a16="http://schemas.microsoft.com/office/drawing/2014/main" id="{57D9F07F-9044-45DB-A7B4-73300BCAECB8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174</xdr:row>
      <xdr:rowOff>0</xdr:rowOff>
    </xdr:from>
    <xdr:to>
      <xdr:col>71</xdr:col>
      <xdr:colOff>83820</xdr:colOff>
      <xdr:row>174</xdr:row>
      <xdr:rowOff>114300</xdr:rowOff>
    </xdr:to>
    <xdr:sp macro="" textlink="">
      <xdr:nvSpPr>
        <xdr:cNvPr id="1269" name="Arrow: Down 1268">
          <a:extLst>
            <a:ext uri="{FF2B5EF4-FFF2-40B4-BE49-F238E27FC236}">
              <a16:creationId xmlns:a16="http://schemas.microsoft.com/office/drawing/2014/main" id="{96DEA6FE-7104-4230-9815-3CAC1AD1C8C0}"/>
            </a:ext>
          </a:extLst>
        </xdr:cNvPr>
        <xdr:cNvSpPr/>
      </xdr:nvSpPr>
      <xdr:spPr>
        <a:xfrm>
          <a:off x="1796034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174</xdr:row>
      <xdr:rowOff>0</xdr:rowOff>
    </xdr:from>
    <xdr:to>
      <xdr:col>45</xdr:col>
      <xdr:colOff>83820</xdr:colOff>
      <xdr:row>174</xdr:row>
      <xdr:rowOff>114300</xdr:rowOff>
    </xdr:to>
    <xdr:sp macro="" textlink="">
      <xdr:nvSpPr>
        <xdr:cNvPr id="1270" name="Arrow: Down 1269">
          <a:extLst>
            <a:ext uri="{FF2B5EF4-FFF2-40B4-BE49-F238E27FC236}">
              <a16:creationId xmlns:a16="http://schemas.microsoft.com/office/drawing/2014/main" id="{5DEC72C7-A7DA-462C-B580-598151639655}"/>
            </a:ext>
          </a:extLst>
        </xdr:cNvPr>
        <xdr:cNvSpPr/>
      </xdr:nvSpPr>
      <xdr:spPr>
        <a:xfrm rot="10800000">
          <a:off x="1088136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174</xdr:row>
      <xdr:rowOff>0</xdr:rowOff>
    </xdr:from>
    <xdr:to>
      <xdr:col>39</xdr:col>
      <xdr:colOff>83820</xdr:colOff>
      <xdr:row>174</xdr:row>
      <xdr:rowOff>114300</xdr:rowOff>
    </xdr:to>
    <xdr:sp macro="" textlink="">
      <xdr:nvSpPr>
        <xdr:cNvPr id="1271" name="Arrow: Down 1270">
          <a:extLst>
            <a:ext uri="{FF2B5EF4-FFF2-40B4-BE49-F238E27FC236}">
              <a16:creationId xmlns:a16="http://schemas.microsoft.com/office/drawing/2014/main" id="{23D4FF8E-AB77-41EA-9D2D-261A4F473EBF}"/>
            </a:ext>
          </a:extLst>
        </xdr:cNvPr>
        <xdr:cNvSpPr/>
      </xdr:nvSpPr>
      <xdr:spPr>
        <a:xfrm rot="10800000">
          <a:off x="9075420" y="3173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174</xdr:row>
      <xdr:rowOff>0</xdr:rowOff>
    </xdr:from>
    <xdr:to>
      <xdr:col>11</xdr:col>
      <xdr:colOff>83820</xdr:colOff>
      <xdr:row>174</xdr:row>
      <xdr:rowOff>114300</xdr:rowOff>
    </xdr:to>
    <xdr:sp macro="" textlink="">
      <xdr:nvSpPr>
        <xdr:cNvPr id="1272" name="Arrow: Down 1271">
          <a:extLst>
            <a:ext uri="{FF2B5EF4-FFF2-40B4-BE49-F238E27FC236}">
              <a16:creationId xmlns:a16="http://schemas.microsoft.com/office/drawing/2014/main" id="{F2A85568-8B70-4598-887B-B81AB18A9648}"/>
            </a:ext>
          </a:extLst>
        </xdr:cNvPr>
        <xdr:cNvSpPr/>
      </xdr:nvSpPr>
      <xdr:spPr>
        <a:xfrm rot="10800000">
          <a:off x="361950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174</xdr:row>
      <xdr:rowOff>0</xdr:rowOff>
    </xdr:from>
    <xdr:to>
      <xdr:col>24</xdr:col>
      <xdr:colOff>83820</xdr:colOff>
      <xdr:row>174</xdr:row>
      <xdr:rowOff>114300</xdr:rowOff>
    </xdr:to>
    <xdr:sp macro="" textlink="">
      <xdr:nvSpPr>
        <xdr:cNvPr id="1273" name="Arrow: Down 1272">
          <a:extLst>
            <a:ext uri="{FF2B5EF4-FFF2-40B4-BE49-F238E27FC236}">
              <a16:creationId xmlns:a16="http://schemas.microsoft.com/office/drawing/2014/main" id="{1B588769-9ED2-4B09-A6F5-1E5E2C2C1A24}"/>
            </a:ext>
          </a:extLst>
        </xdr:cNvPr>
        <xdr:cNvSpPr/>
      </xdr:nvSpPr>
      <xdr:spPr>
        <a:xfrm rot="10800000">
          <a:off x="591312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174</xdr:row>
      <xdr:rowOff>0</xdr:rowOff>
    </xdr:from>
    <xdr:to>
      <xdr:col>5</xdr:col>
      <xdr:colOff>83820</xdr:colOff>
      <xdr:row>174</xdr:row>
      <xdr:rowOff>114300</xdr:rowOff>
    </xdr:to>
    <xdr:sp macro="" textlink="">
      <xdr:nvSpPr>
        <xdr:cNvPr id="1274" name="Arrow: Down 1273">
          <a:extLst>
            <a:ext uri="{FF2B5EF4-FFF2-40B4-BE49-F238E27FC236}">
              <a16:creationId xmlns:a16="http://schemas.microsoft.com/office/drawing/2014/main" id="{4E7B8F9E-767F-46A8-9FFC-4ECDDDFB0502}"/>
            </a:ext>
          </a:extLst>
        </xdr:cNvPr>
        <xdr:cNvSpPr/>
      </xdr:nvSpPr>
      <xdr:spPr>
        <a:xfrm rot="10800000">
          <a:off x="1927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174</xdr:row>
      <xdr:rowOff>0</xdr:rowOff>
    </xdr:from>
    <xdr:to>
      <xdr:col>60</xdr:col>
      <xdr:colOff>83820</xdr:colOff>
      <xdr:row>174</xdr:row>
      <xdr:rowOff>114300</xdr:rowOff>
    </xdr:to>
    <xdr:sp macro="" textlink="">
      <xdr:nvSpPr>
        <xdr:cNvPr id="1275" name="Arrow: Down 1274">
          <a:extLst>
            <a:ext uri="{FF2B5EF4-FFF2-40B4-BE49-F238E27FC236}">
              <a16:creationId xmlns:a16="http://schemas.microsoft.com/office/drawing/2014/main" id="{B71B9B81-F9A7-4323-BE20-77AFF7670C32}"/>
            </a:ext>
          </a:extLst>
        </xdr:cNvPr>
        <xdr:cNvSpPr/>
      </xdr:nvSpPr>
      <xdr:spPr>
        <a:xfrm rot="10800000">
          <a:off x="15643860" y="3173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175</xdr:row>
      <xdr:rowOff>0</xdr:rowOff>
    </xdr:from>
    <xdr:to>
      <xdr:col>71</xdr:col>
      <xdr:colOff>83820</xdr:colOff>
      <xdr:row>175</xdr:row>
      <xdr:rowOff>114300</xdr:rowOff>
    </xdr:to>
    <xdr:sp macro="" textlink="">
      <xdr:nvSpPr>
        <xdr:cNvPr id="1276" name="Arrow: Down 1275">
          <a:extLst>
            <a:ext uri="{FF2B5EF4-FFF2-40B4-BE49-F238E27FC236}">
              <a16:creationId xmlns:a16="http://schemas.microsoft.com/office/drawing/2014/main" id="{10FDF5F4-9CAD-4710-A657-BBF73FCAA78C}"/>
            </a:ext>
          </a:extLst>
        </xdr:cNvPr>
        <xdr:cNvSpPr/>
      </xdr:nvSpPr>
      <xdr:spPr>
        <a:xfrm>
          <a:off x="1840992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175</xdr:row>
      <xdr:rowOff>0</xdr:rowOff>
    </xdr:from>
    <xdr:to>
      <xdr:col>45</xdr:col>
      <xdr:colOff>83820</xdr:colOff>
      <xdr:row>175</xdr:row>
      <xdr:rowOff>114300</xdr:rowOff>
    </xdr:to>
    <xdr:sp macro="" textlink="">
      <xdr:nvSpPr>
        <xdr:cNvPr id="1277" name="Arrow: Down 1276">
          <a:extLst>
            <a:ext uri="{FF2B5EF4-FFF2-40B4-BE49-F238E27FC236}">
              <a16:creationId xmlns:a16="http://schemas.microsoft.com/office/drawing/2014/main" id="{3265590E-E39E-4FC1-AD28-118A7060DB06}"/>
            </a:ext>
          </a:extLst>
        </xdr:cNvPr>
        <xdr:cNvSpPr/>
      </xdr:nvSpPr>
      <xdr:spPr>
        <a:xfrm rot="10800000">
          <a:off x="1133094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175</xdr:row>
      <xdr:rowOff>0</xdr:rowOff>
    </xdr:from>
    <xdr:to>
      <xdr:col>39</xdr:col>
      <xdr:colOff>83820</xdr:colOff>
      <xdr:row>175</xdr:row>
      <xdr:rowOff>114300</xdr:rowOff>
    </xdr:to>
    <xdr:sp macro="" textlink="">
      <xdr:nvSpPr>
        <xdr:cNvPr id="1278" name="Arrow: Down 1277">
          <a:extLst>
            <a:ext uri="{FF2B5EF4-FFF2-40B4-BE49-F238E27FC236}">
              <a16:creationId xmlns:a16="http://schemas.microsoft.com/office/drawing/2014/main" id="{DE5318AD-7DD2-4656-A1D8-045246EF4E8E}"/>
            </a:ext>
          </a:extLst>
        </xdr:cNvPr>
        <xdr:cNvSpPr/>
      </xdr:nvSpPr>
      <xdr:spPr>
        <a:xfrm rot="10800000">
          <a:off x="9525000" y="3192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175</xdr:row>
      <xdr:rowOff>0</xdr:rowOff>
    </xdr:from>
    <xdr:to>
      <xdr:col>5</xdr:col>
      <xdr:colOff>83820</xdr:colOff>
      <xdr:row>175</xdr:row>
      <xdr:rowOff>114300</xdr:rowOff>
    </xdr:to>
    <xdr:sp macro="" textlink="">
      <xdr:nvSpPr>
        <xdr:cNvPr id="1283" name="Arrow: Down 1282">
          <a:extLst>
            <a:ext uri="{FF2B5EF4-FFF2-40B4-BE49-F238E27FC236}">
              <a16:creationId xmlns:a16="http://schemas.microsoft.com/office/drawing/2014/main" id="{933129C3-E64E-4B5D-B17A-EFE6AC00DC22}"/>
            </a:ext>
          </a:extLst>
        </xdr:cNvPr>
        <xdr:cNvSpPr/>
      </xdr:nvSpPr>
      <xdr:spPr>
        <a:xfrm>
          <a:off x="192786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175</xdr:row>
      <xdr:rowOff>0</xdr:rowOff>
    </xdr:from>
    <xdr:to>
      <xdr:col>11</xdr:col>
      <xdr:colOff>83820</xdr:colOff>
      <xdr:row>175</xdr:row>
      <xdr:rowOff>114300</xdr:rowOff>
    </xdr:to>
    <xdr:sp macro="" textlink="">
      <xdr:nvSpPr>
        <xdr:cNvPr id="1284" name="Arrow: Down 1283">
          <a:extLst>
            <a:ext uri="{FF2B5EF4-FFF2-40B4-BE49-F238E27FC236}">
              <a16:creationId xmlns:a16="http://schemas.microsoft.com/office/drawing/2014/main" id="{F56DACE5-D6E5-4ADD-A6A8-1F5B5C08AB40}"/>
            </a:ext>
          </a:extLst>
        </xdr:cNvPr>
        <xdr:cNvSpPr/>
      </xdr:nvSpPr>
      <xdr:spPr>
        <a:xfrm>
          <a:off x="36195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175</xdr:row>
      <xdr:rowOff>0</xdr:rowOff>
    </xdr:from>
    <xdr:to>
      <xdr:col>24</xdr:col>
      <xdr:colOff>83820</xdr:colOff>
      <xdr:row>175</xdr:row>
      <xdr:rowOff>114300</xdr:rowOff>
    </xdr:to>
    <xdr:sp macro="" textlink="">
      <xdr:nvSpPr>
        <xdr:cNvPr id="1285" name="Arrow: Down 1284">
          <a:extLst>
            <a:ext uri="{FF2B5EF4-FFF2-40B4-BE49-F238E27FC236}">
              <a16:creationId xmlns:a16="http://schemas.microsoft.com/office/drawing/2014/main" id="{F1C79D48-082C-49C9-82CB-611C2DDC39C8}"/>
            </a:ext>
          </a:extLst>
        </xdr:cNvPr>
        <xdr:cNvSpPr/>
      </xdr:nvSpPr>
      <xdr:spPr>
        <a:xfrm>
          <a:off x="636270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45719</xdr:colOff>
      <xdr:row>175</xdr:row>
      <xdr:rowOff>76200</xdr:rowOff>
    </xdr:to>
    <xdr:sp macro="" textlink="">
      <xdr:nvSpPr>
        <xdr:cNvPr id="1286" name="Arrow: Down 1285">
          <a:extLst>
            <a:ext uri="{FF2B5EF4-FFF2-40B4-BE49-F238E27FC236}">
              <a16:creationId xmlns:a16="http://schemas.microsoft.com/office/drawing/2014/main" id="{80F7C502-58DE-42F1-9213-1D329FC275E2}"/>
            </a:ext>
          </a:extLst>
        </xdr:cNvPr>
        <xdr:cNvSpPr/>
      </xdr:nvSpPr>
      <xdr:spPr>
        <a:xfrm>
          <a:off x="16093440" y="32103060"/>
          <a:ext cx="45719" cy="762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176</xdr:row>
      <xdr:rowOff>0</xdr:rowOff>
    </xdr:from>
    <xdr:to>
      <xdr:col>71</xdr:col>
      <xdr:colOff>83820</xdr:colOff>
      <xdr:row>176</xdr:row>
      <xdr:rowOff>114300</xdr:rowOff>
    </xdr:to>
    <xdr:sp macro="" textlink="">
      <xdr:nvSpPr>
        <xdr:cNvPr id="1287" name="Arrow: Down 1286">
          <a:extLst>
            <a:ext uri="{FF2B5EF4-FFF2-40B4-BE49-F238E27FC236}">
              <a16:creationId xmlns:a16="http://schemas.microsoft.com/office/drawing/2014/main" id="{A5458EE3-3EDD-4039-B202-383F2EE59A9E}"/>
            </a:ext>
          </a:extLst>
        </xdr:cNvPr>
        <xdr:cNvSpPr/>
      </xdr:nvSpPr>
      <xdr:spPr>
        <a:xfrm>
          <a:off x="1840992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176</xdr:row>
      <xdr:rowOff>0</xdr:rowOff>
    </xdr:from>
    <xdr:to>
      <xdr:col>45</xdr:col>
      <xdr:colOff>83820</xdr:colOff>
      <xdr:row>176</xdr:row>
      <xdr:rowOff>114300</xdr:rowOff>
    </xdr:to>
    <xdr:sp macro="" textlink="">
      <xdr:nvSpPr>
        <xdr:cNvPr id="1288" name="Arrow: Down 1287">
          <a:extLst>
            <a:ext uri="{FF2B5EF4-FFF2-40B4-BE49-F238E27FC236}">
              <a16:creationId xmlns:a16="http://schemas.microsoft.com/office/drawing/2014/main" id="{AD521DCA-B0ED-4B8A-9452-AF379217AD03}"/>
            </a:ext>
          </a:extLst>
        </xdr:cNvPr>
        <xdr:cNvSpPr/>
      </xdr:nvSpPr>
      <xdr:spPr>
        <a:xfrm rot="10800000">
          <a:off x="113309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176</xdr:row>
      <xdr:rowOff>0</xdr:rowOff>
    </xdr:from>
    <xdr:to>
      <xdr:col>11</xdr:col>
      <xdr:colOff>83820</xdr:colOff>
      <xdr:row>176</xdr:row>
      <xdr:rowOff>114300</xdr:rowOff>
    </xdr:to>
    <xdr:sp macro="" textlink="">
      <xdr:nvSpPr>
        <xdr:cNvPr id="1295" name="Arrow: Down 1294">
          <a:extLst>
            <a:ext uri="{FF2B5EF4-FFF2-40B4-BE49-F238E27FC236}">
              <a16:creationId xmlns:a16="http://schemas.microsoft.com/office/drawing/2014/main" id="{7C410A07-6308-4881-8AB3-6A775D2D06B4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176</xdr:row>
      <xdr:rowOff>0</xdr:rowOff>
    </xdr:from>
    <xdr:to>
      <xdr:col>5</xdr:col>
      <xdr:colOff>83820</xdr:colOff>
      <xdr:row>176</xdr:row>
      <xdr:rowOff>114300</xdr:rowOff>
    </xdr:to>
    <xdr:sp macro="" textlink="">
      <xdr:nvSpPr>
        <xdr:cNvPr id="1297" name="Arrow: Down 1296">
          <a:extLst>
            <a:ext uri="{FF2B5EF4-FFF2-40B4-BE49-F238E27FC236}">
              <a16:creationId xmlns:a16="http://schemas.microsoft.com/office/drawing/2014/main" id="{D6FC2B43-B686-4CED-B1C7-02D1180B93A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176</xdr:row>
      <xdr:rowOff>0</xdr:rowOff>
    </xdr:from>
    <xdr:to>
      <xdr:col>24</xdr:col>
      <xdr:colOff>83820</xdr:colOff>
      <xdr:row>176</xdr:row>
      <xdr:rowOff>114300</xdr:rowOff>
    </xdr:to>
    <xdr:sp macro="" textlink="">
      <xdr:nvSpPr>
        <xdr:cNvPr id="1298" name="Arrow: Down 1297">
          <a:extLst>
            <a:ext uri="{FF2B5EF4-FFF2-40B4-BE49-F238E27FC236}">
              <a16:creationId xmlns:a16="http://schemas.microsoft.com/office/drawing/2014/main" id="{692B6E32-D8A2-41A6-9DF5-D09AB2F99A09}"/>
            </a:ext>
          </a:extLst>
        </xdr:cNvPr>
        <xdr:cNvSpPr/>
      </xdr:nvSpPr>
      <xdr:spPr>
        <a:xfrm rot="10800000">
          <a:off x="63627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176</xdr:row>
      <xdr:rowOff>0</xdr:rowOff>
    </xdr:from>
    <xdr:to>
      <xdr:col>60</xdr:col>
      <xdr:colOff>83820</xdr:colOff>
      <xdr:row>176</xdr:row>
      <xdr:rowOff>114300</xdr:rowOff>
    </xdr:to>
    <xdr:sp macro="" textlink="">
      <xdr:nvSpPr>
        <xdr:cNvPr id="1299" name="Arrow: Down 1298">
          <a:extLst>
            <a:ext uri="{FF2B5EF4-FFF2-40B4-BE49-F238E27FC236}">
              <a16:creationId xmlns:a16="http://schemas.microsoft.com/office/drawing/2014/main" id="{3D693766-27C5-4E1B-ACB1-FEC601CA2606}"/>
            </a:ext>
          </a:extLst>
        </xdr:cNvPr>
        <xdr:cNvSpPr/>
      </xdr:nvSpPr>
      <xdr:spPr>
        <a:xfrm rot="10800000">
          <a:off x="1609344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176</xdr:row>
      <xdr:rowOff>0</xdr:rowOff>
    </xdr:from>
    <xdr:to>
      <xdr:col>39</xdr:col>
      <xdr:colOff>83820</xdr:colOff>
      <xdr:row>176</xdr:row>
      <xdr:rowOff>114300</xdr:rowOff>
    </xdr:to>
    <xdr:sp macro="" textlink="">
      <xdr:nvSpPr>
        <xdr:cNvPr id="1301" name="Arrow: Down 1300">
          <a:extLst>
            <a:ext uri="{FF2B5EF4-FFF2-40B4-BE49-F238E27FC236}">
              <a16:creationId xmlns:a16="http://schemas.microsoft.com/office/drawing/2014/main" id="{0CF8FC81-63FD-49BF-9241-E4A2DA2F427E}"/>
            </a:ext>
          </a:extLst>
        </xdr:cNvPr>
        <xdr:cNvSpPr/>
      </xdr:nvSpPr>
      <xdr:spPr>
        <a:xfrm>
          <a:off x="95250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177</xdr:row>
      <xdr:rowOff>0</xdr:rowOff>
    </xdr:from>
    <xdr:to>
      <xdr:col>71</xdr:col>
      <xdr:colOff>83820</xdr:colOff>
      <xdr:row>177</xdr:row>
      <xdr:rowOff>114300</xdr:rowOff>
    </xdr:to>
    <xdr:sp macro="" textlink="">
      <xdr:nvSpPr>
        <xdr:cNvPr id="1302" name="Arrow: Down 1301">
          <a:extLst>
            <a:ext uri="{FF2B5EF4-FFF2-40B4-BE49-F238E27FC236}">
              <a16:creationId xmlns:a16="http://schemas.microsoft.com/office/drawing/2014/main" id="{09B1B329-C41D-408D-A95D-EAB6F30EB3B8}"/>
            </a:ext>
          </a:extLst>
        </xdr:cNvPr>
        <xdr:cNvSpPr/>
      </xdr:nvSpPr>
      <xdr:spPr>
        <a:xfrm>
          <a:off x="1840992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177</xdr:row>
      <xdr:rowOff>0</xdr:rowOff>
    </xdr:from>
    <xdr:to>
      <xdr:col>45</xdr:col>
      <xdr:colOff>83820</xdr:colOff>
      <xdr:row>177</xdr:row>
      <xdr:rowOff>114300</xdr:rowOff>
    </xdr:to>
    <xdr:sp macro="" textlink="">
      <xdr:nvSpPr>
        <xdr:cNvPr id="1303" name="Arrow: Down 1302">
          <a:extLst>
            <a:ext uri="{FF2B5EF4-FFF2-40B4-BE49-F238E27FC236}">
              <a16:creationId xmlns:a16="http://schemas.microsoft.com/office/drawing/2014/main" id="{3B0E9BBD-61D4-42A5-BCEB-63A0D78CA2A4}"/>
            </a:ext>
          </a:extLst>
        </xdr:cNvPr>
        <xdr:cNvSpPr/>
      </xdr:nvSpPr>
      <xdr:spPr>
        <a:xfrm rot="10800000">
          <a:off x="11330940" y="3228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11</xdr:col>
      <xdr:colOff>83820</xdr:colOff>
      <xdr:row>177</xdr:row>
      <xdr:rowOff>114300</xdr:rowOff>
    </xdr:to>
    <xdr:sp macro="" textlink="">
      <xdr:nvSpPr>
        <xdr:cNvPr id="1304" name="Arrow: Down 1303">
          <a:extLst>
            <a:ext uri="{FF2B5EF4-FFF2-40B4-BE49-F238E27FC236}">
              <a16:creationId xmlns:a16="http://schemas.microsoft.com/office/drawing/2014/main" id="{5F97164A-A090-448B-A26B-B4847E917C50}"/>
            </a:ext>
          </a:extLst>
        </xdr:cNvPr>
        <xdr:cNvSpPr/>
      </xdr:nvSpPr>
      <xdr:spPr>
        <a:xfrm rot="10800000">
          <a:off x="361950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177</xdr:row>
      <xdr:rowOff>0</xdr:rowOff>
    </xdr:from>
    <xdr:to>
      <xdr:col>5</xdr:col>
      <xdr:colOff>83820</xdr:colOff>
      <xdr:row>177</xdr:row>
      <xdr:rowOff>114300</xdr:rowOff>
    </xdr:to>
    <xdr:sp macro="" textlink="">
      <xdr:nvSpPr>
        <xdr:cNvPr id="1305" name="Arrow: Down 1304">
          <a:extLst>
            <a:ext uri="{FF2B5EF4-FFF2-40B4-BE49-F238E27FC236}">
              <a16:creationId xmlns:a16="http://schemas.microsoft.com/office/drawing/2014/main" id="{58334E99-D024-4AF3-86FD-D99D805E0F27}"/>
            </a:ext>
          </a:extLst>
        </xdr:cNvPr>
        <xdr:cNvSpPr/>
      </xdr:nvSpPr>
      <xdr:spPr>
        <a:xfrm rot="10800000">
          <a:off x="1927860" y="3228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175</xdr:row>
      <xdr:rowOff>0</xdr:rowOff>
    </xdr:from>
    <xdr:to>
      <xdr:col>60</xdr:col>
      <xdr:colOff>83820</xdr:colOff>
      <xdr:row>175</xdr:row>
      <xdr:rowOff>114300</xdr:rowOff>
    </xdr:to>
    <xdr:sp macro="" textlink="">
      <xdr:nvSpPr>
        <xdr:cNvPr id="1311" name="Arrow: Down 1310">
          <a:extLst>
            <a:ext uri="{FF2B5EF4-FFF2-40B4-BE49-F238E27FC236}">
              <a16:creationId xmlns:a16="http://schemas.microsoft.com/office/drawing/2014/main" id="{86988D28-AD60-4FC4-A13B-0AB7966B13A0}"/>
            </a:ext>
          </a:extLst>
        </xdr:cNvPr>
        <xdr:cNvSpPr/>
      </xdr:nvSpPr>
      <xdr:spPr>
        <a:xfrm>
          <a:off x="16093440" y="3210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177</xdr:row>
      <xdr:rowOff>0</xdr:rowOff>
    </xdr:from>
    <xdr:to>
      <xdr:col>24</xdr:col>
      <xdr:colOff>83820</xdr:colOff>
      <xdr:row>177</xdr:row>
      <xdr:rowOff>114300</xdr:rowOff>
    </xdr:to>
    <xdr:sp macro="" textlink="">
      <xdr:nvSpPr>
        <xdr:cNvPr id="1313" name="Arrow: Down 1312">
          <a:extLst>
            <a:ext uri="{FF2B5EF4-FFF2-40B4-BE49-F238E27FC236}">
              <a16:creationId xmlns:a16="http://schemas.microsoft.com/office/drawing/2014/main" id="{2BF9049A-585F-46F0-8A4C-345F314330B5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177</xdr:row>
      <xdr:rowOff>0</xdr:rowOff>
    </xdr:from>
    <xdr:to>
      <xdr:col>39</xdr:col>
      <xdr:colOff>83820</xdr:colOff>
      <xdr:row>177</xdr:row>
      <xdr:rowOff>114300</xdr:rowOff>
    </xdr:to>
    <xdr:sp macro="" textlink="">
      <xdr:nvSpPr>
        <xdr:cNvPr id="1315" name="Arrow: Down 1314">
          <a:extLst>
            <a:ext uri="{FF2B5EF4-FFF2-40B4-BE49-F238E27FC236}">
              <a16:creationId xmlns:a16="http://schemas.microsoft.com/office/drawing/2014/main" id="{AA8AA4B4-BBDC-418C-9DB2-09E9F742B3B3}"/>
            </a:ext>
          </a:extLst>
        </xdr:cNvPr>
        <xdr:cNvSpPr/>
      </xdr:nvSpPr>
      <xdr:spPr>
        <a:xfrm rot="10800000">
          <a:off x="95250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178</xdr:row>
      <xdr:rowOff>0</xdr:rowOff>
    </xdr:from>
    <xdr:to>
      <xdr:col>71</xdr:col>
      <xdr:colOff>83820</xdr:colOff>
      <xdr:row>178</xdr:row>
      <xdr:rowOff>114300</xdr:rowOff>
    </xdr:to>
    <xdr:sp macro="" textlink="">
      <xdr:nvSpPr>
        <xdr:cNvPr id="1316" name="Arrow: Down 1315">
          <a:extLst>
            <a:ext uri="{FF2B5EF4-FFF2-40B4-BE49-F238E27FC236}">
              <a16:creationId xmlns:a16="http://schemas.microsoft.com/office/drawing/2014/main" id="{AE9C56D1-6282-41FB-BFE3-6892911E507E}"/>
            </a:ext>
          </a:extLst>
        </xdr:cNvPr>
        <xdr:cNvSpPr/>
      </xdr:nvSpPr>
      <xdr:spPr>
        <a:xfrm>
          <a:off x="1840992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178</xdr:row>
      <xdr:rowOff>0</xdr:rowOff>
    </xdr:from>
    <xdr:to>
      <xdr:col>45</xdr:col>
      <xdr:colOff>83820</xdr:colOff>
      <xdr:row>178</xdr:row>
      <xdr:rowOff>114300</xdr:rowOff>
    </xdr:to>
    <xdr:sp macro="" textlink="">
      <xdr:nvSpPr>
        <xdr:cNvPr id="1317" name="Arrow: Down 1316">
          <a:extLst>
            <a:ext uri="{FF2B5EF4-FFF2-40B4-BE49-F238E27FC236}">
              <a16:creationId xmlns:a16="http://schemas.microsoft.com/office/drawing/2014/main" id="{2F22888B-729A-44C5-A1E2-163B26419ACE}"/>
            </a:ext>
          </a:extLst>
        </xdr:cNvPr>
        <xdr:cNvSpPr/>
      </xdr:nvSpPr>
      <xdr:spPr>
        <a:xfrm rot="10800000">
          <a:off x="113309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178</xdr:row>
      <xdr:rowOff>0</xdr:rowOff>
    </xdr:from>
    <xdr:to>
      <xdr:col>24</xdr:col>
      <xdr:colOff>83820</xdr:colOff>
      <xdr:row>178</xdr:row>
      <xdr:rowOff>114300</xdr:rowOff>
    </xdr:to>
    <xdr:sp macro="" textlink="">
      <xdr:nvSpPr>
        <xdr:cNvPr id="1322" name="Arrow: Down 1321">
          <a:extLst>
            <a:ext uri="{FF2B5EF4-FFF2-40B4-BE49-F238E27FC236}">
              <a16:creationId xmlns:a16="http://schemas.microsoft.com/office/drawing/2014/main" id="{BB085E4B-F663-42FA-96CC-E078D153801D}"/>
            </a:ext>
          </a:extLst>
        </xdr:cNvPr>
        <xdr:cNvSpPr/>
      </xdr:nvSpPr>
      <xdr:spPr>
        <a:xfrm>
          <a:off x="636270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32" name="Arrow: Down 1331">
          <a:extLst>
            <a:ext uri="{FF2B5EF4-FFF2-40B4-BE49-F238E27FC236}">
              <a16:creationId xmlns:a16="http://schemas.microsoft.com/office/drawing/2014/main" id="{66B7BBA9-BA1E-4676-811A-2CC2E80815FD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33" name="Arrow: Down 1332">
          <a:extLst>
            <a:ext uri="{FF2B5EF4-FFF2-40B4-BE49-F238E27FC236}">
              <a16:creationId xmlns:a16="http://schemas.microsoft.com/office/drawing/2014/main" id="{B88C0E6B-4B95-4518-906D-C614A56D4310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38" name="Arrow: Down 1337">
          <a:extLst>
            <a:ext uri="{FF2B5EF4-FFF2-40B4-BE49-F238E27FC236}">
              <a16:creationId xmlns:a16="http://schemas.microsoft.com/office/drawing/2014/main" id="{A9356C00-7CD1-4EE2-B142-BC4D6954E195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179</xdr:row>
      <xdr:rowOff>0</xdr:rowOff>
    </xdr:from>
    <xdr:to>
      <xdr:col>71</xdr:col>
      <xdr:colOff>83820</xdr:colOff>
      <xdr:row>179</xdr:row>
      <xdr:rowOff>114300</xdr:rowOff>
    </xdr:to>
    <xdr:sp macro="" textlink="">
      <xdr:nvSpPr>
        <xdr:cNvPr id="1342" name="Arrow: Down 1341">
          <a:extLst>
            <a:ext uri="{FF2B5EF4-FFF2-40B4-BE49-F238E27FC236}">
              <a16:creationId xmlns:a16="http://schemas.microsoft.com/office/drawing/2014/main" id="{6E0AF029-31D2-4FF0-AA5B-A74DE816B95B}"/>
            </a:ext>
          </a:extLst>
        </xdr:cNvPr>
        <xdr:cNvSpPr/>
      </xdr:nvSpPr>
      <xdr:spPr>
        <a:xfrm>
          <a:off x="1840992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179</xdr:row>
      <xdr:rowOff>0</xdr:rowOff>
    </xdr:from>
    <xdr:to>
      <xdr:col>45</xdr:col>
      <xdr:colOff>83820</xdr:colOff>
      <xdr:row>179</xdr:row>
      <xdr:rowOff>114300</xdr:rowOff>
    </xdr:to>
    <xdr:sp macro="" textlink="">
      <xdr:nvSpPr>
        <xdr:cNvPr id="1343" name="Arrow: Down 1342">
          <a:extLst>
            <a:ext uri="{FF2B5EF4-FFF2-40B4-BE49-F238E27FC236}">
              <a16:creationId xmlns:a16="http://schemas.microsoft.com/office/drawing/2014/main" id="{7F63AB99-5CF7-44B2-8638-312ABB5F228B}"/>
            </a:ext>
          </a:extLst>
        </xdr:cNvPr>
        <xdr:cNvSpPr/>
      </xdr:nvSpPr>
      <xdr:spPr>
        <a:xfrm rot="10800000">
          <a:off x="113309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179</xdr:row>
      <xdr:rowOff>0</xdr:rowOff>
    </xdr:from>
    <xdr:to>
      <xdr:col>24</xdr:col>
      <xdr:colOff>83820</xdr:colOff>
      <xdr:row>179</xdr:row>
      <xdr:rowOff>114300</xdr:rowOff>
    </xdr:to>
    <xdr:sp macro="" textlink="">
      <xdr:nvSpPr>
        <xdr:cNvPr id="1348" name="Arrow: Down 1347">
          <a:extLst>
            <a:ext uri="{FF2B5EF4-FFF2-40B4-BE49-F238E27FC236}">
              <a16:creationId xmlns:a16="http://schemas.microsoft.com/office/drawing/2014/main" id="{A736AE0A-9CDA-42E3-B9D3-247F6A3FA45A}"/>
            </a:ext>
          </a:extLst>
        </xdr:cNvPr>
        <xdr:cNvSpPr/>
      </xdr:nvSpPr>
      <xdr:spPr>
        <a:xfrm>
          <a:off x="63627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178</xdr:row>
      <xdr:rowOff>0</xdr:rowOff>
    </xdr:from>
    <xdr:to>
      <xdr:col>5</xdr:col>
      <xdr:colOff>83820</xdr:colOff>
      <xdr:row>178</xdr:row>
      <xdr:rowOff>114300</xdr:rowOff>
    </xdr:to>
    <xdr:sp macro="" textlink="">
      <xdr:nvSpPr>
        <xdr:cNvPr id="1350" name="Arrow: Down 1349">
          <a:extLst>
            <a:ext uri="{FF2B5EF4-FFF2-40B4-BE49-F238E27FC236}">
              <a16:creationId xmlns:a16="http://schemas.microsoft.com/office/drawing/2014/main" id="{5D03976B-9480-491D-A806-E2612042FC12}"/>
            </a:ext>
          </a:extLst>
        </xdr:cNvPr>
        <xdr:cNvSpPr/>
      </xdr:nvSpPr>
      <xdr:spPr>
        <a:xfrm>
          <a:off x="192786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178</xdr:row>
      <xdr:rowOff>0</xdr:rowOff>
    </xdr:from>
    <xdr:to>
      <xdr:col>11</xdr:col>
      <xdr:colOff>83820</xdr:colOff>
      <xdr:row>178</xdr:row>
      <xdr:rowOff>114300</xdr:rowOff>
    </xdr:to>
    <xdr:sp macro="" textlink="">
      <xdr:nvSpPr>
        <xdr:cNvPr id="1352" name="Arrow: Down 1351">
          <a:extLst>
            <a:ext uri="{FF2B5EF4-FFF2-40B4-BE49-F238E27FC236}">
              <a16:creationId xmlns:a16="http://schemas.microsoft.com/office/drawing/2014/main" id="{5E30F1CA-AED3-4017-A6FB-1D907B95E4D4}"/>
            </a:ext>
          </a:extLst>
        </xdr:cNvPr>
        <xdr:cNvSpPr/>
      </xdr:nvSpPr>
      <xdr:spPr>
        <a:xfrm>
          <a:off x="361950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178</xdr:row>
      <xdr:rowOff>0</xdr:rowOff>
    </xdr:from>
    <xdr:to>
      <xdr:col>39</xdr:col>
      <xdr:colOff>83820</xdr:colOff>
      <xdr:row>178</xdr:row>
      <xdr:rowOff>114300</xdr:rowOff>
    </xdr:to>
    <xdr:sp macro="" textlink="">
      <xdr:nvSpPr>
        <xdr:cNvPr id="1353" name="Arrow: Down 1352">
          <a:extLst>
            <a:ext uri="{FF2B5EF4-FFF2-40B4-BE49-F238E27FC236}">
              <a16:creationId xmlns:a16="http://schemas.microsoft.com/office/drawing/2014/main" id="{2899258A-D704-470C-BBB5-EB0790FA7241}"/>
            </a:ext>
          </a:extLst>
        </xdr:cNvPr>
        <xdr:cNvSpPr/>
      </xdr:nvSpPr>
      <xdr:spPr>
        <a:xfrm>
          <a:off x="9525000" y="3265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179</xdr:row>
      <xdr:rowOff>0</xdr:rowOff>
    </xdr:from>
    <xdr:to>
      <xdr:col>5</xdr:col>
      <xdr:colOff>83820</xdr:colOff>
      <xdr:row>179</xdr:row>
      <xdr:rowOff>114300</xdr:rowOff>
    </xdr:to>
    <xdr:sp macro="" textlink="">
      <xdr:nvSpPr>
        <xdr:cNvPr id="1354" name="Arrow: Down 1353">
          <a:extLst>
            <a:ext uri="{FF2B5EF4-FFF2-40B4-BE49-F238E27FC236}">
              <a16:creationId xmlns:a16="http://schemas.microsoft.com/office/drawing/2014/main" id="{4F8446BD-33F8-4F00-B9E3-2CA36B742D7B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179</xdr:row>
      <xdr:rowOff>0</xdr:rowOff>
    </xdr:from>
    <xdr:to>
      <xdr:col>11</xdr:col>
      <xdr:colOff>83820</xdr:colOff>
      <xdr:row>179</xdr:row>
      <xdr:rowOff>114300</xdr:rowOff>
    </xdr:to>
    <xdr:sp macro="" textlink="">
      <xdr:nvSpPr>
        <xdr:cNvPr id="1355" name="Arrow: Down 1354">
          <a:extLst>
            <a:ext uri="{FF2B5EF4-FFF2-40B4-BE49-F238E27FC236}">
              <a16:creationId xmlns:a16="http://schemas.microsoft.com/office/drawing/2014/main" id="{37265FFC-9212-40F8-8B8D-31B32ADED0B1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179</xdr:row>
      <xdr:rowOff>0</xdr:rowOff>
    </xdr:from>
    <xdr:to>
      <xdr:col>39</xdr:col>
      <xdr:colOff>83820</xdr:colOff>
      <xdr:row>179</xdr:row>
      <xdr:rowOff>114300</xdr:rowOff>
    </xdr:to>
    <xdr:sp macro="" textlink="">
      <xdr:nvSpPr>
        <xdr:cNvPr id="1359" name="Arrow: Down 1358">
          <a:extLst>
            <a:ext uri="{FF2B5EF4-FFF2-40B4-BE49-F238E27FC236}">
              <a16:creationId xmlns:a16="http://schemas.microsoft.com/office/drawing/2014/main" id="{C7D9CC64-89FE-4D4E-9F53-479E810B6A5D}"/>
            </a:ext>
          </a:extLst>
        </xdr:cNvPr>
        <xdr:cNvSpPr/>
      </xdr:nvSpPr>
      <xdr:spPr>
        <a:xfrm>
          <a:off x="9525000" y="3283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0" name="Arrow: Down 1359">
          <a:extLst>
            <a:ext uri="{FF2B5EF4-FFF2-40B4-BE49-F238E27FC236}">
              <a16:creationId xmlns:a16="http://schemas.microsoft.com/office/drawing/2014/main" id="{114F6087-F7D4-4B68-A44A-9B171BDEB58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1" name="Arrow: Down 1360">
          <a:extLst>
            <a:ext uri="{FF2B5EF4-FFF2-40B4-BE49-F238E27FC236}">
              <a16:creationId xmlns:a16="http://schemas.microsoft.com/office/drawing/2014/main" id="{7DC53530-3487-4F98-A3D5-CF2798340BB7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4" name="Arrow: Down 1363">
          <a:extLst>
            <a:ext uri="{FF2B5EF4-FFF2-40B4-BE49-F238E27FC236}">
              <a16:creationId xmlns:a16="http://schemas.microsoft.com/office/drawing/2014/main" id="{EA5A433E-2083-46A0-8EC9-95955B630B60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180</xdr:row>
      <xdr:rowOff>0</xdr:rowOff>
    </xdr:from>
    <xdr:to>
      <xdr:col>71</xdr:col>
      <xdr:colOff>83820</xdr:colOff>
      <xdr:row>180</xdr:row>
      <xdr:rowOff>114300</xdr:rowOff>
    </xdr:to>
    <xdr:sp macro="" textlink="">
      <xdr:nvSpPr>
        <xdr:cNvPr id="1365" name="Arrow: Down 1364">
          <a:extLst>
            <a:ext uri="{FF2B5EF4-FFF2-40B4-BE49-F238E27FC236}">
              <a16:creationId xmlns:a16="http://schemas.microsoft.com/office/drawing/2014/main" id="{82E506FE-AA3E-433A-A3F1-BB9C06F335D0}"/>
            </a:ext>
          </a:extLst>
        </xdr:cNvPr>
        <xdr:cNvSpPr/>
      </xdr:nvSpPr>
      <xdr:spPr>
        <a:xfrm>
          <a:off x="1840992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180</xdr:row>
      <xdr:rowOff>0</xdr:rowOff>
    </xdr:from>
    <xdr:to>
      <xdr:col>45</xdr:col>
      <xdr:colOff>83820</xdr:colOff>
      <xdr:row>180</xdr:row>
      <xdr:rowOff>114300</xdr:rowOff>
    </xdr:to>
    <xdr:sp macro="" textlink="">
      <xdr:nvSpPr>
        <xdr:cNvPr id="1366" name="Arrow: Down 1365">
          <a:extLst>
            <a:ext uri="{FF2B5EF4-FFF2-40B4-BE49-F238E27FC236}">
              <a16:creationId xmlns:a16="http://schemas.microsoft.com/office/drawing/2014/main" id="{E9274C81-43D1-4A9E-81AF-D3FB162091FD}"/>
            </a:ext>
          </a:extLst>
        </xdr:cNvPr>
        <xdr:cNvSpPr/>
      </xdr:nvSpPr>
      <xdr:spPr>
        <a:xfrm rot="10800000">
          <a:off x="113309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180</xdr:row>
      <xdr:rowOff>0</xdr:rowOff>
    </xdr:from>
    <xdr:to>
      <xdr:col>24</xdr:col>
      <xdr:colOff>83820</xdr:colOff>
      <xdr:row>180</xdr:row>
      <xdr:rowOff>114300</xdr:rowOff>
    </xdr:to>
    <xdr:sp macro="" textlink="">
      <xdr:nvSpPr>
        <xdr:cNvPr id="1369" name="Arrow: Down 1368">
          <a:extLst>
            <a:ext uri="{FF2B5EF4-FFF2-40B4-BE49-F238E27FC236}">
              <a16:creationId xmlns:a16="http://schemas.microsoft.com/office/drawing/2014/main" id="{2605EE34-F15B-48FF-8B51-F9A3A968816B}"/>
            </a:ext>
          </a:extLst>
        </xdr:cNvPr>
        <xdr:cNvSpPr/>
      </xdr:nvSpPr>
      <xdr:spPr>
        <a:xfrm>
          <a:off x="63627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180</xdr:row>
      <xdr:rowOff>0</xdr:rowOff>
    </xdr:from>
    <xdr:to>
      <xdr:col>5</xdr:col>
      <xdr:colOff>83820</xdr:colOff>
      <xdr:row>180</xdr:row>
      <xdr:rowOff>114300</xdr:rowOff>
    </xdr:to>
    <xdr:sp macro="" textlink="">
      <xdr:nvSpPr>
        <xdr:cNvPr id="1370" name="Arrow: Down 1369">
          <a:extLst>
            <a:ext uri="{FF2B5EF4-FFF2-40B4-BE49-F238E27FC236}">
              <a16:creationId xmlns:a16="http://schemas.microsoft.com/office/drawing/2014/main" id="{364493B0-884C-49A7-BE01-6CC5282B1C12}"/>
            </a:ext>
          </a:extLst>
        </xdr:cNvPr>
        <xdr:cNvSpPr/>
      </xdr:nvSpPr>
      <xdr:spPr>
        <a:xfrm>
          <a:off x="192786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180</xdr:row>
      <xdr:rowOff>0</xdr:rowOff>
    </xdr:from>
    <xdr:to>
      <xdr:col>11</xdr:col>
      <xdr:colOff>83820</xdr:colOff>
      <xdr:row>180</xdr:row>
      <xdr:rowOff>114300</xdr:rowOff>
    </xdr:to>
    <xdr:sp macro="" textlink="">
      <xdr:nvSpPr>
        <xdr:cNvPr id="1371" name="Arrow: Down 1370">
          <a:extLst>
            <a:ext uri="{FF2B5EF4-FFF2-40B4-BE49-F238E27FC236}">
              <a16:creationId xmlns:a16="http://schemas.microsoft.com/office/drawing/2014/main" id="{0C7DB04A-969E-41A4-AF1F-C9FE90DCC61F}"/>
            </a:ext>
          </a:extLst>
        </xdr:cNvPr>
        <xdr:cNvSpPr/>
      </xdr:nvSpPr>
      <xdr:spPr>
        <a:xfrm>
          <a:off x="361950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180</xdr:row>
      <xdr:rowOff>0</xdr:rowOff>
    </xdr:from>
    <xdr:to>
      <xdr:col>39</xdr:col>
      <xdr:colOff>83820</xdr:colOff>
      <xdr:row>180</xdr:row>
      <xdr:rowOff>114300</xdr:rowOff>
    </xdr:to>
    <xdr:sp macro="" textlink="">
      <xdr:nvSpPr>
        <xdr:cNvPr id="1374" name="Arrow: Down 1373">
          <a:extLst>
            <a:ext uri="{FF2B5EF4-FFF2-40B4-BE49-F238E27FC236}">
              <a16:creationId xmlns:a16="http://schemas.microsoft.com/office/drawing/2014/main" id="{94304846-5AA6-4C8E-8A26-E8C0A9764CE7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75" name="Arrow: Down 1374">
          <a:extLst>
            <a:ext uri="{FF2B5EF4-FFF2-40B4-BE49-F238E27FC236}">
              <a16:creationId xmlns:a16="http://schemas.microsoft.com/office/drawing/2014/main" id="{D227938A-97A1-4821-96CF-75AA3260AE7F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76" name="Arrow: Down 1375">
          <a:extLst>
            <a:ext uri="{FF2B5EF4-FFF2-40B4-BE49-F238E27FC236}">
              <a16:creationId xmlns:a16="http://schemas.microsoft.com/office/drawing/2014/main" id="{7D20DA28-8798-41D8-A9BB-109E0ADEC793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181</xdr:row>
      <xdr:rowOff>0</xdr:rowOff>
    </xdr:from>
    <xdr:to>
      <xdr:col>71</xdr:col>
      <xdr:colOff>83820</xdr:colOff>
      <xdr:row>181</xdr:row>
      <xdr:rowOff>114300</xdr:rowOff>
    </xdr:to>
    <xdr:sp macro="" textlink="">
      <xdr:nvSpPr>
        <xdr:cNvPr id="1380" name="Arrow: Down 1379">
          <a:extLst>
            <a:ext uri="{FF2B5EF4-FFF2-40B4-BE49-F238E27FC236}">
              <a16:creationId xmlns:a16="http://schemas.microsoft.com/office/drawing/2014/main" id="{6C0BD1F4-D865-41A4-8EF3-553463F58C65}"/>
            </a:ext>
          </a:extLst>
        </xdr:cNvPr>
        <xdr:cNvSpPr/>
      </xdr:nvSpPr>
      <xdr:spPr>
        <a:xfrm>
          <a:off x="1840992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181</xdr:row>
      <xdr:rowOff>0</xdr:rowOff>
    </xdr:from>
    <xdr:to>
      <xdr:col>45</xdr:col>
      <xdr:colOff>83820</xdr:colOff>
      <xdr:row>181</xdr:row>
      <xdr:rowOff>114300</xdr:rowOff>
    </xdr:to>
    <xdr:sp macro="" textlink="">
      <xdr:nvSpPr>
        <xdr:cNvPr id="1381" name="Arrow: Down 1380">
          <a:extLst>
            <a:ext uri="{FF2B5EF4-FFF2-40B4-BE49-F238E27FC236}">
              <a16:creationId xmlns:a16="http://schemas.microsoft.com/office/drawing/2014/main" id="{4194267B-06C7-4498-9C25-91AE9FCA241A}"/>
            </a:ext>
          </a:extLst>
        </xdr:cNvPr>
        <xdr:cNvSpPr/>
      </xdr:nvSpPr>
      <xdr:spPr>
        <a:xfrm rot="10800000">
          <a:off x="113309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181</xdr:row>
      <xdr:rowOff>0</xdr:rowOff>
    </xdr:from>
    <xdr:to>
      <xdr:col>39</xdr:col>
      <xdr:colOff>83820</xdr:colOff>
      <xdr:row>181</xdr:row>
      <xdr:rowOff>114300</xdr:rowOff>
    </xdr:to>
    <xdr:sp macro="" textlink="">
      <xdr:nvSpPr>
        <xdr:cNvPr id="1387" name="Arrow: Down 1386">
          <a:extLst>
            <a:ext uri="{FF2B5EF4-FFF2-40B4-BE49-F238E27FC236}">
              <a16:creationId xmlns:a16="http://schemas.microsoft.com/office/drawing/2014/main" id="{9024D6C1-A605-40B6-AFE8-732317B8CFB0}"/>
            </a:ext>
          </a:extLst>
        </xdr:cNvPr>
        <xdr:cNvSpPr/>
      </xdr:nvSpPr>
      <xdr:spPr>
        <a:xfrm rot="10800000">
          <a:off x="952500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181</xdr:row>
      <xdr:rowOff>0</xdr:rowOff>
    </xdr:from>
    <xdr:to>
      <xdr:col>24</xdr:col>
      <xdr:colOff>83820</xdr:colOff>
      <xdr:row>181</xdr:row>
      <xdr:rowOff>114300</xdr:rowOff>
    </xdr:to>
    <xdr:sp macro="" textlink="">
      <xdr:nvSpPr>
        <xdr:cNvPr id="1389" name="Arrow: Down 1388">
          <a:extLst>
            <a:ext uri="{FF2B5EF4-FFF2-40B4-BE49-F238E27FC236}">
              <a16:creationId xmlns:a16="http://schemas.microsoft.com/office/drawing/2014/main" id="{0018E46C-5FD8-45BB-9BA3-15F5F23118C8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181</xdr:row>
      <xdr:rowOff>0</xdr:rowOff>
    </xdr:from>
    <xdr:to>
      <xdr:col>11</xdr:col>
      <xdr:colOff>83820</xdr:colOff>
      <xdr:row>181</xdr:row>
      <xdr:rowOff>114300</xdr:rowOff>
    </xdr:to>
    <xdr:sp macro="" textlink="">
      <xdr:nvSpPr>
        <xdr:cNvPr id="1213" name="Arrow: Down 1212">
          <a:extLst>
            <a:ext uri="{FF2B5EF4-FFF2-40B4-BE49-F238E27FC236}">
              <a16:creationId xmlns:a16="http://schemas.microsoft.com/office/drawing/2014/main" id="{F198BB0D-AE11-43B8-8BB8-A493FC18D081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181</xdr:row>
      <xdr:rowOff>0</xdr:rowOff>
    </xdr:from>
    <xdr:to>
      <xdr:col>5</xdr:col>
      <xdr:colOff>83820</xdr:colOff>
      <xdr:row>181</xdr:row>
      <xdr:rowOff>114300</xdr:rowOff>
    </xdr:to>
    <xdr:sp macro="" textlink="">
      <xdr:nvSpPr>
        <xdr:cNvPr id="1222" name="Arrow: Down 1221">
          <a:extLst>
            <a:ext uri="{FF2B5EF4-FFF2-40B4-BE49-F238E27FC236}">
              <a16:creationId xmlns:a16="http://schemas.microsoft.com/office/drawing/2014/main" id="{DEDCDE00-8702-43D5-AB22-D060A8CC49A7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181</xdr:row>
      <xdr:rowOff>0</xdr:rowOff>
    </xdr:from>
    <xdr:to>
      <xdr:col>60</xdr:col>
      <xdr:colOff>83820</xdr:colOff>
      <xdr:row>181</xdr:row>
      <xdr:rowOff>114300</xdr:rowOff>
    </xdr:to>
    <xdr:sp macro="" textlink="">
      <xdr:nvSpPr>
        <xdr:cNvPr id="1224" name="Arrow: Down 1223">
          <a:extLst>
            <a:ext uri="{FF2B5EF4-FFF2-40B4-BE49-F238E27FC236}">
              <a16:creationId xmlns:a16="http://schemas.microsoft.com/office/drawing/2014/main" id="{1281001D-5060-4680-81FF-4E89CF48AD2C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5" name="Arrow: Down 1224">
          <a:extLst>
            <a:ext uri="{FF2B5EF4-FFF2-40B4-BE49-F238E27FC236}">
              <a16:creationId xmlns:a16="http://schemas.microsoft.com/office/drawing/2014/main" id="{5BB0EE02-E884-49EA-BEC4-49462ACD1B70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26" name="Arrow: Down 1225">
          <a:extLst>
            <a:ext uri="{FF2B5EF4-FFF2-40B4-BE49-F238E27FC236}">
              <a16:creationId xmlns:a16="http://schemas.microsoft.com/office/drawing/2014/main" id="{4B3F9918-4361-424D-ADDB-2D13129B6CF4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182</xdr:row>
      <xdr:rowOff>0</xdr:rowOff>
    </xdr:from>
    <xdr:to>
      <xdr:col>71</xdr:col>
      <xdr:colOff>83820</xdr:colOff>
      <xdr:row>182</xdr:row>
      <xdr:rowOff>114300</xdr:rowOff>
    </xdr:to>
    <xdr:sp macro="" textlink="">
      <xdr:nvSpPr>
        <xdr:cNvPr id="1228" name="Arrow: Down 1227">
          <a:extLst>
            <a:ext uri="{FF2B5EF4-FFF2-40B4-BE49-F238E27FC236}">
              <a16:creationId xmlns:a16="http://schemas.microsoft.com/office/drawing/2014/main" id="{A23105EC-AE4E-44DE-A7ED-815ECD7C26A3}"/>
            </a:ext>
          </a:extLst>
        </xdr:cNvPr>
        <xdr:cNvSpPr/>
      </xdr:nvSpPr>
      <xdr:spPr>
        <a:xfrm>
          <a:off x="1840992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182</xdr:row>
      <xdr:rowOff>0</xdr:rowOff>
    </xdr:from>
    <xdr:to>
      <xdr:col>45</xdr:col>
      <xdr:colOff>83820</xdr:colOff>
      <xdr:row>182</xdr:row>
      <xdr:rowOff>114300</xdr:rowOff>
    </xdr:to>
    <xdr:sp macro="" textlink="">
      <xdr:nvSpPr>
        <xdr:cNvPr id="1230" name="Arrow: Down 1229">
          <a:extLst>
            <a:ext uri="{FF2B5EF4-FFF2-40B4-BE49-F238E27FC236}">
              <a16:creationId xmlns:a16="http://schemas.microsoft.com/office/drawing/2014/main" id="{298218F5-FF64-45E8-8C5A-CBC664DFC709}"/>
            </a:ext>
          </a:extLst>
        </xdr:cNvPr>
        <xdr:cNvSpPr/>
      </xdr:nvSpPr>
      <xdr:spPr>
        <a:xfrm rot="10800000">
          <a:off x="1133094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182</xdr:row>
      <xdr:rowOff>0</xdr:rowOff>
    </xdr:from>
    <xdr:to>
      <xdr:col>39</xdr:col>
      <xdr:colOff>83820</xdr:colOff>
      <xdr:row>182</xdr:row>
      <xdr:rowOff>114300</xdr:rowOff>
    </xdr:to>
    <xdr:sp macro="" textlink="">
      <xdr:nvSpPr>
        <xdr:cNvPr id="1234" name="Arrow: Down 1233">
          <a:extLst>
            <a:ext uri="{FF2B5EF4-FFF2-40B4-BE49-F238E27FC236}">
              <a16:creationId xmlns:a16="http://schemas.microsoft.com/office/drawing/2014/main" id="{C5705C6E-399A-4C21-B3F2-837CA21DAE51}"/>
            </a:ext>
          </a:extLst>
        </xdr:cNvPr>
        <xdr:cNvSpPr/>
      </xdr:nvSpPr>
      <xdr:spPr>
        <a:xfrm rot="10800000">
          <a:off x="9525000" y="3320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182</xdr:row>
      <xdr:rowOff>0</xdr:rowOff>
    </xdr:from>
    <xdr:to>
      <xdr:col>24</xdr:col>
      <xdr:colOff>83820</xdr:colOff>
      <xdr:row>182</xdr:row>
      <xdr:rowOff>114300</xdr:rowOff>
    </xdr:to>
    <xdr:sp macro="" textlink="">
      <xdr:nvSpPr>
        <xdr:cNvPr id="1239" name="Arrow: Down 1238">
          <a:extLst>
            <a:ext uri="{FF2B5EF4-FFF2-40B4-BE49-F238E27FC236}">
              <a16:creationId xmlns:a16="http://schemas.microsoft.com/office/drawing/2014/main" id="{1E3CD1A1-FA5A-4982-A3D9-50FE18FBC262}"/>
            </a:ext>
          </a:extLst>
        </xdr:cNvPr>
        <xdr:cNvSpPr/>
      </xdr:nvSpPr>
      <xdr:spPr>
        <a:xfrm rot="10800000">
          <a:off x="63627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182</xdr:row>
      <xdr:rowOff>0</xdr:rowOff>
    </xdr:from>
    <xdr:to>
      <xdr:col>11</xdr:col>
      <xdr:colOff>83820</xdr:colOff>
      <xdr:row>182</xdr:row>
      <xdr:rowOff>114300</xdr:rowOff>
    </xdr:to>
    <xdr:sp macro="" textlink="">
      <xdr:nvSpPr>
        <xdr:cNvPr id="1240" name="Arrow: Down 1239">
          <a:extLst>
            <a:ext uri="{FF2B5EF4-FFF2-40B4-BE49-F238E27FC236}">
              <a16:creationId xmlns:a16="http://schemas.microsoft.com/office/drawing/2014/main" id="{54C21806-F3CF-4E14-A9C3-4460DA92B454}"/>
            </a:ext>
          </a:extLst>
        </xdr:cNvPr>
        <xdr:cNvSpPr/>
      </xdr:nvSpPr>
      <xdr:spPr>
        <a:xfrm rot="10800000">
          <a:off x="361950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182</xdr:row>
      <xdr:rowOff>0</xdr:rowOff>
    </xdr:from>
    <xdr:to>
      <xdr:col>5</xdr:col>
      <xdr:colOff>83820</xdr:colOff>
      <xdr:row>182</xdr:row>
      <xdr:rowOff>114300</xdr:rowOff>
    </xdr:to>
    <xdr:sp macro="" textlink="">
      <xdr:nvSpPr>
        <xdr:cNvPr id="1241" name="Arrow: Down 1240">
          <a:extLst>
            <a:ext uri="{FF2B5EF4-FFF2-40B4-BE49-F238E27FC236}">
              <a16:creationId xmlns:a16="http://schemas.microsoft.com/office/drawing/2014/main" id="{58345699-9ECB-4E53-B699-E27699E1B5F8}"/>
            </a:ext>
          </a:extLst>
        </xdr:cNvPr>
        <xdr:cNvSpPr/>
      </xdr:nvSpPr>
      <xdr:spPr>
        <a:xfrm rot="10800000">
          <a:off x="192786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182</xdr:row>
      <xdr:rowOff>0</xdr:rowOff>
    </xdr:from>
    <xdr:to>
      <xdr:col>60</xdr:col>
      <xdr:colOff>83820</xdr:colOff>
      <xdr:row>182</xdr:row>
      <xdr:rowOff>114300</xdr:rowOff>
    </xdr:to>
    <xdr:sp macro="" textlink="">
      <xdr:nvSpPr>
        <xdr:cNvPr id="1245" name="Arrow: Down 1244">
          <a:extLst>
            <a:ext uri="{FF2B5EF4-FFF2-40B4-BE49-F238E27FC236}">
              <a16:creationId xmlns:a16="http://schemas.microsoft.com/office/drawing/2014/main" id="{F9602CE5-2A4B-40B7-AEB0-662FF9A8E322}"/>
            </a:ext>
          </a:extLst>
        </xdr:cNvPr>
        <xdr:cNvSpPr/>
      </xdr:nvSpPr>
      <xdr:spPr>
        <a:xfrm rot="10800000">
          <a:off x="16093440" y="3320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183</xdr:row>
      <xdr:rowOff>0</xdr:rowOff>
    </xdr:from>
    <xdr:to>
      <xdr:col>11</xdr:col>
      <xdr:colOff>83820</xdr:colOff>
      <xdr:row>183</xdr:row>
      <xdr:rowOff>114300</xdr:rowOff>
    </xdr:to>
    <xdr:sp macro="" textlink="">
      <xdr:nvSpPr>
        <xdr:cNvPr id="1248" name="Arrow: Down 1247">
          <a:extLst>
            <a:ext uri="{FF2B5EF4-FFF2-40B4-BE49-F238E27FC236}">
              <a16:creationId xmlns:a16="http://schemas.microsoft.com/office/drawing/2014/main" id="{18FAE01B-BFF7-4EA0-9AC4-EFD9AFD62DD0}"/>
            </a:ext>
          </a:extLst>
        </xdr:cNvPr>
        <xdr:cNvSpPr/>
      </xdr:nvSpPr>
      <xdr:spPr>
        <a:xfrm rot="10800000">
          <a:off x="361950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183</xdr:row>
      <xdr:rowOff>0</xdr:rowOff>
    </xdr:from>
    <xdr:to>
      <xdr:col>5</xdr:col>
      <xdr:colOff>83820</xdr:colOff>
      <xdr:row>183</xdr:row>
      <xdr:rowOff>114300</xdr:rowOff>
    </xdr:to>
    <xdr:sp macro="" textlink="">
      <xdr:nvSpPr>
        <xdr:cNvPr id="1249" name="Arrow: Down 1248">
          <a:extLst>
            <a:ext uri="{FF2B5EF4-FFF2-40B4-BE49-F238E27FC236}">
              <a16:creationId xmlns:a16="http://schemas.microsoft.com/office/drawing/2014/main" id="{6FE8B25E-2C8A-4CD2-B24C-5E7205EFD775}"/>
            </a:ext>
          </a:extLst>
        </xdr:cNvPr>
        <xdr:cNvSpPr/>
      </xdr:nvSpPr>
      <xdr:spPr>
        <a:xfrm rot="10800000">
          <a:off x="1927860" y="3338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5" name="Arrow: Down 1264">
          <a:extLst>
            <a:ext uri="{FF2B5EF4-FFF2-40B4-BE49-F238E27FC236}">
              <a16:creationId xmlns:a16="http://schemas.microsoft.com/office/drawing/2014/main" id="{2B51D3DD-4DDF-4AB7-9515-3A6F4E5F77C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6" name="Arrow: Down 1265">
          <a:extLst>
            <a:ext uri="{FF2B5EF4-FFF2-40B4-BE49-F238E27FC236}">
              <a16:creationId xmlns:a16="http://schemas.microsoft.com/office/drawing/2014/main" id="{6F6C53FB-92A2-435E-A8A7-DDE6AAA896EE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183</xdr:row>
      <xdr:rowOff>0</xdr:rowOff>
    </xdr:from>
    <xdr:to>
      <xdr:col>71</xdr:col>
      <xdr:colOff>83820</xdr:colOff>
      <xdr:row>183</xdr:row>
      <xdr:rowOff>114300</xdr:rowOff>
    </xdr:to>
    <xdr:sp macro="" textlink="">
      <xdr:nvSpPr>
        <xdr:cNvPr id="1267" name="Arrow: Down 1266">
          <a:extLst>
            <a:ext uri="{FF2B5EF4-FFF2-40B4-BE49-F238E27FC236}">
              <a16:creationId xmlns:a16="http://schemas.microsoft.com/office/drawing/2014/main" id="{82B5998C-1EA2-4F16-92CB-65A8E4814A51}"/>
            </a:ext>
          </a:extLst>
        </xdr:cNvPr>
        <xdr:cNvSpPr/>
      </xdr:nvSpPr>
      <xdr:spPr>
        <a:xfrm>
          <a:off x="1840992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183</xdr:row>
      <xdr:rowOff>0</xdr:rowOff>
    </xdr:from>
    <xdr:to>
      <xdr:col>45</xdr:col>
      <xdr:colOff>83820</xdr:colOff>
      <xdr:row>183</xdr:row>
      <xdr:rowOff>114300</xdr:rowOff>
    </xdr:to>
    <xdr:sp macro="" textlink="">
      <xdr:nvSpPr>
        <xdr:cNvPr id="1268" name="Arrow: Down 1267">
          <a:extLst>
            <a:ext uri="{FF2B5EF4-FFF2-40B4-BE49-F238E27FC236}">
              <a16:creationId xmlns:a16="http://schemas.microsoft.com/office/drawing/2014/main" id="{8F756252-963B-4D50-9298-389888E163B4}"/>
            </a:ext>
          </a:extLst>
        </xdr:cNvPr>
        <xdr:cNvSpPr/>
      </xdr:nvSpPr>
      <xdr:spPr>
        <a:xfrm rot="10800000">
          <a:off x="11330940" y="3338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183</xdr:row>
      <xdr:rowOff>0</xdr:rowOff>
    </xdr:from>
    <xdr:to>
      <xdr:col>60</xdr:col>
      <xdr:colOff>83820</xdr:colOff>
      <xdr:row>183</xdr:row>
      <xdr:rowOff>114300</xdr:rowOff>
    </xdr:to>
    <xdr:sp macro="" textlink="">
      <xdr:nvSpPr>
        <xdr:cNvPr id="1291" name="Arrow: Down 1290">
          <a:extLst>
            <a:ext uri="{FF2B5EF4-FFF2-40B4-BE49-F238E27FC236}">
              <a16:creationId xmlns:a16="http://schemas.microsoft.com/office/drawing/2014/main" id="{4590A6E6-BA82-4B8A-B1AC-C888DD2999BE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177</xdr:row>
      <xdr:rowOff>0</xdr:rowOff>
    </xdr:from>
    <xdr:to>
      <xdr:col>60</xdr:col>
      <xdr:colOff>83820</xdr:colOff>
      <xdr:row>177</xdr:row>
      <xdr:rowOff>114300</xdr:rowOff>
    </xdr:to>
    <xdr:sp macro="" textlink="">
      <xdr:nvSpPr>
        <xdr:cNvPr id="1293" name="Arrow: Down 1292">
          <a:extLst>
            <a:ext uri="{FF2B5EF4-FFF2-40B4-BE49-F238E27FC236}">
              <a16:creationId xmlns:a16="http://schemas.microsoft.com/office/drawing/2014/main" id="{ECE9B72A-4658-417F-BC43-3A966AA97CAB}"/>
            </a:ext>
          </a:extLst>
        </xdr:cNvPr>
        <xdr:cNvSpPr/>
      </xdr:nvSpPr>
      <xdr:spPr>
        <a:xfrm>
          <a:off x="16093440" y="3246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180</xdr:row>
      <xdr:rowOff>0</xdr:rowOff>
    </xdr:from>
    <xdr:to>
      <xdr:col>60</xdr:col>
      <xdr:colOff>83820</xdr:colOff>
      <xdr:row>180</xdr:row>
      <xdr:rowOff>114300</xdr:rowOff>
    </xdr:to>
    <xdr:sp macro="" textlink="">
      <xdr:nvSpPr>
        <xdr:cNvPr id="1296" name="Arrow: Down 1295">
          <a:extLst>
            <a:ext uri="{FF2B5EF4-FFF2-40B4-BE49-F238E27FC236}">
              <a16:creationId xmlns:a16="http://schemas.microsoft.com/office/drawing/2014/main" id="{8F8B2D7E-EC51-4086-B742-7A02C4C91C44}"/>
            </a:ext>
          </a:extLst>
        </xdr:cNvPr>
        <xdr:cNvSpPr/>
      </xdr:nvSpPr>
      <xdr:spPr>
        <a:xfrm>
          <a:off x="16093440" y="3301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179</xdr:row>
      <xdr:rowOff>0</xdr:rowOff>
    </xdr:from>
    <xdr:to>
      <xdr:col>60</xdr:col>
      <xdr:colOff>83820</xdr:colOff>
      <xdr:row>179</xdr:row>
      <xdr:rowOff>114300</xdr:rowOff>
    </xdr:to>
    <xdr:sp macro="" textlink="">
      <xdr:nvSpPr>
        <xdr:cNvPr id="1300" name="Arrow: Down 1299">
          <a:extLst>
            <a:ext uri="{FF2B5EF4-FFF2-40B4-BE49-F238E27FC236}">
              <a16:creationId xmlns:a16="http://schemas.microsoft.com/office/drawing/2014/main" id="{0DEB24B9-219D-43F2-B65B-5E527942BB9B}"/>
            </a:ext>
          </a:extLst>
        </xdr:cNvPr>
        <xdr:cNvSpPr/>
      </xdr:nvSpPr>
      <xdr:spPr>
        <a:xfrm>
          <a:off x="16093440" y="3283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178</xdr:row>
      <xdr:rowOff>0</xdr:rowOff>
    </xdr:from>
    <xdr:to>
      <xdr:col>60</xdr:col>
      <xdr:colOff>83820</xdr:colOff>
      <xdr:row>178</xdr:row>
      <xdr:rowOff>114300</xdr:rowOff>
    </xdr:to>
    <xdr:sp macro="" textlink="">
      <xdr:nvSpPr>
        <xdr:cNvPr id="1306" name="Arrow: Down 1305">
          <a:extLst>
            <a:ext uri="{FF2B5EF4-FFF2-40B4-BE49-F238E27FC236}">
              <a16:creationId xmlns:a16="http://schemas.microsoft.com/office/drawing/2014/main" id="{2E962AAB-E4A5-4CBF-891D-00F02E74CD6D}"/>
            </a:ext>
          </a:extLst>
        </xdr:cNvPr>
        <xdr:cNvSpPr/>
      </xdr:nvSpPr>
      <xdr:spPr>
        <a:xfrm>
          <a:off x="16093440" y="3265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183</xdr:row>
      <xdr:rowOff>0</xdr:rowOff>
    </xdr:from>
    <xdr:to>
      <xdr:col>39</xdr:col>
      <xdr:colOff>83820</xdr:colOff>
      <xdr:row>183</xdr:row>
      <xdr:rowOff>114300</xdr:rowOff>
    </xdr:to>
    <xdr:sp macro="" textlink="">
      <xdr:nvSpPr>
        <xdr:cNvPr id="1307" name="Arrow: Down 1306">
          <a:extLst>
            <a:ext uri="{FF2B5EF4-FFF2-40B4-BE49-F238E27FC236}">
              <a16:creationId xmlns:a16="http://schemas.microsoft.com/office/drawing/2014/main" id="{96CD3228-35F1-439C-B22F-7D9D92E4C2B3}"/>
            </a:ext>
          </a:extLst>
        </xdr:cNvPr>
        <xdr:cNvSpPr/>
      </xdr:nvSpPr>
      <xdr:spPr>
        <a:xfrm>
          <a:off x="95250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183</xdr:row>
      <xdr:rowOff>0</xdr:rowOff>
    </xdr:from>
    <xdr:to>
      <xdr:col>24</xdr:col>
      <xdr:colOff>83820</xdr:colOff>
      <xdr:row>183</xdr:row>
      <xdr:rowOff>114300</xdr:rowOff>
    </xdr:to>
    <xdr:sp macro="" textlink="">
      <xdr:nvSpPr>
        <xdr:cNvPr id="1310" name="Arrow: Down 1309">
          <a:extLst>
            <a:ext uri="{FF2B5EF4-FFF2-40B4-BE49-F238E27FC236}">
              <a16:creationId xmlns:a16="http://schemas.microsoft.com/office/drawing/2014/main" id="{73A259B0-3FDD-4431-BAC0-22B4FD196CD2}"/>
            </a:ext>
          </a:extLst>
        </xdr:cNvPr>
        <xdr:cNvSpPr/>
      </xdr:nvSpPr>
      <xdr:spPr>
        <a:xfrm>
          <a:off x="636270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184</xdr:row>
      <xdr:rowOff>0</xdr:rowOff>
    </xdr:from>
    <xdr:to>
      <xdr:col>11</xdr:col>
      <xdr:colOff>83820</xdr:colOff>
      <xdr:row>184</xdr:row>
      <xdr:rowOff>114300</xdr:rowOff>
    </xdr:to>
    <xdr:sp macro="" textlink="">
      <xdr:nvSpPr>
        <xdr:cNvPr id="1324" name="Arrow: Down 1323">
          <a:extLst>
            <a:ext uri="{FF2B5EF4-FFF2-40B4-BE49-F238E27FC236}">
              <a16:creationId xmlns:a16="http://schemas.microsoft.com/office/drawing/2014/main" id="{4E91505E-FD0F-4DCD-8812-157547304857}"/>
            </a:ext>
          </a:extLst>
        </xdr:cNvPr>
        <xdr:cNvSpPr/>
      </xdr:nvSpPr>
      <xdr:spPr>
        <a:xfrm rot="10800000">
          <a:off x="361950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184</xdr:row>
      <xdr:rowOff>0</xdr:rowOff>
    </xdr:from>
    <xdr:to>
      <xdr:col>5</xdr:col>
      <xdr:colOff>83820</xdr:colOff>
      <xdr:row>184</xdr:row>
      <xdr:rowOff>114300</xdr:rowOff>
    </xdr:to>
    <xdr:sp macro="" textlink="">
      <xdr:nvSpPr>
        <xdr:cNvPr id="1325" name="Arrow: Down 1324">
          <a:extLst>
            <a:ext uri="{FF2B5EF4-FFF2-40B4-BE49-F238E27FC236}">
              <a16:creationId xmlns:a16="http://schemas.microsoft.com/office/drawing/2014/main" id="{9F481CB9-0391-4C06-AFEC-8277390C09FD}"/>
            </a:ext>
          </a:extLst>
        </xdr:cNvPr>
        <xdr:cNvSpPr/>
      </xdr:nvSpPr>
      <xdr:spPr>
        <a:xfrm rot="10800000">
          <a:off x="1927860" y="3356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0" name="Arrow: Down 1329">
          <a:extLst>
            <a:ext uri="{FF2B5EF4-FFF2-40B4-BE49-F238E27FC236}">
              <a16:creationId xmlns:a16="http://schemas.microsoft.com/office/drawing/2014/main" id="{1F484FCD-CEE5-448E-AD98-B5478B5B13C2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1" name="Arrow: Down 1330">
          <a:extLst>
            <a:ext uri="{FF2B5EF4-FFF2-40B4-BE49-F238E27FC236}">
              <a16:creationId xmlns:a16="http://schemas.microsoft.com/office/drawing/2014/main" id="{EADB781E-5D4A-4299-AC3E-2A2858C44D3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184</xdr:row>
      <xdr:rowOff>0</xdr:rowOff>
    </xdr:from>
    <xdr:to>
      <xdr:col>71</xdr:col>
      <xdr:colOff>83820</xdr:colOff>
      <xdr:row>184</xdr:row>
      <xdr:rowOff>114300</xdr:rowOff>
    </xdr:to>
    <xdr:sp macro="" textlink="">
      <xdr:nvSpPr>
        <xdr:cNvPr id="1334" name="Arrow: Down 1333">
          <a:extLst>
            <a:ext uri="{FF2B5EF4-FFF2-40B4-BE49-F238E27FC236}">
              <a16:creationId xmlns:a16="http://schemas.microsoft.com/office/drawing/2014/main" id="{199F933D-01A7-4244-AFBA-7AE276A7C8F4}"/>
            </a:ext>
          </a:extLst>
        </xdr:cNvPr>
        <xdr:cNvSpPr/>
      </xdr:nvSpPr>
      <xdr:spPr>
        <a:xfrm>
          <a:off x="1840992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184</xdr:row>
      <xdr:rowOff>0</xdr:rowOff>
    </xdr:from>
    <xdr:to>
      <xdr:col>45</xdr:col>
      <xdr:colOff>83820</xdr:colOff>
      <xdr:row>184</xdr:row>
      <xdr:rowOff>114300</xdr:rowOff>
    </xdr:to>
    <xdr:sp macro="" textlink="">
      <xdr:nvSpPr>
        <xdr:cNvPr id="1335" name="Arrow: Down 1334">
          <a:extLst>
            <a:ext uri="{FF2B5EF4-FFF2-40B4-BE49-F238E27FC236}">
              <a16:creationId xmlns:a16="http://schemas.microsoft.com/office/drawing/2014/main" id="{5604F4D9-6B1C-4F7A-90B6-2DC1AB88FF08}"/>
            </a:ext>
          </a:extLst>
        </xdr:cNvPr>
        <xdr:cNvSpPr/>
      </xdr:nvSpPr>
      <xdr:spPr>
        <a:xfrm rot="10800000">
          <a:off x="113309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184</xdr:row>
      <xdr:rowOff>0</xdr:rowOff>
    </xdr:from>
    <xdr:to>
      <xdr:col>60</xdr:col>
      <xdr:colOff>83820</xdr:colOff>
      <xdr:row>184</xdr:row>
      <xdr:rowOff>114300</xdr:rowOff>
    </xdr:to>
    <xdr:sp macro="" textlink="">
      <xdr:nvSpPr>
        <xdr:cNvPr id="1341" name="Arrow: Down 1340">
          <a:extLst>
            <a:ext uri="{FF2B5EF4-FFF2-40B4-BE49-F238E27FC236}">
              <a16:creationId xmlns:a16="http://schemas.microsoft.com/office/drawing/2014/main" id="{7C2C11A6-246D-4F0F-8DBB-4155E744FE10}"/>
            </a:ext>
          </a:extLst>
        </xdr:cNvPr>
        <xdr:cNvSpPr/>
      </xdr:nvSpPr>
      <xdr:spPr>
        <a:xfrm>
          <a:off x="16093440" y="3356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184</xdr:row>
      <xdr:rowOff>0</xdr:rowOff>
    </xdr:from>
    <xdr:to>
      <xdr:col>24</xdr:col>
      <xdr:colOff>83820</xdr:colOff>
      <xdr:row>184</xdr:row>
      <xdr:rowOff>114300</xdr:rowOff>
    </xdr:to>
    <xdr:sp macro="" textlink="">
      <xdr:nvSpPr>
        <xdr:cNvPr id="1351" name="Arrow: Down 1350">
          <a:extLst>
            <a:ext uri="{FF2B5EF4-FFF2-40B4-BE49-F238E27FC236}">
              <a16:creationId xmlns:a16="http://schemas.microsoft.com/office/drawing/2014/main" id="{5BFA8D22-6A1A-4180-A816-4A709360AE48}"/>
            </a:ext>
          </a:extLst>
        </xdr:cNvPr>
        <xdr:cNvSpPr/>
      </xdr:nvSpPr>
      <xdr:spPr>
        <a:xfrm rot="10800000">
          <a:off x="6362700" y="3374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184</xdr:row>
      <xdr:rowOff>0</xdr:rowOff>
    </xdr:from>
    <xdr:to>
      <xdr:col>39</xdr:col>
      <xdr:colOff>83820</xdr:colOff>
      <xdr:row>184</xdr:row>
      <xdr:rowOff>114300</xdr:rowOff>
    </xdr:to>
    <xdr:sp macro="" textlink="">
      <xdr:nvSpPr>
        <xdr:cNvPr id="1356" name="Arrow: Down 1355">
          <a:extLst>
            <a:ext uri="{FF2B5EF4-FFF2-40B4-BE49-F238E27FC236}">
              <a16:creationId xmlns:a16="http://schemas.microsoft.com/office/drawing/2014/main" id="{E31B96A6-FC51-4407-BCDD-A3DE3292F866}"/>
            </a:ext>
          </a:extLst>
        </xdr:cNvPr>
        <xdr:cNvSpPr/>
      </xdr:nvSpPr>
      <xdr:spPr>
        <a:xfrm rot="10800000">
          <a:off x="952500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0" name="Arrow: Down 1419">
          <a:extLst>
            <a:ext uri="{FF2B5EF4-FFF2-40B4-BE49-F238E27FC236}">
              <a16:creationId xmlns:a16="http://schemas.microsoft.com/office/drawing/2014/main" id="{F7FA0156-628E-43EC-BE62-A1E8C3C0A5D1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1" name="Arrow: Down 1420">
          <a:extLst>
            <a:ext uri="{FF2B5EF4-FFF2-40B4-BE49-F238E27FC236}">
              <a16:creationId xmlns:a16="http://schemas.microsoft.com/office/drawing/2014/main" id="{9B8F2210-BB00-4FFA-BFB4-AB50E1AB3EFA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185</xdr:row>
      <xdr:rowOff>0</xdr:rowOff>
    </xdr:from>
    <xdr:to>
      <xdr:col>71</xdr:col>
      <xdr:colOff>83820</xdr:colOff>
      <xdr:row>185</xdr:row>
      <xdr:rowOff>114300</xdr:rowOff>
    </xdr:to>
    <xdr:sp macro="" textlink="">
      <xdr:nvSpPr>
        <xdr:cNvPr id="1422" name="Arrow: Down 1421">
          <a:extLst>
            <a:ext uri="{FF2B5EF4-FFF2-40B4-BE49-F238E27FC236}">
              <a16:creationId xmlns:a16="http://schemas.microsoft.com/office/drawing/2014/main" id="{DC600B31-9F7C-4A29-BF47-CD2F3CF00A4C}"/>
            </a:ext>
          </a:extLst>
        </xdr:cNvPr>
        <xdr:cNvSpPr/>
      </xdr:nvSpPr>
      <xdr:spPr>
        <a:xfrm>
          <a:off x="1840992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185</xdr:row>
      <xdr:rowOff>0</xdr:rowOff>
    </xdr:from>
    <xdr:to>
      <xdr:col>45</xdr:col>
      <xdr:colOff>83820</xdr:colOff>
      <xdr:row>185</xdr:row>
      <xdr:rowOff>114300</xdr:rowOff>
    </xdr:to>
    <xdr:sp macro="" textlink="">
      <xdr:nvSpPr>
        <xdr:cNvPr id="1423" name="Arrow: Down 1422">
          <a:extLst>
            <a:ext uri="{FF2B5EF4-FFF2-40B4-BE49-F238E27FC236}">
              <a16:creationId xmlns:a16="http://schemas.microsoft.com/office/drawing/2014/main" id="{53445DC6-1885-43B9-BAC1-76337F18B4EE}"/>
            </a:ext>
          </a:extLst>
        </xdr:cNvPr>
        <xdr:cNvSpPr/>
      </xdr:nvSpPr>
      <xdr:spPr>
        <a:xfrm rot="10800000">
          <a:off x="113309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185</xdr:row>
      <xdr:rowOff>0</xdr:rowOff>
    </xdr:from>
    <xdr:to>
      <xdr:col>60</xdr:col>
      <xdr:colOff>83820</xdr:colOff>
      <xdr:row>185</xdr:row>
      <xdr:rowOff>114300</xdr:rowOff>
    </xdr:to>
    <xdr:sp macro="" textlink="">
      <xdr:nvSpPr>
        <xdr:cNvPr id="1426" name="Arrow: Down 1425">
          <a:extLst>
            <a:ext uri="{FF2B5EF4-FFF2-40B4-BE49-F238E27FC236}">
              <a16:creationId xmlns:a16="http://schemas.microsoft.com/office/drawing/2014/main" id="{89450ABA-7AD3-416B-B9D5-05B08597C197}"/>
            </a:ext>
          </a:extLst>
        </xdr:cNvPr>
        <xdr:cNvSpPr/>
      </xdr:nvSpPr>
      <xdr:spPr>
        <a:xfrm>
          <a:off x="16093440" y="3374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185</xdr:row>
      <xdr:rowOff>0</xdr:rowOff>
    </xdr:from>
    <xdr:to>
      <xdr:col>39</xdr:col>
      <xdr:colOff>83820</xdr:colOff>
      <xdr:row>185</xdr:row>
      <xdr:rowOff>114300</xdr:rowOff>
    </xdr:to>
    <xdr:sp macro="" textlink="">
      <xdr:nvSpPr>
        <xdr:cNvPr id="1429" name="Arrow: Down 1428">
          <a:extLst>
            <a:ext uri="{FF2B5EF4-FFF2-40B4-BE49-F238E27FC236}">
              <a16:creationId xmlns:a16="http://schemas.microsoft.com/office/drawing/2014/main" id="{780317CE-1880-4F97-A836-7EC10BC4DAD4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185</xdr:row>
      <xdr:rowOff>0</xdr:rowOff>
    </xdr:from>
    <xdr:to>
      <xdr:col>5</xdr:col>
      <xdr:colOff>83820</xdr:colOff>
      <xdr:row>185</xdr:row>
      <xdr:rowOff>114300</xdr:rowOff>
    </xdr:to>
    <xdr:sp macro="" textlink="">
      <xdr:nvSpPr>
        <xdr:cNvPr id="1430" name="Arrow: Down 1429">
          <a:extLst>
            <a:ext uri="{FF2B5EF4-FFF2-40B4-BE49-F238E27FC236}">
              <a16:creationId xmlns:a16="http://schemas.microsoft.com/office/drawing/2014/main" id="{087ECDE7-DBBE-46BF-996A-CF6111DD3E09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185</xdr:row>
      <xdr:rowOff>0</xdr:rowOff>
    </xdr:from>
    <xdr:to>
      <xdr:col>11</xdr:col>
      <xdr:colOff>83820</xdr:colOff>
      <xdr:row>185</xdr:row>
      <xdr:rowOff>114300</xdr:rowOff>
    </xdr:to>
    <xdr:sp macro="" textlink="">
      <xdr:nvSpPr>
        <xdr:cNvPr id="1431" name="Arrow: Down 1430">
          <a:extLst>
            <a:ext uri="{FF2B5EF4-FFF2-40B4-BE49-F238E27FC236}">
              <a16:creationId xmlns:a16="http://schemas.microsoft.com/office/drawing/2014/main" id="{12DE6EA4-2BAA-4865-A795-661A1D27CEB8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185</xdr:row>
      <xdr:rowOff>0</xdr:rowOff>
    </xdr:from>
    <xdr:to>
      <xdr:col>24</xdr:col>
      <xdr:colOff>83820</xdr:colOff>
      <xdr:row>185</xdr:row>
      <xdr:rowOff>114300</xdr:rowOff>
    </xdr:to>
    <xdr:sp macro="" textlink="">
      <xdr:nvSpPr>
        <xdr:cNvPr id="1433" name="Arrow: Down 1432">
          <a:extLst>
            <a:ext uri="{FF2B5EF4-FFF2-40B4-BE49-F238E27FC236}">
              <a16:creationId xmlns:a16="http://schemas.microsoft.com/office/drawing/2014/main" id="{3FF8E31C-CB06-499A-B725-B532AC3E4B6B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4" name="Arrow: Down 1433">
          <a:extLst>
            <a:ext uri="{FF2B5EF4-FFF2-40B4-BE49-F238E27FC236}">
              <a16:creationId xmlns:a16="http://schemas.microsoft.com/office/drawing/2014/main" id="{EF8BF3BE-C5D7-45BF-93F6-BF97726A9307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5" name="Arrow: Down 1434">
          <a:extLst>
            <a:ext uri="{FF2B5EF4-FFF2-40B4-BE49-F238E27FC236}">
              <a16:creationId xmlns:a16="http://schemas.microsoft.com/office/drawing/2014/main" id="{11ACFFF9-6FC9-43B1-B30A-4E3393EEFD79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186</xdr:row>
      <xdr:rowOff>0</xdr:rowOff>
    </xdr:from>
    <xdr:to>
      <xdr:col>5</xdr:col>
      <xdr:colOff>83820</xdr:colOff>
      <xdr:row>186</xdr:row>
      <xdr:rowOff>114300</xdr:rowOff>
    </xdr:to>
    <xdr:sp macro="" textlink="">
      <xdr:nvSpPr>
        <xdr:cNvPr id="1438" name="Arrow: Down 1437">
          <a:extLst>
            <a:ext uri="{FF2B5EF4-FFF2-40B4-BE49-F238E27FC236}">
              <a16:creationId xmlns:a16="http://schemas.microsoft.com/office/drawing/2014/main" id="{AC4910B3-5780-4078-BE7C-4E471EEE6938}"/>
            </a:ext>
          </a:extLst>
        </xdr:cNvPr>
        <xdr:cNvSpPr/>
      </xdr:nvSpPr>
      <xdr:spPr>
        <a:xfrm>
          <a:off x="192786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186</xdr:row>
      <xdr:rowOff>0</xdr:rowOff>
    </xdr:from>
    <xdr:to>
      <xdr:col>11</xdr:col>
      <xdr:colOff>83820</xdr:colOff>
      <xdr:row>186</xdr:row>
      <xdr:rowOff>114300</xdr:rowOff>
    </xdr:to>
    <xdr:sp macro="" textlink="">
      <xdr:nvSpPr>
        <xdr:cNvPr id="1439" name="Arrow: Down 1438">
          <a:extLst>
            <a:ext uri="{FF2B5EF4-FFF2-40B4-BE49-F238E27FC236}">
              <a16:creationId xmlns:a16="http://schemas.microsoft.com/office/drawing/2014/main" id="{3D9E194B-4A0E-4F58-B416-B740600D9ACD}"/>
            </a:ext>
          </a:extLst>
        </xdr:cNvPr>
        <xdr:cNvSpPr/>
      </xdr:nvSpPr>
      <xdr:spPr>
        <a:xfrm>
          <a:off x="36195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0" name="Arrow: Down 1439">
          <a:extLst>
            <a:ext uri="{FF2B5EF4-FFF2-40B4-BE49-F238E27FC236}">
              <a16:creationId xmlns:a16="http://schemas.microsoft.com/office/drawing/2014/main" id="{95B025A5-8AD3-44CA-80D3-6DCBEE8842CE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1" name="Arrow: Down 1440">
          <a:extLst>
            <a:ext uri="{FF2B5EF4-FFF2-40B4-BE49-F238E27FC236}">
              <a16:creationId xmlns:a16="http://schemas.microsoft.com/office/drawing/2014/main" id="{6DD311F1-F698-4B03-AD47-0C29825F16DC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186</xdr:row>
      <xdr:rowOff>0</xdr:rowOff>
    </xdr:from>
    <xdr:to>
      <xdr:col>71</xdr:col>
      <xdr:colOff>83820</xdr:colOff>
      <xdr:row>186</xdr:row>
      <xdr:rowOff>114300</xdr:rowOff>
    </xdr:to>
    <xdr:sp macro="" textlink="">
      <xdr:nvSpPr>
        <xdr:cNvPr id="1442" name="Arrow: Down 1441">
          <a:extLst>
            <a:ext uri="{FF2B5EF4-FFF2-40B4-BE49-F238E27FC236}">
              <a16:creationId xmlns:a16="http://schemas.microsoft.com/office/drawing/2014/main" id="{11176638-CCCD-4D0C-9A2D-A9183DF4B500}"/>
            </a:ext>
          </a:extLst>
        </xdr:cNvPr>
        <xdr:cNvSpPr/>
      </xdr:nvSpPr>
      <xdr:spPr>
        <a:xfrm>
          <a:off x="1840992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186</xdr:row>
      <xdr:rowOff>0</xdr:rowOff>
    </xdr:from>
    <xdr:to>
      <xdr:col>45</xdr:col>
      <xdr:colOff>83820</xdr:colOff>
      <xdr:row>186</xdr:row>
      <xdr:rowOff>114300</xdr:rowOff>
    </xdr:to>
    <xdr:sp macro="" textlink="">
      <xdr:nvSpPr>
        <xdr:cNvPr id="1443" name="Arrow: Down 1442">
          <a:extLst>
            <a:ext uri="{FF2B5EF4-FFF2-40B4-BE49-F238E27FC236}">
              <a16:creationId xmlns:a16="http://schemas.microsoft.com/office/drawing/2014/main" id="{4D8A5A68-EFE0-45A8-9450-60779CDC76F8}"/>
            </a:ext>
          </a:extLst>
        </xdr:cNvPr>
        <xdr:cNvSpPr/>
      </xdr:nvSpPr>
      <xdr:spPr>
        <a:xfrm rot="10800000">
          <a:off x="113309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186</xdr:row>
      <xdr:rowOff>0</xdr:rowOff>
    </xdr:from>
    <xdr:to>
      <xdr:col>60</xdr:col>
      <xdr:colOff>83820</xdr:colOff>
      <xdr:row>186</xdr:row>
      <xdr:rowOff>114300</xdr:rowOff>
    </xdr:to>
    <xdr:sp macro="" textlink="">
      <xdr:nvSpPr>
        <xdr:cNvPr id="1444" name="Arrow: Down 1443">
          <a:extLst>
            <a:ext uri="{FF2B5EF4-FFF2-40B4-BE49-F238E27FC236}">
              <a16:creationId xmlns:a16="http://schemas.microsoft.com/office/drawing/2014/main" id="{88673488-B06C-43F0-B136-447848E469CA}"/>
            </a:ext>
          </a:extLst>
        </xdr:cNvPr>
        <xdr:cNvSpPr/>
      </xdr:nvSpPr>
      <xdr:spPr>
        <a:xfrm>
          <a:off x="1609344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186</xdr:row>
      <xdr:rowOff>0</xdr:rowOff>
    </xdr:from>
    <xdr:to>
      <xdr:col>39</xdr:col>
      <xdr:colOff>83820</xdr:colOff>
      <xdr:row>186</xdr:row>
      <xdr:rowOff>114300</xdr:rowOff>
    </xdr:to>
    <xdr:sp macro="" textlink="">
      <xdr:nvSpPr>
        <xdr:cNvPr id="1445" name="Arrow: Down 1444">
          <a:extLst>
            <a:ext uri="{FF2B5EF4-FFF2-40B4-BE49-F238E27FC236}">
              <a16:creationId xmlns:a16="http://schemas.microsoft.com/office/drawing/2014/main" id="{EBC0CA19-7C17-42F1-804E-070D28A5CBF6}"/>
            </a:ext>
          </a:extLst>
        </xdr:cNvPr>
        <xdr:cNvSpPr/>
      </xdr:nvSpPr>
      <xdr:spPr>
        <a:xfrm>
          <a:off x="9525000" y="3393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186</xdr:row>
      <xdr:rowOff>0</xdr:rowOff>
    </xdr:from>
    <xdr:to>
      <xdr:col>24</xdr:col>
      <xdr:colOff>83820</xdr:colOff>
      <xdr:row>186</xdr:row>
      <xdr:rowOff>114300</xdr:rowOff>
    </xdr:to>
    <xdr:sp macro="" textlink="">
      <xdr:nvSpPr>
        <xdr:cNvPr id="1446" name="Arrow: Down 1445">
          <a:extLst>
            <a:ext uri="{FF2B5EF4-FFF2-40B4-BE49-F238E27FC236}">
              <a16:creationId xmlns:a16="http://schemas.microsoft.com/office/drawing/2014/main" id="{6D512690-137A-4816-A42D-C87D9CE48089}"/>
            </a:ext>
          </a:extLst>
        </xdr:cNvPr>
        <xdr:cNvSpPr/>
      </xdr:nvSpPr>
      <xdr:spPr>
        <a:xfrm>
          <a:off x="6362700" y="3393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58" name="Arrow: Down 1257">
          <a:extLst>
            <a:ext uri="{FF2B5EF4-FFF2-40B4-BE49-F238E27FC236}">
              <a16:creationId xmlns:a16="http://schemas.microsoft.com/office/drawing/2014/main" id="{D498D22E-F8B6-4287-A217-B640A1B6A393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0" name="Arrow: Down 1259">
          <a:extLst>
            <a:ext uri="{FF2B5EF4-FFF2-40B4-BE49-F238E27FC236}">
              <a16:creationId xmlns:a16="http://schemas.microsoft.com/office/drawing/2014/main" id="{66514041-B29E-486B-AB6E-0C0DB3F6912C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187</xdr:row>
      <xdr:rowOff>0</xdr:rowOff>
    </xdr:from>
    <xdr:to>
      <xdr:col>71</xdr:col>
      <xdr:colOff>83820</xdr:colOff>
      <xdr:row>187</xdr:row>
      <xdr:rowOff>114300</xdr:rowOff>
    </xdr:to>
    <xdr:sp macro="" textlink="">
      <xdr:nvSpPr>
        <xdr:cNvPr id="1262" name="Arrow: Down 1261">
          <a:extLst>
            <a:ext uri="{FF2B5EF4-FFF2-40B4-BE49-F238E27FC236}">
              <a16:creationId xmlns:a16="http://schemas.microsoft.com/office/drawing/2014/main" id="{F77B8867-3973-4F14-BAFF-9FC728A6CF78}"/>
            </a:ext>
          </a:extLst>
        </xdr:cNvPr>
        <xdr:cNvSpPr/>
      </xdr:nvSpPr>
      <xdr:spPr>
        <a:xfrm>
          <a:off x="1840992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187</xdr:row>
      <xdr:rowOff>0</xdr:rowOff>
    </xdr:from>
    <xdr:to>
      <xdr:col>45</xdr:col>
      <xdr:colOff>83820</xdr:colOff>
      <xdr:row>187</xdr:row>
      <xdr:rowOff>114300</xdr:rowOff>
    </xdr:to>
    <xdr:sp macro="" textlink="">
      <xdr:nvSpPr>
        <xdr:cNvPr id="1263" name="Arrow: Down 1262">
          <a:extLst>
            <a:ext uri="{FF2B5EF4-FFF2-40B4-BE49-F238E27FC236}">
              <a16:creationId xmlns:a16="http://schemas.microsoft.com/office/drawing/2014/main" id="{CC1164CB-190C-4EED-92A1-2E850490E42B}"/>
            </a:ext>
          </a:extLst>
        </xdr:cNvPr>
        <xdr:cNvSpPr/>
      </xdr:nvSpPr>
      <xdr:spPr>
        <a:xfrm rot="10800000">
          <a:off x="11330940" y="3411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187</xdr:row>
      <xdr:rowOff>0</xdr:rowOff>
    </xdr:from>
    <xdr:to>
      <xdr:col>39</xdr:col>
      <xdr:colOff>83820</xdr:colOff>
      <xdr:row>187</xdr:row>
      <xdr:rowOff>114300</xdr:rowOff>
    </xdr:to>
    <xdr:sp macro="" textlink="">
      <xdr:nvSpPr>
        <xdr:cNvPr id="1282" name="Arrow: Down 1281">
          <a:extLst>
            <a:ext uri="{FF2B5EF4-FFF2-40B4-BE49-F238E27FC236}">
              <a16:creationId xmlns:a16="http://schemas.microsoft.com/office/drawing/2014/main" id="{1210ACD0-39EF-4AEC-9706-E309E4408337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187</xdr:row>
      <xdr:rowOff>0</xdr:rowOff>
    </xdr:from>
    <xdr:to>
      <xdr:col>5</xdr:col>
      <xdr:colOff>83820</xdr:colOff>
      <xdr:row>187</xdr:row>
      <xdr:rowOff>114300</xdr:rowOff>
    </xdr:to>
    <xdr:sp macro="" textlink="">
      <xdr:nvSpPr>
        <xdr:cNvPr id="1290" name="Arrow: Down 1289">
          <a:extLst>
            <a:ext uri="{FF2B5EF4-FFF2-40B4-BE49-F238E27FC236}">
              <a16:creationId xmlns:a16="http://schemas.microsoft.com/office/drawing/2014/main" id="{5108F5B8-91BF-42C2-A93E-1CF5CB846AEF}"/>
            </a:ext>
          </a:extLst>
        </xdr:cNvPr>
        <xdr:cNvSpPr/>
      </xdr:nvSpPr>
      <xdr:spPr>
        <a:xfrm rot="10800000">
          <a:off x="192786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187</xdr:row>
      <xdr:rowOff>0</xdr:rowOff>
    </xdr:from>
    <xdr:to>
      <xdr:col>11</xdr:col>
      <xdr:colOff>83820</xdr:colOff>
      <xdr:row>187</xdr:row>
      <xdr:rowOff>114300</xdr:rowOff>
    </xdr:to>
    <xdr:sp macro="" textlink="">
      <xdr:nvSpPr>
        <xdr:cNvPr id="1294" name="Arrow: Down 1293">
          <a:extLst>
            <a:ext uri="{FF2B5EF4-FFF2-40B4-BE49-F238E27FC236}">
              <a16:creationId xmlns:a16="http://schemas.microsoft.com/office/drawing/2014/main" id="{7CE8D358-C34C-4782-96E4-C98962C6F23E}"/>
            </a:ext>
          </a:extLst>
        </xdr:cNvPr>
        <xdr:cNvSpPr/>
      </xdr:nvSpPr>
      <xdr:spPr>
        <a:xfrm rot="10800000">
          <a:off x="36195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187</xdr:row>
      <xdr:rowOff>0</xdr:rowOff>
    </xdr:from>
    <xdr:to>
      <xdr:col>24</xdr:col>
      <xdr:colOff>83820</xdr:colOff>
      <xdr:row>187</xdr:row>
      <xdr:rowOff>114300</xdr:rowOff>
    </xdr:to>
    <xdr:sp macro="" textlink="">
      <xdr:nvSpPr>
        <xdr:cNvPr id="1308" name="Arrow: Down 1307">
          <a:extLst>
            <a:ext uri="{FF2B5EF4-FFF2-40B4-BE49-F238E27FC236}">
              <a16:creationId xmlns:a16="http://schemas.microsoft.com/office/drawing/2014/main" id="{CF459BAB-0580-4102-9EF7-BFA8F394359D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09" name="Arrow: Down 1308">
          <a:extLst>
            <a:ext uri="{FF2B5EF4-FFF2-40B4-BE49-F238E27FC236}">
              <a16:creationId xmlns:a16="http://schemas.microsoft.com/office/drawing/2014/main" id="{9FA9AB71-AB90-4671-B03C-21B676536832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2" name="Arrow: Down 1311">
          <a:extLst>
            <a:ext uri="{FF2B5EF4-FFF2-40B4-BE49-F238E27FC236}">
              <a16:creationId xmlns:a16="http://schemas.microsoft.com/office/drawing/2014/main" id="{D98C67EA-A67E-4719-994E-FC7E283A222E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188</xdr:row>
      <xdr:rowOff>0</xdr:rowOff>
    </xdr:from>
    <xdr:to>
      <xdr:col>71</xdr:col>
      <xdr:colOff>83820</xdr:colOff>
      <xdr:row>188</xdr:row>
      <xdr:rowOff>114300</xdr:rowOff>
    </xdr:to>
    <xdr:sp macro="" textlink="">
      <xdr:nvSpPr>
        <xdr:cNvPr id="1314" name="Arrow: Down 1313">
          <a:extLst>
            <a:ext uri="{FF2B5EF4-FFF2-40B4-BE49-F238E27FC236}">
              <a16:creationId xmlns:a16="http://schemas.microsoft.com/office/drawing/2014/main" id="{1D942934-1FD9-4056-BDAE-95A51E26FF48}"/>
            </a:ext>
          </a:extLst>
        </xdr:cNvPr>
        <xdr:cNvSpPr/>
      </xdr:nvSpPr>
      <xdr:spPr>
        <a:xfrm>
          <a:off x="1840992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188</xdr:row>
      <xdr:rowOff>0</xdr:rowOff>
    </xdr:from>
    <xdr:to>
      <xdr:col>45</xdr:col>
      <xdr:colOff>83820</xdr:colOff>
      <xdr:row>188</xdr:row>
      <xdr:rowOff>114300</xdr:rowOff>
    </xdr:to>
    <xdr:sp macro="" textlink="">
      <xdr:nvSpPr>
        <xdr:cNvPr id="1318" name="Arrow: Down 1317">
          <a:extLst>
            <a:ext uri="{FF2B5EF4-FFF2-40B4-BE49-F238E27FC236}">
              <a16:creationId xmlns:a16="http://schemas.microsoft.com/office/drawing/2014/main" id="{24CC723A-9DF6-440D-B78F-228CE0775FA1}"/>
            </a:ext>
          </a:extLst>
        </xdr:cNvPr>
        <xdr:cNvSpPr/>
      </xdr:nvSpPr>
      <xdr:spPr>
        <a:xfrm rot="10800000">
          <a:off x="113309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188</xdr:row>
      <xdr:rowOff>0</xdr:rowOff>
    </xdr:from>
    <xdr:to>
      <xdr:col>60</xdr:col>
      <xdr:colOff>83820</xdr:colOff>
      <xdr:row>188</xdr:row>
      <xdr:rowOff>114300</xdr:rowOff>
    </xdr:to>
    <xdr:sp macro="" textlink="">
      <xdr:nvSpPr>
        <xdr:cNvPr id="1319" name="Arrow: Down 1318">
          <a:extLst>
            <a:ext uri="{FF2B5EF4-FFF2-40B4-BE49-F238E27FC236}">
              <a16:creationId xmlns:a16="http://schemas.microsoft.com/office/drawing/2014/main" id="{1BE05BBF-13BF-4EF0-AD84-FE0D2D2DD7A2}"/>
            </a:ext>
          </a:extLst>
        </xdr:cNvPr>
        <xdr:cNvSpPr/>
      </xdr:nvSpPr>
      <xdr:spPr>
        <a:xfrm>
          <a:off x="1609344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188</xdr:row>
      <xdr:rowOff>0</xdr:rowOff>
    </xdr:from>
    <xdr:to>
      <xdr:col>39</xdr:col>
      <xdr:colOff>83820</xdr:colOff>
      <xdr:row>188</xdr:row>
      <xdr:rowOff>114300</xdr:rowOff>
    </xdr:to>
    <xdr:sp macro="" textlink="">
      <xdr:nvSpPr>
        <xdr:cNvPr id="1320" name="Arrow: Down 1319">
          <a:extLst>
            <a:ext uri="{FF2B5EF4-FFF2-40B4-BE49-F238E27FC236}">
              <a16:creationId xmlns:a16="http://schemas.microsoft.com/office/drawing/2014/main" id="{D1F55339-B887-4EB9-853E-A3F70FDE26D5}"/>
            </a:ext>
          </a:extLst>
        </xdr:cNvPr>
        <xdr:cNvSpPr/>
      </xdr:nvSpPr>
      <xdr:spPr>
        <a:xfrm rot="10800000">
          <a:off x="9525000" y="3429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188</xdr:row>
      <xdr:rowOff>0</xdr:rowOff>
    </xdr:from>
    <xdr:to>
      <xdr:col>24</xdr:col>
      <xdr:colOff>83820</xdr:colOff>
      <xdr:row>188</xdr:row>
      <xdr:rowOff>114300</xdr:rowOff>
    </xdr:to>
    <xdr:sp macro="" textlink="">
      <xdr:nvSpPr>
        <xdr:cNvPr id="1326" name="Arrow: Down 1325">
          <a:extLst>
            <a:ext uri="{FF2B5EF4-FFF2-40B4-BE49-F238E27FC236}">
              <a16:creationId xmlns:a16="http://schemas.microsoft.com/office/drawing/2014/main" id="{440843A8-8A28-46CA-8049-DC9E969C424E}"/>
            </a:ext>
          </a:extLst>
        </xdr:cNvPr>
        <xdr:cNvSpPr/>
      </xdr:nvSpPr>
      <xdr:spPr>
        <a:xfrm rot="10800000">
          <a:off x="636270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187</xdr:row>
      <xdr:rowOff>0</xdr:rowOff>
    </xdr:from>
    <xdr:to>
      <xdr:col>60</xdr:col>
      <xdr:colOff>83820</xdr:colOff>
      <xdr:row>187</xdr:row>
      <xdr:rowOff>114300</xdr:rowOff>
    </xdr:to>
    <xdr:sp macro="" textlink="">
      <xdr:nvSpPr>
        <xdr:cNvPr id="1327" name="Arrow: Down 1326">
          <a:extLst>
            <a:ext uri="{FF2B5EF4-FFF2-40B4-BE49-F238E27FC236}">
              <a16:creationId xmlns:a16="http://schemas.microsoft.com/office/drawing/2014/main" id="{0D2F68F5-27F2-4426-B1D6-C0B160A383DE}"/>
            </a:ext>
          </a:extLst>
        </xdr:cNvPr>
        <xdr:cNvSpPr/>
      </xdr:nvSpPr>
      <xdr:spPr>
        <a:xfrm rot="10800000">
          <a:off x="16093440" y="3429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188</xdr:row>
      <xdr:rowOff>0</xdr:rowOff>
    </xdr:from>
    <xdr:to>
      <xdr:col>5</xdr:col>
      <xdr:colOff>83820</xdr:colOff>
      <xdr:row>188</xdr:row>
      <xdr:rowOff>114300</xdr:rowOff>
    </xdr:to>
    <xdr:sp macro="" textlink="">
      <xdr:nvSpPr>
        <xdr:cNvPr id="1328" name="Arrow: Down 1327">
          <a:extLst>
            <a:ext uri="{FF2B5EF4-FFF2-40B4-BE49-F238E27FC236}">
              <a16:creationId xmlns:a16="http://schemas.microsoft.com/office/drawing/2014/main" id="{0151764B-E3D7-474E-AB33-F08E28E474C2}"/>
            </a:ext>
          </a:extLst>
        </xdr:cNvPr>
        <xdr:cNvSpPr/>
      </xdr:nvSpPr>
      <xdr:spPr>
        <a:xfrm>
          <a:off x="192786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188</xdr:row>
      <xdr:rowOff>0</xdr:rowOff>
    </xdr:from>
    <xdr:to>
      <xdr:col>11</xdr:col>
      <xdr:colOff>83820</xdr:colOff>
      <xdr:row>188</xdr:row>
      <xdr:rowOff>114300</xdr:rowOff>
    </xdr:to>
    <xdr:sp macro="" textlink="">
      <xdr:nvSpPr>
        <xdr:cNvPr id="1329" name="Arrow: Down 1328">
          <a:extLst>
            <a:ext uri="{FF2B5EF4-FFF2-40B4-BE49-F238E27FC236}">
              <a16:creationId xmlns:a16="http://schemas.microsoft.com/office/drawing/2014/main" id="{20059EB3-C410-4253-B26B-C169953456B7}"/>
            </a:ext>
          </a:extLst>
        </xdr:cNvPr>
        <xdr:cNvSpPr/>
      </xdr:nvSpPr>
      <xdr:spPr>
        <a:xfrm>
          <a:off x="36195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79" name="Arrow: Down 1278">
          <a:extLst>
            <a:ext uri="{FF2B5EF4-FFF2-40B4-BE49-F238E27FC236}">
              <a16:creationId xmlns:a16="http://schemas.microsoft.com/office/drawing/2014/main" id="{F5AD2A64-AFF9-4235-B8E2-7A89BBE8CED3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0" name="Arrow: Down 1279">
          <a:extLst>
            <a:ext uri="{FF2B5EF4-FFF2-40B4-BE49-F238E27FC236}">
              <a16:creationId xmlns:a16="http://schemas.microsoft.com/office/drawing/2014/main" id="{34EE0DBD-DF1C-4F68-A8E0-CC05E6EA5C67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189</xdr:row>
      <xdr:rowOff>0</xdr:rowOff>
    </xdr:from>
    <xdr:to>
      <xdr:col>71</xdr:col>
      <xdr:colOff>83820</xdr:colOff>
      <xdr:row>189</xdr:row>
      <xdr:rowOff>114300</xdr:rowOff>
    </xdr:to>
    <xdr:sp macro="" textlink="">
      <xdr:nvSpPr>
        <xdr:cNvPr id="1281" name="Arrow: Down 1280">
          <a:extLst>
            <a:ext uri="{FF2B5EF4-FFF2-40B4-BE49-F238E27FC236}">
              <a16:creationId xmlns:a16="http://schemas.microsoft.com/office/drawing/2014/main" id="{4CE683F9-5591-4AEC-A663-B55C862A5DAC}"/>
            </a:ext>
          </a:extLst>
        </xdr:cNvPr>
        <xdr:cNvSpPr/>
      </xdr:nvSpPr>
      <xdr:spPr>
        <a:xfrm>
          <a:off x="1840992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189</xdr:row>
      <xdr:rowOff>0</xdr:rowOff>
    </xdr:from>
    <xdr:to>
      <xdr:col>45</xdr:col>
      <xdr:colOff>83820</xdr:colOff>
      <xdr:row>189</xdr:row>
      <xdr:rowOff>114300</xdr:rowOff>
    </xdr:to>
    <xdr:sp macro="" textlink="">
      <xdr:nvSpPr>
        <xdr:cNvPr id="1289" name="Arrow: Down 1288">
          <a:extLst>
            <a:ext uri="{FF2B5EF4-FFF2-40B4-BE49-F238E27FC236}">
              <a16:creationId xmlns:a16="http://schemas.microsoft.com/office/drawing/2014/main" id="{085F8844-0E8B-464F-B616-5F8929E78AD4}"/>
            </a:ext>
          </a:extLst>
        </xdr:cNvPr>
        <xdr:cNvSpPr/>
      </xdr:nvSpPr>
      <xdr:spPr>
        <a:xfrm rot="10800000">
          <a:off x="1133094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189</xdr:row>
      <xdr:rowOff>0</xdr:rowOff>
    </xdr:from>
    <xdr:to>
      <xdr:col>39</xdr:col>
      <xdr:colOff>83820</xdr:colOff>
      <xdr:row>189</xdr:row>
      <xdr:rowOff>114300</xdr:rowOff>
    </xdr:to>
    <xdr:sp macro="" textlink="">
      <xdr:nvSpPr>
        <xdr:cNvPr id="1321" name="Arrow: Down 1320">
          <a:extLst>
            <a:ext uri="{FF2B5EF4-FFF2-40B4-BE49-F238E27FC236}">
              <a16:creationId xmlns:a16="http://schemas.microsoft.com/office/drawing/2014/main" id="{91ABD96E-B48E-43E0-80CB-909D2A647508}"/>
            </a:ext>
          </a:extLst>
        </xdr:cNvPr>
        <xdr:cNvSpPr/>
      </xdr:nvSpPr>
      <xdr:spPr>
        <a:xfrm rot="10800000">
          <a:off x="9525000" y="3448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189</xdr:row>
      <xdr:rowOff>0</xdr:rowOff>
    </xdr:from>
    <xdr:to>
      <xdr:col>11</xdr:col>
      <xdr:colOff>83820</xdr:colOff>
      <xdr:row>189</xdr:row>
      <xdr:rowOff>114300</xdr:rowOff>
    </xdr:to>
    <xdr:sp macro="" textlink="">
      <xdr:nvSpPr>
        <xdr:cNvPr id="1339" name="Arrow: Down 1338">
          <a:extLst>
            <a:ext uri="{FF2B5EF4-FFF2-40B4-BE49-F238E27FC236}">
              <a16:creationId xmlns:a16="http://schemas.microsoft.com/office/drawing/2014/main" id="{4DD576E1-CC43-449B-A5AB-A469523B3EE0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189</xdr:row>
      <xdr:rowOff>0</xdr:rowOff>
    </xdr:from>
    <xdr:to>
      <xdr:col>5</xdr:col>
      <xdr:colOff>83820</xdr:colOff>
      <xdr:row>189</xdr:row>
      <xdr:rowOff>114300</xdr:rowOff>
    </xdr:to>
    <xdr:sp macro="" textlink="">
      <xdr:nvSpPr>
        <xdr:cNvPr id="1340" name="Arrow: Down 1339">
          <a:extLst>
            <a:ext uri="{FF2B5EF4-FFF2-40B4-BE49-F238E27FC236}">
              <a16:creationId xmlns:a16="http://schemas.microsoft.com/office/drawing/2014/main" id="{B0860EFE-46D1-4792-B5DD-E138EFFE743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189</xdr:row>
      <xdr:rowOff>0</xdr:rowOff>
    </xdr:from>
    <xdr:to>
      <xdr:col>24</xdr:col>
      <xdr:colOff>83820</xdr:colOff>
      <xdr:row>189</xdr:row>
      <xdr:rowOff>114300</xdr:rowOff>
    </xdr:to>
    <xdr:sp macro="" textlink="">
      <xdr:nvSpPr>
        <xdr:cNvPr id="1344" name="Arrow: Down 1343">
          <a:extLst>
            <a:ext uri="{FF2B5EF4-FFF2-40B4-BE49-F238E27FC236}">
              <a16:creationId xmlns:a16="http://schemas.microsoft.com/office/drawing/2014/main" id="{E8E5788A-D4B0-49EB-B1DA-97571CCA0104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189</xdr:row>
      <xdr:rowOff>0</xdr:rowOff>
    </xdr:from>
    <xdr:to>
      <xdr:col>60</xdr:col>
      <xdr:colOff>83820</xdr:colOff>
      <xdr:row>189</xdr:row>
      <xdr:rowOff>114300</xdr:rowOff>
    </xdr:to>
    <xdr:sp macro="" textlink="">
      <xdr:nvSpPr>
        <xdr:cNvPr id="1345" name="Arrow: Down 1344">
          <a:extLst>
            <a:ext uri="{FF2B5EF4-FFF2-40B4-BE49-F238E27FC236}">
              <a16:creationId xmlns:a16="http://schemas.microsoft.com/office/drawing/2014/main" id="{8C969F08-6DCE-4056-9066-285137E7830C}"/>
            </a:ext>
          </a:extLst>
        </xdr:cNvPr>
        <xdr:cNvSpPr/>
      </xdr:nvSpPr>
      <xdr:spPr>
        <a:xfrm rot="10800000">
          <a:off x="1609344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6" name="Arrow: Down 1345">
          <a:extLst>
            <a:ext uri="{FF2B5EF4-FFF2-40B4-BE49-F238E27FC236}">
              <a16:creationId xmlns:a16="http://schemas.microsoft.com/office/drawing/2014/main" id="{141D9F04-3A3F-497A-A4A6-A444F6761A2E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47" name="Arrow: Down 1346">
          <a:extLst>
            <a:ext uri="{FF2B5EF4-FFF2-40B4-BE49-F238E27FC236}">
              <a16:creationId xmlns:a16="http://schemas.microsoft.com/office/drawing/2014/main" id="{A18B8E6E-8D4A-4639-A9E4-686598A58AE1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190</xdr:row>
      <xdr:rowOff>0</xdr:rowOff>
    </xdr:from>
    <xdr:to>
      <xdr:col>71</xdr:col>
      <xdr:colOff>83820</xdr:colOff>
      <xdr:row>190</xdr:row>
      <xdr:rowOff>114300</xdr:rowOff>
    </xdr:to>
    <xdr:sp macro="" textlink="">
      <xdr:nvSpPr>
        <xdr:cNvPr id="1349" name="Arrow: Down 1348">
          <a:extLst>
            <a:ext uri="{FF2B5EF4-FFF2-40B4-BE49-F238E27FC236}">
              <a16:creationId xmlns:a16="http://schemas.microsoft.com/office/drawing/2014/main" id="{EA5A6CC0-8DF4-4FBB-B780-A8CC58B911FF}"/>
            </a:ext>
          </a:extLst>
        </xdr:cNvPr>
        <xdr:cNvSpPr/>
      </xdr:nvSpPr>
      <xdr:spPr>
        <a:xfrm>
          <a:off x="1840992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190</xdr:row>
      <xdr:rowOff>0</xdr:rowOff>
    </xdr:from>
    <xdr:to>
      <xdr:col>45</xdr:col>
      <xdr:colOff>83820</xdr:colOff>
      <xdr:row>190</xdr:row>
      <xdr:rowOff>114300</xdr:rowOff>
    </xdr:to>
    <xdr:sp macro="" textlink="">
      <xdr:nvSpPr>
        <xdr:cNvPr id="1357" name="Arrow: Down 1356">
          <a:extLst>
            <a:ext uri="{FF2B5EF4-FFF2-40B4-BE49-F238E27FC236}">
              <a16:creationId xmlns:a16="http://schemas.microsoft.com/office/drawing/2014/main" id="{072DE80E-E2CF-4293-B0DE-1F924EB54F48}"/>
            </a:ext>
          </a:extLst>
        </xdr:cNvPr>
        <xdr:cNvSpPr/>
      </xdr:nvSpPr>
      <xdr:spPr>
        <a:xfrm rot="10800000">
          <a:off x="1133094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190</xdr:row>
      <xdr:rowOff>0</xdr:rowOff>
    </xdr:from>
    <xdr:to>
      <xdr:col>11</xdr:col>
      <xdr:colOff>83820</xdr:colOff>
      <xdr:row>190</xdr:row>
      <xdr:rowOff>114300</xdr:rowOff>
    </xdr:to>
    <xdr:sp macro="" textlink="">
      <xdr:nvSpPr>
        <xdr:cNvPr id="1362" name="Arrow: Down 1361">
          <a:extLst>
            <a:ext uri="{FF2B5EF4-FFF2-40B4-BE49-F238E27FC236}">
              <a16:creationId xmlns:a16="http://schemas.microsoft.com/office/drawing/2014/main" id="{D264ACE2-BE42-430A-A96A-22AA81888017}"/>
            </a:ext>
          </a:extLst>
        </xdr:cNvPr>
        <xdr:cNvSpPr/>
      </xdr:nvSpPr>
      <xdr:spPr>
        <a:xfrm rot="10800000">
          <a:off x="361950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190</xdr:row>
      <xdr:rowOff>0</xdr:rowOff>
    </xdr:from>
    <xdr:to>
      <xdr:col>5</xdr:col>
      <xdr:colOff>83820</xdr:colOff>
      <xdr:row>190</xdr:row>
      <xdr:rowOff>114300</xdr:rowOff>
    </xdr:to>
    <xdr:sp macro="" textlink="">
      <xdr:nvSpPr>
        <xdr:cNvPr id="1363" name="Arrow: Down 1362">
          <a:extLst>
            <a:ext uri="{FF2B5EF4-FFF2-40B4-BE49-F238E27FC236}">
              <a16:creationId xmlns:a16="http://schemas.microsoft.com/office/drawing/2014/main" id="{425DE884-F368-4536-ACB1-98FDBA0DB8AA}"/>
            </a:ext>
          </a:extLst>
        </xdr:cNvPr>
        <xdr:cNvSpPr/>
      </xdr:nvSpPr>
      <xdr:spPr>
        <a:xfrm rot="10800000">
          <a:off x="1927860" y="3466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190</xdr:row>
      <xdr:rowOff>0</xdr:rowOff>
    </xdr:from>
    <xdr:to>
      <xdr:col>24</xdr:col>
      <xdr:colOff>83820</xdr:colOff>
      <xdr:row>190</xdr:row>
      <xdr:rowOff>114300</xdr:rowOff>
    </xdr:to>
    <xdr:sp macro="" textlink="">
      <xdr:nvSpPr>
        <xdr:cNvPr id="1367" name="Arrow: Down 1366">
          <a:extLst>
            <a:ext uri="{FF2B5EF4-FFF2-40B4-BE49-F238E27FC236}">
              <a16:creationId xmlns:a16="http://schemas.microsoft.com/office/drawing/2014/main" id="{7CB5975A-2933-4AB7-BD97-F64E22CBD42F}"/>
            </a:ext>
          </a:extLst>
        </xdr:cNvPr>
        <xdr:cNvSpPr/>
      </xdr:nvSpPr>
      <xdr:spPr>
        <a:xfrm>
          <a:off x="6362700" y="3466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190</xdr:row>
      <xdr:rowOff>0</xdr:rowOff>
    </xdr:from>
    <xdr:to>
      <xdr:col>39</xdr:col>
      <xdr:colOff>83820</xdr:colOff>
      <xdr:row>190</xdr:row>
      <xdr:rowOff>114300</xdr:rowOff>
    </xdr:to>
    <xdr:sp macro="" textlink="">
      <xdr:nvSpPr>
        <xdr:cNvPr id="1323" name="Arrow: Down 1322">
          <a:extLst>
            <a:ext uri="{FF2B5EF4-FFF2-40B4-BE49-F238E27FC236}">
              <a16:creationId xmlns:a16="http://schemas.microsoft.com/office/drawing/2014/main" id="{8DD57977-6E0B-4E4C-8093-3C7E9D5A63E1}"/>
            </a:ext>
          </a:extLst>
        </xdr:cNvPr>
        <xdr:cNvSpPr/>
      </xdr:nvSpPr>
      <xdr:spPr>
        <a:xfrm>
          <a:off x="95250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190</xdr:row>
      <xdr:rowOff>0</xdr:rowOff>
    </xdr:from>
    <xdr:to>
      <xdr:col>60</xdr:col>
      <xdr:colOff>83820</xdr:colOff>
      <xdr:row>190</xdr:row>
      <xdr:rowOff>114300</xdr:rowOff>
    </xdr:to>
    <xdr:sp macro="" textlink="">
      <xdr:nvSpPr>
        <xdr:cNvPr id="1337" name="Arrow: Down 1336">
          <a:extLst>
            <a:ext uri="{FF2B5EF4-FFF2-40B4-BE49-F238E27FC236}">
              <a16:creationId xmlns:a16="http://schemas.microsoft.com/office/drawing/2014/main" id="{6933E24F-4461-40C9-BAD3-ED01BCCB4FDC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72" name="Arrow: Down 1371">
          <a:extLst>
            <a:ext uri="{FF2B5EF4-FFF2-40B4-BE49-F238E27FC236}">
              <a16:creationId xmlns:a16="http://schemas.microsoft.com/office/drawing/2014/main" id="{7EDF0788-6EE6-4EE7-A6EF-C227115A79D7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7" name="Arrow: Down 1376">
          <a:extLst>
            <a:ext uri="{FF2B5EF4-FFF2-40B4-BE49-F238E27FC236}">
              <a16:creationId xmlns:a16="http://schemas.microsoft.com/office/drawing/2014/main" id="{2B780AE0-9116-41B4-B273-17B0245ECBC5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78" name="Arrow: Down 1377">
          <a:extLst>
            <a:ext uri="{FF2B5EF4-FFF2-40B4-BE49-F238E27FC236}">
              <a16:creationId xmlns:a16="http://schemas.microsoft.com/office/drawing/2014/main" id="{1D69156C-58C5-4A59-9B35-13B774DEFE3E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191</xdr:row>
      <xdr:rowOff>0</xdr:rowOff>
    </xdr:from>
    <xdr:to>
      <xdr:col>71</xdr:col>
      <xdr:colOff>83820</xdr:colOff>
      <xdr:row>191</xdr:row>
      <xdr:rowOff>114300</xdr:rowOff>
    </xdr:to>
    <xdr:sp macro="" textlink="">
      <xdr:nvSpPr>
        <xdr:cNvPr id="1379" name="Arrow: Down 1378">
          <a:extLst>
            <a:ext uri="{FF2B5EF4-FFF2-40B4-BE49-F238E27FC236}">
              <a16:creationId xmlns:a16="http://schemas.microsoft.com/office/drawing/2014/main" id="{DA4C2536-3751-4333-9AF9-96FA0FA75A61}"/>
            </a:ext>
          </a:extLst>
        </xdr:cNvPr>
        <xdr:cNvSpPr/>
      </xdr:nvSpPr>
      <xdr:spPr>
        <a:xfrm>
          <a:off x="1840992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191</xdr:row>
      <xdr:rowOff>0</xdr:rowOff>
    </xdr:from>
    <xdr:to>
      <xdr:col>45</xdr:col>
      <xdr:colOff>83820</xdr:colOff>
      <xdr:row>191</xdr:row>
      <xdr:rowOff>114300</xdr:rowOff>
    </xdr:to>
    <xdr:sp macro="" textlink="">
      <xdr:nvSpPr>
        <xdr:cNvPr id="1382" name="Arrow: Down 1381">
          <a:extLst>
            <a:ext uri="{FF2B5EF4-FFF2-40B4-BE49-F238E27FC236}">
              <a16:creationId xmlns:a16="http://schemas.microsoft.com/office/drawing/2014/main" id="{7BE252DA-F02E-4E6E-8469-8A4EA9F538C7}"/>
            </a:ext>
          </a:extLst>
        </xdr:cNvPr>
        <xdr:cNvSpPr/>
      </xdr:nvSpPr>
      <xdr:spPr>
        <a:xfrm rot="10800000">
          <a:off x="113309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191</xdr:row>
      <xdr:rowOff>0</xdr:rowOff>
    </xdr:from>
    <xdr:to>
      <xdr:col>11</xdr:col>
      <xdr:colOff>83820</xdr:colOff>
      <xdr:row>191</xdr:row>
      <xdr:rowOff>114300</xdr:rowOff>
    </xdr:to>
    <xdr:sp macro="" textlink="">
      <xdr:nvSpPr>
        <xdr:cNvPr id="1383" name="Arrow: Down 1382">
          <a:extLst>
            <a:ext uri="{FF2B5EF4-FFF2-40B4-BE49-F238E27FC236}">
              <a16:creationId xmlns:a16="http://schemas.microsoft.com/office/drawing/2014/main" id="{0636F7AF-1516-4FC7-A4A0-70C4113D8211}"/>
            </a:ext>
          </a:extLst>
        </xdr:cNvPr>
        <xdr:cNvSpPr/>
      </xdr:nvSpPr>
      <xdr:spPr>
        <a:xfrm rot="10800000">
          <a:off x="3619500" y="3484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191</xdr:row>
      <xdr:rowOff>0</xdr:rowOff>
    </xdr:from>
    <xdr:to>
      <xdr:col>60</xdr:col>
      <xdr:colOff>83820</xdr:colOff>
      <xdr:row>191</xdr:row>
      <xdr:rowOff>114300</xdr:rowOff>
    </xdr:to>
    <xdr:sp macro="" textlink="">
      <xdr:nvSpPr>
        <xdr:cNvPr id="1388" name="Arrow: Down 1387">
          <a:extLst>
            <a:ext uri="{FF2B5EF4-FFF2-40B4-BE49-F238E27FC236}">
              <a16:creationId xmlns:a16="http://schemas.microsoft.com/office/drawing/2014/main" id="{7E2183F0-5FA3-456C-967B-326314847C1A}"/>
            </a:ext>
          </a:extLst>
        </xdr:cNvPr>
        <xdr:cNvSpPr/>
      </xdr:nvSpPr>
      <xdr:spPr>
        <a:xfrm>
          <a:off x="16093440" y="3484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191</xdr:row>
      <xdr:rowOff>0</xdr:rowOff>
    </xdr:from>
    <xdr:to>
      <xdr:col>39</xdr:col>
      <xdr:colOff>83820</xdr:colOff>
      <xdr:row>191</xdr:row>
      <xdr:rowOff>114300</xdr:rowOff>
    </xdr:to>
    <xdr:sp macro="" textlink="">
      <xdr:nvSpPr>
        <xdr:cNvPr id="1390" name="Arrow: Down 1389">
          <a:extLst>
            <a:ext uri="{FF2B5EF4-FFF2-40B4-BE49-F238E27FC236}">
              <a16:creationId xmlns:a16="http://schemas.microsoft.com/office/drawing/2014/main" id="{F3D00C1D-9EF5-40E8-AF86-C8198F6EFCFC}"/>
            </a:ext>
          </a:extLst>
        </xdr:cNvPr>
        <xdr:cNvSpPr/>
      </xdr:nvSpPr>
      <xdr:spPr>
        <a:xfrm rot="10800000">
          <a:off x="952500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191</xdr:row>
      <xdr:rowOff>0</xdr:rowOff>
    </xdr:from>
    <xdr:to>
      <xdr:col>24</xdr:col>
      <xdr:colOff>83820</xdr:colOff>
      <xdr:row>191</xdr:row>
      <xdr:rowOff>114300</xdr:rowOff>
    </xdr:to>
    <xdr:sp macro="" textlink="">
      <xdr:nvSpPr>
        <xdr:cNvPr id="1391" name="Arrow: Down 1390">
          <a:extLst>
            <a:ext uri="{FF2B5EF4-FFF2-40B4-BE49-F238E27FC236}">
              <a16:creationId xmlns:a16="http://schemas.microsoft.com/office/drawing/2014/main" id="{668DC9C0-8B12-4484-AFD0-825BCEB007BA}"/>
            </a:ext>
          </a:extLst>
        </xdr:cNvPr>
        <xdr:cNvSpPr/>
      </xdr:nvSpPr>
      <xdr:spPr>
        <a:xfrm rot="10800000">
          <a:off x="636270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4" name="Arrow: Down 1393">
          <a:extLst>
            <a:ext uri="{FF2B5EF4-FFF2-40B4-BE49-F238E27FC236}">
              <a16:creationId xmlns:a16="http://schemas.microsoft.com/office/drawing/2014/main" id="{C02F5A6F-14B8-4C6F-8653-E71FF66D7B44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5" name="Arrow: Down 1394">
          <a:extLst>
            <a:ext uri="{FF2B5EF4-FFF2-40B4-BE49-F238E27FC236}">
              <a16:creationId xmlns:a16="http://schemas.microsoft.com/office/drawing/2014/main" id="{92410203-CD65-45ED-BCAD-C3ABAF1C4FB4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192</xdr:row>
      <xdr:rowOff>0</xdr:rowOff>
    </xdr:from>
    <xdr:to>
      <xdr:col>71</xdr:col>
      <xdr:colOff>83820</xdr:colOff>
      <xdr:row>192</xdr:row>
      <xdr:rowOff>114300</xdr:rowOff>
    </xdr:to>
    <xdr:sp macro="" textlink="">
      <xdr:nvSpPr>
        <xdr:cNvPr id="1396" name="Arrow: Down 1395">
          <a:extLst>
            <a:ext uri="{FF2B5EF4-FFF2-40B4-BE49-F238E27FC236}">
              <a16:creationId xmlns:a16="http://schemas.microsoft.com/office/drawing/2014/main" id="{BBBE952D-1FCD-4F31-95DA-25DB0634DEF2}"/>
            </a:ext>
          </a:extLst>
        </xdr:cNvPr>
        <xdr:cNvSpPr/>
      </xdr:nvSpPr>
      <xdr:spPr>
        <a:xfrm>
          <a:off x="1840992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192</xdr:row>
      <xdr:rowOff>0</xdr:rowOff>
    </xdr:from>
    <xdr:to>
      <xdr:col>45</xdr:col>
      <xdr:colOff>83820</xdr:colOff>
      <xdr:row>192</xdr:row>
      <xdr:rowOff>114300</xdr:rowOff>
    </xdr:to>
    <xdr:sp macro="" textlink="">
      <xdr:nvSpPr>
        <xdr:cNvPr id="1397" name="Arrow: Down 1396">
          <a:extLst>
            <a:ext uri="{FF2B5EF4-FFF2-40B4-BE49-F238E27FC236}">
              <a16:creationId xmlns:a16="http://schemas.microsoft.com/office/drawing/2014/main" id="{A8E190F9-2DC9-42DF-9AFC-AFCE822ADBB6}"/>
            </a:ext>
          </a:extLst>
        </xdr:cNvPr>
        <xdr:cNvSpPr/>
      </xdr:nvSpPr>
      <xdr:spPr>
        <a:xfrm rot="10800000">
          <a:off x="113309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192</xdr:row>
      <xdr:rowOff>0</xdr:rowOff>
    </xdr:from>
    <xdr:to>
      <xdr:col>60</xdr:col>
      <xdr:colOff>83820</xdr:colOff>
      <xdr:row>192</xdr:row>
      <xdr:rowOff>114300</xdr:rowOff>
    </xdr:to>
    <xdr:sp macro="" textlink="">
      <xdr:nvSpPr>
        <xdr:cNvPr id="1400" name="Arrow: Down 1399">
          <a:extLst>
            <a:ext uri="{FF2B5EF4-FFF2-40B4-BE49-F238E27FC236}">
              <a16:creationId xmlns:a16="http://schemas.microsoft.com/office/drawing/2014/main" id="{CCEDB59A-8189-45D5-97C7-5951AEC63437}"/>
            </a:ext>
          </a:extLst>
        </xdr:cNvPr>
        <xdr:cNvSpPr/>
      </xdr:nvSpPr>
      <xdr:spPr>
        <a:xfrm>
          <a:off x="16093440" y="3502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192</xdr:row>
      <xdr:rowOff>0</xdr:rowOff>
    </xdr:from>
    <xdr:to>
      <xdr:col>39</xdr:col>
      <xdr:colOff>83820</xdr:colOff>
      <xdr:row>192</xdr:row>
      <xdr:rowOff>114300</xdr:rowOff>
    </xdr:to>
    <xdr:sp macro="" textlink="">
      <xdr:nvSpPr>
        <xdr:cNvPr id="1403" name="Arrow: Down 1402">
          <a:extLst>
            <a:ext uri="{FF2B5EF4-FFF2-40B4-BE49-F238E27FC236}">
              <a16:creationId xmlns:a16="http://schemas.microsoft.com/office/drawing/2014/main" id="{A729CCC1-2BA5-4A9C-9E4E-EC701F3B037C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192</xdr:row>
      <xdr:rowOff>0</xdr:rowOff>
    </xdr:from>
    <xdr:to>
      <xdr:col>24</xdr:col>
      <xdr:colOff>83820</xdr:colOff>
      <xdr:row>192</xdr:row>
      <xdr:rowOff>114300</xdr:rowOff>
    </xdr:to>
    <xdr:sp macro="" textlink="">
      <xdr:nvSpPr>
        <xdr:cNvPr id="1404" name="Arrow: Down 1403">
          <a:extLst>
            <a:ext uri="{FF2B5EF4-FFF2-40B4-BE49-F238E27FC236}">
              <a16:creationId xmlns:a16="http://schemas.microsoft.com/office/drawing/2014/main" id="{79E4909F-3996-44EA-91EE-119E97A5B12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192</xdr:row>
      <xdr:rowOff>0</xdr:rowOff>
    </xdr:from>
    <xdr:to>
      <xdr:col>11</xdr:col>
      <xdr:colOff>83820</xdr:colOff>
      <xdr:row>192</xdr:row>
      <xdr:rowOff>114300</xdr:rowOff>
    </xdr:to>
    <xdr:sp macro="" textlink="">
      <xdr:nvSpPr>
        <xdr:cNvPr id="1405" name="Arrow: Down 1404">
          <a:extLst>
            <a:ext uri="{FF2B5EF4-FFF2-40B4-BE49-F238E27FC236}">
              <a16:creationId xmlns:a16="http://schemas.microsoft.com/office/drawing/2014/main" id="{5702541E-D9B1-4C9A-887C-4D65DAE12B5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192</xdr:row>
      <xdr:rowOff>0</xdr:rowOff>
    </xdr:from>
    <xdr:to>
      <xdr:col>5</xdr:col>
      <xdr:colOff>83820</xdr:colOff>
      <xdr:row>192</xdr:row>
      <xdr:rowOff>114300</xdr:rowOff>
    </xdr:to>
    <xdr:sp macro="" textlink="">
      <xdr:nvSpPr>
        <xdr:cNvPr id="1406" name="Arrow: Down 1405">
          <a:extLst>
            <a:ext uri="{FF2B5EF4-FFF2-40B4-BE49-F238E27FC236}">
              <a16:creationId xmlns:a16="http://schemas.microsoft.com/office/drawing/2014/main" id="{C37084FB-8028-4668-A014-C0FEC0A940CE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191</xdr:row>
      <xdr:rowOff>0</xdr:rowOff>
    </xdr:from>
    <xdr:to>
      <xdr:col>5</xdr:col>
      <xdr:colOff>83820</xdr:colOff>
      <xdr:row>191</xdr:row>
      <xdr:rowOff>114300</xdr:rowOff>
    </xdr:to>
    <xdr:sp macro="" textlink="">
      <xdr:nvSpPr>
        <xdr:cNvPr id="1407" name="Arrow: Down 1406">
          <a:extLst>
            <a:ext uri="{FF2B5EF4-FFF2-40B4-BE49-F238E27FC236}">
              <a16:creationId xmlns:a16="http://schemas.microsoft.com/office/drawing/2014/main" id="{06B7204D-EC0A-4BCB-92DB-BF2D720A8DA1}"/>
            </a:ext>
          </a:extLst>
        </xdr:cNvPr>
        <xdr:cNvSpPr/>
      </xdr:nvSpPr>
      <xdr:spPr>
        <a:xfrm rot="10800000">
          <a:off x="1927860" y="35029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408" name="Arrow: Down 1407">
          <a:extLst>
            <a:ext uri="{FF2B5EF4-FFF2-40B4-BE49-F238E27FC236}">
              <a16:creationId xmlns:a16="http://schemas.microsoft.com/office/drawing/2014/main" id="{0F84E102-E9D0-49C4-AACD-B9E127083A66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409" name="Arrow: Down 1408">
          <a:extLst>
            <a:ext uri="{FF2B5EF4-FFF2-40B4-BE49-F238E27FC236}">
              <a16:creationId xmlns:a16="http://schemas.microsoft.com/office/drawing/2014/main" id="{39EE4EE9-8585-4D03-AC2D-B340719AC254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36" name="Arrow: Down 1335">
          <a:extLst>
            <a:ext uri="{FF2B5EF4-FFF2-40B4-BE49-F238E27FC236}">
              <a16:creationId xmlns:a16="http://schemas.microsoft.com/office/drawing/2014/main" id="{7CF104BA-129D-4076-8A65-C11320AA39F4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58" name="Arrow: Down 1357">
          <a:extLst>
            <a:ext uri="{FF2B5EF4-FFF2-40B4-BE49-F238E27FC236}">
              <a16:creationId xmlns:a16="http://schemas.microsoft.com/office/drawing/2014/main" id="{F20B9FE2-6129-4C54-9976-453DB7E4545B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193</xdr:row>
      <xdr:rowOff>0</xdr:rowOff>
    </xdr:from>
    <xdr:to>
      <xdr:col>71</xdr:col>
      <xdr:colOff>83820</xdr:colOff>
      <xdr:row>193</xdr:row>
      <xdr:rowOff>114300</xdr:rowOff>
    </xdr:to>
    <xdr:sp macro="" textlink="">
      <xdr:nvSpPr>
        <xdr:cNvPr id="1368" name="Arrow: Down 1367">
          <a:extLst>
            <a:ext uri="{FF2B5EF4-FFF2-40B4-BE49-F238E27FC236}">
              <a16:creationId xmlns:a16="http://schemas.microsoft.com/office/drawing/2014/main" id="{8E825DD3-9E3E-4D6E-A0C9-933F5BE59CE3}"/>
            </a:ext>
          </a:extLst>
        </xdr:cNvPr>
        <xdr:cNvSpPr/>
      </xdr:nvSpPr>
      <xdr:spPr>
        <a:xfrm>
          <a:off x="1840992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193</xdr:row>
      <xdr:rowOff>0</xdr:rowOff>
    </xdr:from>
    <xdr:to>
      <xdr:col>45</xdr:col>
      <xdr:colOff>83820</xdr:colOff>
      <xdr:row>193</xdr:row>
      <xdr:rowOff>114300</xdr:rowOff>
    </xdr:to>
    <xdr:sp macro="" textlink="">
      <xdr:nvSpPr>
        <xdr:cNvPr id="1373" name="Arrow: Down 1372">
          <a:extLst>
            <a:ext uri="{FF2B5EF4-FFF2-40B4-BE49-F238E27FC236}">
              <a16:creationId xmlns:a16="http://schemas.microsoft.com/office/drawing/2014/main" id="{DD596FD6-7587-4ED5-A580-797C33EEBEDD}"/>
            </a:ext>
          </a:extLst>
        </xdr:cNvPr>
        <xdr:cNvSpPr/>
      </xdr:nvSpPr>
      <xdr:spPr>
        <a:xfrm rot="10800000">
          <a:off x="113309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193</xdr:row>
      <xdr:rowOff>0</xdr:rowOff>
    </xdr:from>
    <xdr:to>
      <xdr:col>60</xdr:col>
      <xdr:colOff>83820</xdr:colOff>
      <xdr:row>193</xdr:row>
      <xdr:rowOff>114300</xdr:rowOff>
    </xdr:to>
    <xdr:sp macro="" textlink="">
      <xdr:nvSpPr>
        <xdr:cNvPr id="1384" name="Arrow: Down 1383">
          <a:extLst>
            <a:ext uri="{FF2B5EF4-FFF2-40B4-BE49-F238E27FC236}">
              <a16:creationId xmlns:a16="http://schemas.microsoft.com/office/drawing/2014/main" id="{35ABE1C6-08E2-4313-BF57-0890CCFDDEA9}"/>
            </a:ext>
          </a:extLst>
        </xdr:cNvPr>
        <xdr:cNvSpPr/>
      </xdr:nvSpPr>
      <xdr:spPr>
        <a:xfrm>
          <a:off x="1609344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193</xdr:row>
      <xdr:rowOff>0</xdr:rowOff>
    </xdr:from>
    <xdr:to>
      <xdr:col>39</xdr:col>
      <xdr:colOff>83820</xdr:colOff>
      <xdr:row>193</xdr:row>
      <xdr:rowOff>114300</xdr:rowOff>
    </xdr:to>
    <xdr:sp macro="" textlink="">
      <xdr:nvSpPr>
        <xdr:cNvPr id="1385" name="Arrow: Down 1384">
          <a:extLst>
            <a:ext uri="{FF2B5EF4-FFF2-40B4-BE49-F238E27FC236}">
              <a16:creationId xmlns:a16="http://schemas.microsoft.com/office/drawing/2014/main" id="{19C64DA9-9C65-4EA7-A61B-15BF24561169}"/>
            </a:ext>
          </a:extLst>
        </xdr:cNvPr>
        <xdr:cNvSpPr/>
      </xdr:nvSpPr>
      <xdr:spPr>
        <a:xfrm>
          <a:off x="9525000" y="3521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193</xdr:row>
      <xdr:rowOff>0</xdr:rowOff>
    </xdr:from>
    <xdr:to>
      <xdr:col>24</xdr:col>
      <xdr:colOff>83820</xdr:colOff>
      <xdr:row>193</xdr:row>
      <xdr:rowOff>114300</xdr:rowOff>
    </xdr:to>
    <xdr:sp macro="" textlink="">
      <xdr:nvSpPr>
        <xdr:cNvPr id="1386" name="Arrow: Down 1385">
          <a:extLst>
            <a:ext uri="{FF2B5EF4-FFF2-40B4-BE49-F238E27FC236}">
              <a16:creationId xmlns:a16="http://schemas.microsoft.com/office/drawing/2014/main" id="{BA30C9EE-4D55-4A2D-8F23-81598AAEECB6}"/>
            </a:ext>
          </a:extLst>
        </xdr:cNvPr>
        <xdr:cNvSpPr/>
      </xdr:nvSpPr>
      <xdr:spPr>
        <a:xfrm>
          <a:off x="63627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193</xdr:row>
      <xdr:rowOff>0</xdr:rowOff>
    </xdr:from>
    <xdr:to>
      <xdr:col>11</xdr:col>
      <xdr:colOff>83820</xdr:colOff>
      <xdr:row>193</xdr:row>
      <xdr:rowOff>114300</xdr:rowOff>
    </xdr:to>
    <xdr:sp macro="" textlink="">
      <xdr:nvSpPr>
        <xdr:cNvPr id="1392" name="Arrow: Down 1391">
          <a:extLst>
            <a:ext uri="{FF2B5EF4-FFF2-40B4-BE49-F238E27FC236}">
              <a16:creationId xmlns:a16="http://schemas.microsoft.com/office/drawing/2014/main" id="{DF710637-E6FC-4BE5-9F22-786EBF0C74F2}"/>
            </a:ext>
          </a:extLst>
        </xdr:cNvPr>
        <xdr:cNvSpPr/>
      </xdr:nvSpPr>
      <xdr:spPr>
        <a:xfrm>
          <a:off x="361950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193</xdr:row>
      <xdr:rowOff>0</xdr:rowOff>
    </xdr:from>
    <xdr:to>
      <xdr:col>5</xdr:col>
      <xdr:colOff>83820</xdr:colOff>
      <xdr:row>193</xdr:row>
      <xdr:rowOff>114300</xdr:rowOff>
    </xdr:to>
    <xdr:sp macro="" textlink="">
      <xdr:nvSpPr>
        <xdr:cNvPr id="1393" name="Arrow: Down 1392">
          <a:extLst>
            <a:ext uri="{FF2B5EF4-FFF2-40B4-BE49-F238E27FC236}">
              <a16:creationId xmlns:a16="http://schemas.microsoft.com/office/drawing/2014/main" id="{A8D04284-13CA-496C-8877-4C19F49E3953}"/>
            </a:ext>
          </a:extLst>
        </xdr:cNvPr>
        <xdr:cNvSpPr/>
      </xdr:nvSpPr>
      <xdr:spPr>
        <a:xfrm>
          <a:off x="1927860" y="3521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19" name="Arrow: Down 1418">
          <a:extLst>
            <a:ext uri="{FF2B5EF4-FFF2-40B4-BE49-F238E27FC236}">
              <a16:creationId xmlns:a16="http://schemas.microsoft.com/office/drawing/2014/main" id="{3C9FAF8C-073B-4A1D-926B-8F9CC52B1C27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4" name="Arrow: Down 1423">
          <a:extLst>
            <a:ext uri="{FF2B5EF4-FFF2-40B4-BE49-F238E27FC236}">
              <a16:creationId xmlns:a16="http://schemas.microsoft.com/office/drawing/2014/main" id="{568CFDA5-EC12-4BEC-9B09-C00EA402DF70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194</xdr:row>
      <xdr:rowOff>0</xdr:rowOff>
    </xdr:from>
    <xdr:to>
      <xdr:col>71</xdr:col>
      <xdr:colOff>83820</xdr:colOff>
      <xdr:row>194</xdr:row>
      <xdr:rowOff>114300</xdr:rowOff>
    </xdr:to>
    <xdr:sp macro="" textlink="">
      <xdr:nvSpPr>
        <xdr:cNvPr id="1425" name="Arrow: Down 1424">
          <a:extLst>
            <a:ext uri="{FF2B5EF4-FFF2-40B4-BE49-F238E27FC236}">
              <a16:creationId xmlns:a16="http://schemas.microsoft.com/office/drawing/2014/main" id="{5F776C9B-6830-4335-BD0E-A6A3705A450F}"/>
            </a:ext>
          </a:extLst>
        </xdr:cNvPr>
        <xdr:cNvSpPr/>
      </xdr:nvSpPr>
      <xdr:spPr>
        <a:xfrm>
          <a:off x="1840992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194</xdr:row>
      <xdr:rowOff>0</xdr:rowOff>
    </xdr:from>
    <xdr:to>
      <xdr:col>45</xdr:col>
      <xdr:colOff>83820</xdr:colOff>
      <xdr:row>194</xdr:row>
      <xdr:rowOff>114300</xdr:rowOff>
    </xdr:to>
    <xdr:sp macro="" textlink="">
      <xdr:nvSpPr>
        <xdr:cNvPr id="1427" name="Arrow: Down 1426">
          <a:extLst>
            <a:ext uri="{FF2B5EF4-FFF2-40B4-BE49-F238E27FC236}">
              <a16:creationId xmlns:a16="http://schemas.microsoft.com/office/drawing/2014/main" id="{1896BEEF-177D-4F5D-9B38-56D429C78E1B}"/>
            </a:ext>
          </a:extLst>
        </xdr:cNvPr>
        <xdr:cNvSpPr/>
      </xdr:nvSpPr>
      <xdr:spPr>
        <a:xfrm rot="10800000">
          <a:off x="11330940" y="3539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194</xdr:row>
      <xdr:rowOff>0</xdr:rowOff>
    </xdr:from>
    <xdr:to>
      <xdr:col>60</xdr:col>
      <xdr:colOff>83820</xdr:colOff>
      <xdr:row>194</xdr:row>
      <xdr:rowOff>114300</xdr:rowOff>
    </xdr:to>
    <xdr:sp macro="" textlink="">
      <xdr:nvSpPr>
        <xdr:cNvPr id="1448" name="Arrow: Down 1447">
          <a:extLst>
            <a:ext uri="{FF2B5EF4-FFF2-40B4-BE49-F238E27FC236}">
              <a16:creationId xmlns:a16="http://schemas.microsoft.com/office/drawing/2014/main" id="{E3567C6C-1DBC-46F4-845C-2C06C9A576B1}"/>
            </a:ext>
          </a:extLst>
        </xdr:cNvPr>
        <xdr:cNvSpPr/>
      </xdr:nvSpPr>
      <xdr:spPr>
        <a:xfrm rot="10800000">
          <a:off x="1609344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194</xdr:row>
      <xdr:rowOff>0</xdr:rowOff>
    </xdr:from>
    <xdr:to>
      <xdr:col>39</xdr:col>
      <xdr:colOff>83820</xdr:colOff>
      <xdr:row>194</xdr:row>
      <xdr:rowOff>114300</xdr:rowOff>
    </xdr:to>
    <xdr:sp macro="" textlink="">
      <xdr:nvSpPr>
        <xdr:cNvPr id="1450" name="Arrow: Down 1449">
          <a:extLst>
            <a:ext uri="{FF2B5EF4-FFF2-40B4-BE49-F238E27FC236}">
              <a16:creationId xmlns:a16="http://schemas.microsoft.com/office/drawing/2014/main" id="{F80F5A38-7393-4D8E-9189-D198B5966C44}"/>
            </a:ext>
          </a:extLst>
        </xdr:cNvPr>
        <xdr:cNvSpPr/>
      </xdr:nvSpPr>
      <xdr:spPr>
        <a:xfrm rot="10800000">
          <a:off x="952500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194</xdr:row>
      <xdr:rowOff>0</xdr:rowOff>
    </xdr:from>
    <xdr:to>
      <xdr:col>24</xdr:col>
      <xdr:colOff>83820</xdr:colOff>
      <xdr:row>194</xdr:row>
      <xdr:rowOff>114300</xdr:rowOff>
    </xdr:to>
    <xdr:sp macro="" textlink="">
      <xdr:nvSpPr>
        <xdr:cNvPr id="1451" name="Arrow: Down 1450">
          <a:extLst>
            <a:ext uri="{FF2B5EF4-FFF2-40B4-BE49-F238E27FC236}">
              <a16:creationId xmlns:a16="http://schemas.microsoft.com/office/drawing/2014/main" id="{77D782D1-FDBC-4B05-B2FF-11C20A11C24B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194</xdr:row>
      <xdr:rowOff>0</xdr:rowOff>
    </xdr:from>
    <xdr:to>
      <xdr:col>5</xdr:col>
      <xdr:colOff>83820</xdr:colOff>
      <xdr:row>194</xdr:row>
      <xdr:rowOff>114300</xdr:rowOff>
    </xdr:to>
    <xdr:sp macro="" textlink="">
      <xdr:nvSpPr>
        <xdr:cNvPr id="1453" name="Arrow: Down 1452">
          <a:extLst>
            <a:ext uri="{FF2B5EF4-FFF2-40B4-BE49-F238E27FC236}">
              <a16:creationId xmlns:a16="http://schemas.microsoft.com/office/drawing/2014/main" id="{7398FAEE-3E7D-4B76-BF73-04C95DC039A1}"/>
            </a:ext>
          </a:extLst>
        </xdr:cNvPr>
        <xdr:cNvSpPr/>
      </xdr:nvSpPr>
      <xdr:spPr>
        <a:xfrm rot="10800000">
          <a:off x="192786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194</xdr:row>
      <xdr:rowOff>0</xdr:rowOff>
    </xdr:from>
    <xdr:to>
      <xdr:col>11</xdr:col>
      <xdr:colOff>83820</xdr:colOff>
      <xdr:row>194</xdr:row>
      <xdr:rowOff>114300</xdr:rowOff>
    </xdr:to>
    <xdr:sp macro="" textlink="">
      <xdr:nvSpPr>
        <xdr:cNvPr id="1454" name="Arrow: Down 1453">
          <a:extLst>
            <a:ext uri="{FF2B5EF4-FFF2-40B4-BE49-F238E27FC236}">
              <a16:creationId xmlns:a16="http://schemas.microsoft.com/office/drawing/2014/main" id="{D3813916-3F76-445A-848F-A57B0E88538C}"/>
            </a:ext>
          </a:extLst>
        </xdr:cNvPr>
        <xdr:cNvSpPr/>
      </xdr:nvSpPr>
      <xdr:spPr>
        <a:xfrm rot="10800000">
          <a:off x="36195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5" name="Arrow: Down 1414">
          <a:extLst>
            <a:ext uri="{FF2B5EF4-FFF2-40B4-BE49-F238E27FC236}">
              <a16:creationId xmlns:a16="http://schemas.microsoft.com/office/drawing/2014/main" id="{69C13B5D-FD2F-49E2-A5FE-51FC8508862E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6" name="Arrow: Down 1415">
          <a:extLst>
            <a:ext uri="{FF2B5EF4-FFF2-40B4-BE49-F238E27FC236}">
              <a16:creationId xmlns:a16="http://schemas.microsoft.com/office/drawing/2014/main" id="{254C8C3B-D0FF-4C26-9C62-922271450E2B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195</xdr:row>
      <xdr:rowOff>0</xdr:rowOff>
    </xdr:from>
    <xdr:to>
      <xdr:col>71</xdr:col>
      <xdr:colOff>83820</xdr:colOff>
      <xdr:row>195</xdr:row>
      <xdr:rowOff>114300</xdr:rowOff>
    </xdr:to>
    <xdr:sp macro="" textlink="">
      <xdr:nvSpPr>
        <xdr:cNvPr id="1417" name="Arrow: Down 1416">
          <a:extLst>
            <a:ext uri="{FF2B5EF4-FFF2-40B4-BE49-F238E27FC236}">
              <a16:creationId xmlns:a16="http://schemas.microsoft.com/office/drawing/2014/main" id="{EDDE4C1A-E115-4226-9A37-1CF1BCBC80AF}"/>
            </a:ext>
          </a:extLst>
        </xdr:cNvPr>
        <xdr:cNvSpPr/>
      </xdr:nvSpPr>
      <xdr:spPr>
        <a:xfrm>
          <a:off x="1840992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195</xdr:row>
      <xdr:rowOff>0</xdr:rowOff>
    </xdr:from>
    <xdr:to>
      <xdr:col>45</xdr:col>
      <xdr:colOff>83820</xdr:colOff>
      <xdr:row>195</xdr:row>
      <xdr:rowOff>114300</xdr:rowOff>
    </xdr:to>
    <xdr:sp macro="" textlink="">
      <xdr:nvSpPr>
        <xdr:cNvPr id="1418" name="Arrow: Down 1417">
          <a:extLst>
            <a:ext uri="{FF2B5EF4-FFF2-40B4-BE49-F238E27FC236}">
              <a16:creationId xmlns:a16="http://schemas.microsoft.com/office/drawing/2014/main" id="{07B9EC51-47F0-47F2-996E-99805868B83F}"/>
            </a:ext>
          </a:extLst>
        </xdr:cNvPr>
        <xdr:cNvSpPr/>
      </xdr:nvSpPr>
      <xdr:spPr>
        <a:xfrm rot="10800000">
          <a:off x="11330940" y="3557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195</xdr:row>
      <xdr:rowOff>0</xdr:rowOff>
    </xdr:from>
    <xdr:to>
      <xdr:col>24</xdr:col>
      <xdr:colOff>83820</xdr:colOff>
      <xdr:row>195</xdr:row>
      <xdr:rowOff>114300</xdr:rowOff>
    </xdr:to>
    <xdr:sp macro="" textlink="">
      <xdr:nvSpPr>
        <xdr:cNvPr id="1436" name="Arrow: Down 1435">
          <a:extLst>
            <a:ext uri="{FF2B5EF4-FFF2-40B4-BE49-F238E27FC236}">
              <a16:creationId xmlns:a16="http://schemas.microsoft.com/office/drawing/2014/main" id="{2305382A-F04E-40BF-A969-53B69FBF3D44}"/>
            </a:ext>
          </a:extLst>
        </xdr:cNvPr>
        <xdr:cNvSpPr/>
      </xdr:nvSpPr>
      <xdr:spPr>
        <a:xfrm rot="10800000">
          <a:off x="6362700" y="3557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195</xdr:row>
      <xdr:rowOff>0</xdr:rowOff>
    </xdr:from>
    <xdr:to>
      <xdr:col>5</xdr:col>
      <xdr:colOff>83820</xdr:colOff>
      <xdr:row>195</xdr:row>
      <xdr:rowOff>114300</xdr:rowOff>
    </xdr:to>
    <xdr:sp macro="" textlink="">
      <xdr:nvSpPr>
        <xdr:cNvPr id="1449" name="Arrow: Down 1448">
          <a:extLst>
            <a:ext uri="{FF2B5EF4-FFF2-40B4-BE49-F238E27FC236}">
              <a16:creationId xmlns:a16="http://schemas.microsoft.com/office/drawing/2014/main" id="{2E5560A5-0C7A-431F-87AB-5E1928DB56B2}"/>
            </a:ext>
          </a:extLst>
        </xdr:cNvPr>
        <xdr:cNvSpPr/>
      </xdr:nvSpPr>
      <xdr:spPr>
        <a:xfrm>
          <a:off x="192786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195</xdr:row>
      <xdr:rowOff>0</xdr:rowOff>
    </xdr:from>
    <xdr:to>
      <xdr:col>11</xdr:col>
      <xdr:colOff>83820</xdr:colOff>
      <xdr:row>195</xdr:row>
      <xdr:rowOff>114300</xdr:rowOff>
    </xdr:to>
    <xdr:sp macro="" textlink="">
      <xdr:nvSpPr>
        <xdr:cNvPr id="1452" name="Arrow: Down 1451">
          <a:extLst>
            <a:ext uri="{FF2B5EF4-FFF2-40B4-BE49-F238E27FC236}">
              <a16:creationId xmlns:a16="http://schemas.microsoft.com/office/drawing/2014/main" id="{F1277F4C-6728-41CE-9AA4-0557F935C29A}"/>
            </a:ext>
          </a:extLst>
        </xdr:cNvPr>
        <xdr:cNvSpPr/>
      </xdr:nvSpPr>
      <xdr:spPr>
        <a:xfrm>
          <a:off x="361950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195</xdr:row>
      <xdr:rowOff>0</xdr:rowOff>
    </xdr:from>
    <xdr:to>
      <xdr:col>39</xdr:col>
      <xdr:colOff>83820</xdr:colOff>
      <xdr:row>195</xdr:row>
      <xdr:rowOff>114300</xdr:rowOff>
    </xdr:to>
    <xdr:sp macro="" textlink="">
      <xdr:nvSpPr>
        <xdr:cNvPr id="1455" name="Arrow: Down 1454">
          <a:extLst>
            <a:ext uri="{FF2B5EF4-FFF2-40B4-BE49-F238E27FC236}">
              <a16:creationId xmlns:a16="http://schemas.microsoft.com/office/drawing/2014/main" id="{B398C1FB-1482-4292-BC55-20545B174E6D}"/>
            </a:ext>
          </a:extLst>
        </xdr:cNvPr>
        <xdr:cNvSpPr/>
      </xdr:nvSpPr>
      <xdr:spPr>
        <a:xfrm>
          <a:off x="1180338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195</xdr:row>
      <xdr:rowOff>0</xdr:rowOff>
    </xdr:from>
    <xdr:to>
      <xdr:col>60</xdr:col>
      <xdr:colOff>83820</xdr:colOff>
      <xdr:row>195</xdr:row>
      <xdr:rowOff>114300</xdr:rowOff>
    </xdr:to>
    <xdr:sp macro="" textlink="">
      <xdr:nvSpPr>
        <xdr:cNvPr id="1457" name="Arrow: Down 1456">
          <a:extLst>
            <a:ext uri="{FF2B5EF4-FFF2-40B4-BE49-F238E27FC236}">
              <a16:creationId xmlns:a16="http://schemas.microsoft.com/office/drawing/2014/main" id="{F9F43A51-E045-4DF9-B590-0043C317B751}"/>
            </a:ext>
          </a:extLst>
        </xdr:cNvPr>
        <xdr:cNvSpPr/>
      </xdr:nvSpPr>
      <xdr:spPr>
        <a:xfrm>
          <a:off x="183718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58" name="Arrow: Down 1457">
          <a:extLst>
            <a:ext uri="{FF2B5EF4-FFF2-40B4-BE49-F238E27FC236}">
              <a16:creationId xmlns:a16="http://schemas.microsoft.com/office/drawing/2014/main" id="{499002BF-AD07-4081-B2BE-9EC90A596534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59" name="Arrow: Down 1458">
          <a:extLst>
            <a:ext uri="{FF2B5EF4-FFF2-40B4-BE49-F238E27FC236}">
              <a16:creationId xmlns:a16="http://schemas.microsoft.com/office/drawing/2014/main" id="{BD3BF816-EA51-4809-9148-2BAD4B6B92A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196</xdr:row>
      <xdr:rowOff>0</xdr:rowOff>
    </xdr:from>
    <xdr:to>
      <xdr:col>71</xdr:col>
      <xdr:colOff>83820</xdr:colOff>
      <xdr:row>196</xdr:row>
      <xdr:rowOff>114300</xdr:rowOff>
    </xdr:to>
    <xdr:sp macro="" textlink="">
      <xdr:nvSpPr>
        <xdr:cNvPr id="1460" name="Arrow: Down 1459">
          <a:extLst>
            <a:ext uri="{FF2B5EF4-FFF2-40B4-BE49-F238E27FC236}">
              <a16:creationId xmlns:a16="http://schemas.microsoft.com/office/drawing/2014/main" id="{813BE744-BD10-4679-8CE7-3BB40DCCE67A}"/>
            </a:ext>
          </a:extLst>
        </xdr:cNvPr>
        <xdr:cNvSpPr/>
      </xdr:nvSpPr>
      <xdr:spPr>
        <a:xfrm>
          <a:off x="1840992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196</xdr:row>
      <xdr:rowOff>0</xdr:rowOff>
    </xdr:from>
    <xdr:to>
      <xdr:col>45</xdr:col>
      <xdr:colOff>83820</xdr:colOff>
      <xdr:row>196</xdr:row>
      <xdr:rowOff>114300</xdr:rowOff>
    </xdr:to>
    <xdr:sp macro="" textlink="">
      <xdr:nvSpPr>
        <xdr:cNvPr id="1461" name="Arrow: Down 1460">
          <a:extLst>
            <a:ext uri="{FF2B5EF4-FFF2-40B4-BE49-F238E27FC236}">
              <a16:creationId xmlns:a16="http://schemas.microsoft.com/office/drawing/2014/main" id="{9CB702DB-FE2C-43B2-8469-9BFCA1B60971}"/>
            </a:ext>
          </a:extLst>
        </xdr:cNvPr>
        <xdr:cNvSpPr/>
      </xdr:nvSpPr>
      <xdr:spPr>
        <a:xfrm rot="10800000">
          <a:off x="113309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196</xdr:row>
      <xdr:rowOff>0</xdr:rowOff>
    </xdr:from>
    <xdr:to>
      <xdr:col>24</xdr:col>
      <xdr:colOff>83820</xdr:colOff>
      <xdr:row>196</xdr:row>
      <xdr:rowOff>114300</xdr:rowOff>
    </xdr:to>
    <xdr:sp macro="" textlink="">
      <xdr:nvSpPr>
        <xdr:cNvPr id="1462" name="Arrow: Down 1461">
          <a:extLst>
            <a:ext uri="{FF2B5EF4-FFF2-40B4-BE49-F238E27FC236}">
              <a16:creationId xmlns:a16="http://schemas.microsoft.com/office/drawing/2014/main" id="{C00C4BE7-C3D0-420B-9EB0-77F6580A13D0}"/>
            </a:ext>
          </a:extLst>
        </xdr:cNvPr>
        <xdr:cNvSpPr/>
      </xdr:nvSpPr>
      <xdr:spPr>
        <a:xfrm rot="10800000">
          <a:off x="6362700" y="3576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196</xdr:row>
      <xdr:rowOff>0</xdr:rowOff>
    </xdr:from>
    <xdr:to>
      <xdr:col>60</xdr:col>
      <xdr:colOff>83820</xdr:colOff>
      <xdr:row>196</xdr:row>
      <xdr:rowOff>114300</xdr:rowOff>
    </xdr:to>
    <xdr:sp macro="" textlink="">
      <xdr:nvSpPr>
        <xdr:cNvPr id="1466" name="Arrow: Down 1465">
          <a:extLst>
            <a:ext uri="{FF2B5EF4-FFF2-40B4-BE49-F238E27FC236}">
              <a16:creationId xmlns:a16="http://schemas.microsoft.com/office/drawing/2014/main" id="{882C9745-DB24-449A-87D2-71CF8B12571B}"/>
            </a:ext>
          </a:extLst>
        </xdr:cNvPr>
        <xdr:cNvSpPr/>
      </xdr:nvSpPr>
      <xdr:spPr>
        <a:xfrm>
          <a:off x="16093440" y="3576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196</xdr:row>
      <xdr:rowOff>0</xdr:rowOff>
    </xdr:from>
    <xdr:to>
      <xdr:col>5</xdr:col>
      <xdr:colOff>83820</xdr:colOff>
      <xdr:row>196</xdr:row>
      <xdr:rowOff>114300</xdr:rowOff>
    </xdr:to>
    <xdr:sp macro="" textlink="">
      <xdr:nvSpPr>
        <xdr:cNvPr id="1467" name="Arrow: Down 1466">
          <a:extLst>
            <a:ext uri="{FF2B5EF4-FFF2-40B4-BE49-F238E27FC236}">
              <a16:creationId xmlns:a16="http://schemas.microsoft.com/office/drawing/2014/main" id="{A59D0A2F-5E32-47D7-9B2D-23896D517919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196</xdr:row>
      <xdr:rowOff>0</xdr:rowOff>
    </xdr:from>
    <xdr:to>
      <xdr:col>11</xdr:col>
      <xdr:colOff>83820</xdr:colOff>
      <xdr:row>196</xdr:row>
      <xdr:rowOff>114300</xdr:rowOff>
    </xdr:to>
    <xdr:sp macro="" textlink="">
      <xdr:nvSpPr>
        <xdr:cNvPr id="1468" name="Arrow: Down 1467">
          <a:extLst>
            <a:ext uri="{FF2B5EF4-FFF2-40B4-BE49-F238E27FC236}">
              <a16:creationId xmlns:a16="http://schemas.microsoft.com/office/drawing/2014/main" id="{71CFCFAD-6E13-48A0-839F-ABBD7F997E7A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196</xdr:row>
      <xdr:rowOff>0</xdr:rowOff>
    </xdr:from>
    <xdr:to>
      <xdr:col>39</xdr:col>
      <xdr:colOff>83820</xdr:colOff>
      <xdr:row>196</xdr:row>
      <xdr:rowOff>114300</xdr:rowOff>
    </xdr:to>
    <xdr:sp macro="" textlink="">
      <xdr:nvSpPr>
        <xdr:cNvPr id="1469" name="Arrow: Down 1468">
          <a:extLst>
            <a:ext uri="{FF2B5EF4-FFF2-40B4-BE49-F238E27FC236}">
              <a16:creationId xmlns:a16="http://schemas.microsoft.com/office/drawing/2014/main" id="{7B04FF91-D40C-41A6-94D6-59651D69B9F6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0" name="Arrow: Down 1469">
          <a:extLst>
            <a:ext uri="{FF2B5EF4-FFF2-40B4-BE49-F238E27FC236}">
              <a16:creationId xmlns:a16="http://schemas.microsoft.com/office/drawing/2014/main" id="{FB5A24B4-0E3C-4E32-BBE1-022528B644C3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1" name="Arrow: Down 1470">
          <a:extLst>
            <a:ext uri="{FF2B5EF4-FFF2-40B4-BE49-F238E27FC236}">
              <a16:creationId xmlns:a16="http://schemas.microsoft.com/office/drawing/2014/main" id="{606732C1-035D-418E-B291-D066ED6A3693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197</xdr:row>
      <xdr:rowOff>0</xdr:rowOff>
    </xdr:from>
    <xdr:to>
      <xdr:col>71</xdr:col>
      <xdr:colOff>83820</xdr:colOff>
      <xdr:row>197</xdr:row>
      <xdr:rowOff>114300</xdr:rowOff>
    </xdr:to>
    <xdr:sp macro="" textlink="">
      <xdr:nvSpPr>
        <xdr:cNvPr id="1472" name="Arrow: Down 1471">
          <a:extLst>
            <a:ext uri="{FF2B5EF4-FFF2-40B4-BE49-F238E27FC236}">
              <a16:creationId xmlns:a16="http://schemas.microsoft.com/office/drawing/2014/main" id="{6CB10B81-A25C-492A-9083-BA96B5F993F8}"/>
            </a:ext>
          </a:extLst>
        </xdr:cNvPr>
        <xdr:cNvSpPr/>
      </xdr:nvSpPr>
      <xdr:spPr>
        <a:xfrm>
          <a:off x="184556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197</xdr:row>
      <xdr:rowOff>0</xdr:rowOff>
    </xdr:from>
    <xdr:to>
      <xdr:col>45</xdr:col>
      <xdr:colOff>83820</xdr:colOff>
      <xdr:row>197</xdr:row>
      <xdr:rowOff>114300</xdr:rowOff>
    </xdr:to>
    <xdr:sp macro="" textlink="">
      <xdr:nvSpPr>
        <xdr:cNvPr id="1473" name="Arrow: Down 1472">
          <a:extLst>
            <a:ext uri="{FF2B5EF4-FFF2-40B4-BE49-F238E27FC236}">
              <a16:creationId xmlns:a16="http://schemas.microsoft.com/office/drawing/2014/main" id="{D75B4CA1-7294-4C51-98BA-5A831AD30A6B}"/>
            </a:ext>
          </a:extLst>
        </xdr:cNvPr>
        <xdr:cNvSpPr/>
      </xdr:nvSpPr>
      <xdr:spPr>
        <a:xfrm rot="10800000">
          <a:off x="1133094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197</xdr:row>
      <xdr:rowOff>0</xdr:rowOff>
    </xdr:from>
    <xdr:to>
      <xdr:col>60</xdr:col>
      <xdr:colOff>83820</xdr:colOff>
      <xdr:row>197</xdr:row>
      <xdr:rowOff>114300</xdr:rowOff>
    </xdr:to>
    <xdr:sp macro="" textlink="">
      <xdr:nvSpPr>
        <xdr:cNvPr id="1475" name="Arrow: Down 1474">
          <a:extLst>
            <a:ext uri="{FF2B5EF4-FFF2-40B4-BE49-F238E27FC236}">
              <a16:creationId xmlns:a16="http://schemas.microsoft.com/office/drawing/2014/main" id="{74E5F558-4F52-4DBB-9D95-259948F79153}"/>
            </a:ext>
          </a:extLst>
        </xdr:cNvPr>
        <xdr:cNvSpPr/>
      </xdr:nvSpPr>
      <xdr:spPr>
        <a:xfrm>
          <a:off x="1613916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197</xdr:row>
      <xdr:rowOff>0</xdr:rowOff>
    </xdr:from>
    <xdr:to>
      <xdr:col>5</xdr:col>
      <xdr:colOff>83820</xdr:colOff>
      <xdr:row>197</xdr:row>
      <xdr:rowOff>114300</xdr:rowOff>
    </xdr:to>
    <xdr:sp macro="" textlink="">
      <xdr:nvSpPr>
        <xdr:cNvPr id="1476" name="Arrow: Down 1475">
          <a:extLst>
            <a:ext uri="{FF2B5EF4-FFF2-40B4-BE49-F238E27FC236}">
              <a16:creationId xmlns:a16="http://schemas.microsoft.com/office/drawing/2014/main" id="{F709F72C-361B-462F-ADC3-BC501A7F4A1A}"/>
            </a:ext>
          </a:extLst>
        </xdr:cNvPr>
        <xdr:cNvSpPr/>
      </xdr:nvSpPr>
      <xdr:spPr>
        <a:xfrm rot="10800000">
          <a:off x="192786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197</xdr:row>
      <xdr:rowOff>0</xdr:rowOff>
    </xdr:from>
    <xdr:to>
      <xdr:col>11</xdr:col>
      <xdr:colOff>83820</xdr:colOff>
      <xdr:row>197</xdr:row>
      <xdr:rowOff>114300</xdr:rowOff>
    </xdr:to>
    <xdr:sp macro="" textlink="">
      <xdr:nvSpPr>
        <xdr:cNvPr id="1477" name="Arrow: Down 1476">
          <a:extLst>
            <a:ext uri="{FF2B5EF4-FFF2-40B4-BE49-F238E27FC236}">
              <a16:creationId xmlns:a16="http://schemas.microsoft.com/office/drawing/2014/main" id="{810A2499-3D87-4A9C-BFCE-69E7C0E1B2C6}"/>
            </a:ext>
          </a:extLst>
        </xdr:cNvPr>
        <xdr:cNvSpPr/>
      </xdr:nvSpPr>
      <xdr:spPr>
        <a:xfrm rot="10800000">
          <a:off x="3619500" y="3594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197</xdr:row>
      <xdr:rowOff>0</xdr:rowOff>
    </xdr:from>
    <xdr:to>
      <xdr:col>39</xdr:col>
      <xdr:colOff>83820</xdr:colOff>
      <xdr:row>197</xdr:row>
      <xdr:rowOff>114300</xdr:rowOff>
    </xdr:to>
    <xdr:sp macro="" textlink="">
      <xdr:nvSpPr>
        <xdr:cNvPr id="1478" name="Arrow: Down 1477">
          <a:extLst>
            <a:ext uri="{FF2B5EF4-FFF2-40B4-BE49-F238E27FC236}">
              <a16:creationId xmlns:a16="http://schemas.microsoft.com/office/drawing/2014/main" id="{79586BFD-C950-435B-A887-5A6733D6750C}"/>
            </a:ext>
          </a:extLst>
        </xdr:cNvPr>
        <xdr:cNvSpPr/>
      </xdr:nvSpPr>
      <xdr:spPr>
        <a:xfrm rot="10800000">
          <a:off x="9525000" y="3594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197</xdr:row>
      <xdr:rowOff>0</xdr:rowOff>
    </xdr:from>
    <xdr:to>
      <xdr:col>24</xdr:col>
      <xdr:colOff>83820</xdr:colOff>
      <xdr:row>197</xdr:row>
      <xdr:rowOff>114300</xdr:rowOff>
    </xdr:to>
    <xdr:sp macro="" textlink="">
      <xdr:nvSpPr>
        <xdr:cNvPr id="1480" name="Arrow: Down 1479">
          <a:extLst>
            <a:ext uri="{FF2B5EF4-FFF2-40B4-BE49-F238E27FC236}">
              <a16:creationId xmlns:a16="http://schemas.microsoft.com/office/drawing/2014/main" id="{98D9E041-BD6F-40B5-B087-973ABFEFA092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1" name="Arrow: Down 1480">
          <a:extLst>
            <a:ext uri="{FF2B5EF4-FFF2-40B4-BE49-F238E27FC236}">
              <a16:creationId xmlns:a16="http://schemas.microsoft.com/office/drawing/2014/main" id="{EAFE4103-25D0-4C73-A653-0475BDF640E3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2" name="Arrow: Down 1481">
          <a:extLst>
            <a:ext uri="{FF2B5EF4-FFF2-40B4-BE49-F238E27FC236}">
              <a16:creationId xmlns:a16="http://schemas.microsoft.com/office/drawing/2014/main" id="{1E172573-C5E9-4623-A4A4-197988BF9A96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198</xdr:row>
      <xdr:rowOff>0</xdr:rowOff>
    </xdr:from>
    <xdr:to>
      <xdr:col>71</xdr:col>
      <xdr:colOff>83820</xdr:colOff>
      <xdr:row>198</xdr:row>
      <xdr:rowOff>114300</xdr:rowOff>
    </xdr:to>
    <xdr:sp macro="" textlink="">
      <xdr:nvSpPr>
        <xdr:cNvPr id="1483" name="Arrow: Down 1482">
          <a:extLst>
            <a:ext uri="{FF2B5EF4-FFF2-40B4-BE49-F238E27FC236}">
              <a16:creationId xmlns:a16="http://schemas.microsoft.com/office/drawing/2014/main" id="{8BA04A41-6B42-4ADC-8248-9D33E64BF4B0}"/>
            </a:ext>
          </a:extLst>
        </xdr:cNvPr>
        <xdr:cNvSpPr/>
      </xdr:nvSpPr>
      <xdr:spPr>
        <a:xfrm>
          <a:off x="184556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198</xdr:row>
      <xdr:rowOff>0</xdr:rowOff>
    </xdr:from>
    <xdr:to>
      <xdr:col>45</xdr:col>
      <xdr:colOff>83820</xdr:colOff>
      <xdr:row>198</xdr:row>
      <xdr:rowOff>114300</xdr:rowOff>
    </xdr:to>
    <xdr:sp macro="" textlink="">
      <xdr:nvSpPr>
        <xdr:cNvPr id="1484" name="Arrow: Down 1483">
          <a:extLst>
            <a:ext uri="{FF2B5EF4-FFF2-40B4-BE49-F238E27FC236}">
              <a16:creationId xmlns:a16="http://schemas.microsoft.com/office/drawing/2014/main" id="{20AF39D4-1FD5-4A26-91A9-6DA767BCE547}"/>
            </a:ext>
          </a:extLst>
        </xdr:cNvPr>
        <xdr:cNvSpPr/>
      </xdr:nvSpPr>
      <xdr:spPr>
        <a:xfrm rot="10800000">
          <a:off x="1133094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198</xdr:row>
      <xdr:rowOff>0</xdr:rowOff>
    </xdr:from>
    <xdr:to>
      <xdr:col>5</xdr:col>
      <xdr:colOff>83820</xdr:colOff>
      <xdr:row>198</xdr:row>
      <xdr:rowOff>114300</xdr:rowOff>
    </xdr:to>
    <xdr:sp macro="" textlink="">
      <xdr:nvSpPr>
        <xdr:cNvPr id="1486" name="Arrow: Down 1485">
          <a:extLst>
            <a:ext uri="{FF2B5EF4-FFF2-40B4-BE49-F238E27FC236}">
              <a16:creationId xmlns:a16="http://schemas.microsoft.com/office/drawing/2014/main" id="{0BBCD458-9669-430B-8C52-ADF09203020D}"/>
            </a:ext>
          </a:extLst>
        </xdr:cNvPr>
        <xdr:cNvSpPr/>
      </xdr:nvSpPr>
      <xdr:spPr>
        <a:xfrm rot="10800000">
          <a:off x="192786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198</xdr:row>
      <xdr:rowOff>0</xdr:rowOff>
    </xdr:from>
    <xdr:to>
      <xdr:col>11</xdr:col>
      <xdr:colOff>83820</xdr:colOff>
      <xdr:row>198</xdr:row>
      <xdr:rowOff>114300</xdr:rowOff>
    </xdr:to>
    <xdr:sp macro="" textlink="">
      <xdr:nvSpPr>
        <xdr:cNvPr id="1487" name="Arrow: Down 1486">
          <a:extLst>
            <a:ext uri="{FF2B5EF4-FFF2-40B4-BE49-F238E27FC236}">
              <a16:creationId xmlns:a16="http://schemas.microsoft.com/office/drawing/2014/main" id="{42FE42B0-FD31-4D60-83D7-F99AA0025F01}"/>
            </a:ext>
          </a:extLst>
        </xdr:cNvPr>
        <xdr:cNvSpPr/>
      </xdr:nvSpPr>
      <xdr:spPr>
        <a:xfrm rot="10800000">
          <a:off x="3619500" y="36126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198</xdr:row>
      <xdr:rowOff>0</xdr:rowOff>
    </xdr:from>
    <xdr:to>
      <xdr:col>39</xdr:col>
      <xdr:colOff>83820</xdr:colOff>
      <xdr:row>198</xdr:row>
      <xdr:rowOff>114300</xdr:rowOff>
    </xdr:to>
    <xdr:sp macro="" textlink="">
      <xdr:nvSpPr>
        <xdr:cNvPr id="1488" name="Arrow: Down 1487">
          <a:extLst>
            <a:ext uri="{FF2B5EF4-FFF2-40B4-BE49-F238E27FC236}">
              <a16:creationId xmlns:a16="http://schemas.microsoft.com/office/drawing/2014/main" id="{1963A889-C213-4116-8ECA-606379D29861}"/>
            </a:ext>
          </a:extLst>
        </xdr:cNvPr>
        <xdr:cNvSpPr/>
      </xdr:nvSpPr>
      <xdr:spPr>
        <a:xfrm rot="10800000">
          <a:off x="95250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198</xdr:row>
      <xdr:rowOff>0</xdr:rowOff>
    </xdr:from>
    <xdr:to>
      <xdr:col>24</xdr:col>
      <xdr:colOff>83820</xdr:colOff>
      <xdr:row>198</xdr:row>
      <xdr:rowOff>114300</xdr:rowOff>
    </xdr:to>
    <xdr:sp macro="" textlink="">
      <xdr:nvSpPr>
        <xdr:cNvPr id="1489" name="Arrow: Down 1488">
          <a:extLst>
            <a:ext uri="{FF2B5EF4-FFF2-40B4-BE49-F238E27FC236}">
              <a16:creationId xmlns:a16="http://schemas.microsoft.com/office/drawing/2014/main" id="{03B39E06-B2D1-44E2-A695-42ADBC9E9004}"/>
            </a:ext>
          </a:extLst>
        </xdr:cNvPr>
        <xdr:cNvSpPr/>
      </xdr:nvSpPr>
      <xdr:spPr>
        <a:xfrm>
          <a:off x="6362700" y="3612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198</xdr:row>
      <xdr:rowOff>0</xdr:rowOff>
    </xdr:from>
    <xdr:to>
      <xdr:col>60</xdr:col>
      <xdr:colOff>83820</xdr:colOff>
      <xdr:row>198</xdr:row>
      <xdr:rowOff>114300</xdr:rowOff>
    </xdr:to>
    <xdr:sp macro="" textlink="">
      <xdr:nvSpPr>
        <xdr:cNvPr id="1491" name="Arrow: Down 1490">
          <a:extLst>
            <a:ext uri="{FF2B5EF4-FFF2-40B4-BE49-F238E27FC236}">
              <a16:creationId xmlns:a16="http://schemas.microsoft.com/office/drawing/2014/main" id="{194ED048-BD44-4F5F-B242-8F298F34FCEA}"/>
            </a:ext>
          </a:extLst>
        </xdr:cNvPr>
        <xdr:cNvSpPr/>
      </xdr:nvSpPr>
      <xdr:spPr>
        <a:xfrm rot="10800000">
          <a:off x="16139160" y="3630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2" name="Arrow: Down 1491">
          <a:extLst>
            <a:ext uri="{FF2B5EF4-FFF2-40B4-BE49-F238E27FC236}">
              <a16:creationId xmlns:a16="http://schemas.microsoft.com/office/drawing/2014/main" id="{38CC6BD5-E5BC-44F2-9D7F-2A1471C0DD8F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3" name="Arrow: Down 1492">
          <a:extLst>
            <a:ext uri="{FF2B5EF4-FFF2-40B4-BE49-F238E27FC236}">
              <a16:creationId xmlns:a16="http://schemas.microsoft.com/office/drawing/2014/main" id="{F5AA5589-5547-4657-B280-1E16D8D9636D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199</xdr:row>
      <xdr:rowOff>0</xdr:rowOff>
    </xdr:from>
    <xdr:to>
      <xdr:col>71</xdr:col>
      <xdr:colOff>83820</xdr:colOff>
      <xdr:row>199</xdr:row>
      <xdr:rowOff>114300</xdr:rowOff>
    </xdr:to>
    <xdr:sp macro="" textlink="">
      <xdr:nvSpPr>
        <xdr:cNvPr id="1494" name="Arrow: Down 1493">
          <a:extLst>
            <a:ext uri="{FF2B5EF4-FFF2-40B4-BE49-F238E27FC236}">
              <a16:creationId xmlns:a16="http://schemas.microsoft.com/office/drawing/2014/main" id="{F2572DF9-C536-4750-AF74-5063342570B7}"/>
            </a:ext>
          </a:extLst>
        </xdr:cNvPr>
        <xdr:cNvSpPr/>
      </xdr:nvSpPr>
      <xdr:spPr>
        <a:xfrm>
          <a:off x="184556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199</xdr:row>
      <xdr:rowOff>0</xdr:rowOff>
    </xdr:from>
    <xdr:to>
      <xdr:col>45</xdr:col>
      <xdr:colOff>83820</xdr:colOff>
      <xdr:row>199</xdr:row>
      <xdr:rowOff>114300</xdr:rowOff>
    </xdr:to>
    <xdr:sp macro="" textlink="">
      <xdr:nvSpPr>
        <xdr:cNvPr id="1495" name="Arrow: Down 1494">
          <a:extLst>
            <a:ext uri="{FF2B5EF4-FFF2-40B4-BE49-F238E27FC236}">
              <a16:creationId xmlns:a16="http://schemas.microsoft.com/office/drawing/2014/main" id="{A0AACC56-FC5E-40B4-AB87-F8C6AC90E5CC}"/>
            </a:ext>
          </a:extLst>
        </xdr:cNvPr>
        <xdr:cNvSpPr/>
      </xdr:nvSpPr>
      <xdr:spPr>
        <a:xfrm rot="10800000">
          <a:off x="1133094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199</xdr:row>
      <xdr:rowOff>0</xdr:rowOff>
    </xdr:from>
    <xdr:to>
      <xdr:col>39</xdr:col>
      <xdr:colOff>83820</xdr:colOff>
      <xdr:row>199</xdr:row>
      <xdr:rowOff>114300</xdr:rowOff>
    </xdr:to>
    <xdr:sp macro="" textlink="">
      <xdr:nvSpPr>
        <xdr:cNvPr id="1498" name="Arrow: Down 1497">
          <a:extLst>
            <a:ext uri="{FF2B5EF4-FFF2-40B4-BE49-F238E27FC236}">
              <a16:creationId xmlns:a16="http://schemas.microsoft.com/office/drawing/2014/main" id="{58ECD722-DE78-4B88-A626-B51EAE75D3F8}"/>
            </a:ext>
          </a:extLst>
        </xdr:cNvPr>
        <xdr:cNvSpPr/>
      </xdr:nvSpPr>
      <xdr:spPr>
        <a:xfrm rot="10800000">
          <a:off x="95250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199</xdr:row>
      <xdr:rowOff>0</xdr:rowOff>
    </xdr:from>
    <xdr:to>
      <xdr:col>24</xdr:col>
      <xdr:colOff>83820</xdr:colOff>
      <xdr:row>199</xdr:row>
      <xdr:rowOff>114300</xdr:rowOff>
    </xdr:to>
    <xdr:sp macro="" textlink="">
      <xdr:nvSpPr>
        <xdr:cNvPr id="1499" name="Arrow: Down 1498">
          <a:extLst>
            <a:ext uri="{FF2B5EF4-FFF2-40B4-BE49-F238E27FC236}">
              <a16:creationId xmlns:a16="http://schemas.microsoft.com/office/drawing/2014/main" id="{8463B461-58CF-495C-B64A-484610B64FB6}"/>
            </a:ext>
          </a:extLst>
        </xdr:cNvPr>
        <xdr:cNvSpPr/>
      </xdr:nvSpPr>
      <xdr:spPr>
        <a:xfrm>
          <a:off x="6362700" y="3630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199</xdr:row>
      <xdr:rowOff>0</xdr:rowOff>
    </xdr:from>
    <xdr:to>
      <xdr:col>5</xdr:col>
      <xdr:colOff>83820</xdr:colOff>
      <xdr:row>199</xdr:row>
      <xdr:rowOff>114300</xdr:rowOff>
    </xdr:to>
    <xdr:sp macro="" textlink="">
      <xdr:nvSpPr>
        <xdr:cNvPr id="1501" name="Arrow: Down 1500">
          <a:extLst>
            <a:ext uri="{FF2B5EF4-FFF2-40B4-BE49-F238E27FC236}">
              <a16:creationId xmlns:a16="http://schemas.microsoft.com/office/drawing/2014/main" id="{C2AF8F5C-464C-45C7-B111-F7677AA18C4F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199</xdr:row>
      <xdr:rowOff>0</xdr:rowOff>
    </xdr:from>
    <xdr:to>
      <xdr:col>11</xdr:col>
      <xdr:colOff>83820</xdr:colOff>
      <xdr:row>199</xdr:row>
      <xdr:rowOff>114300</xdr:rowOff>
    </xdr:to>
    <xdr:sp macro="" textlink="">
      <xdr:nvSpPr>
        <xdr:cNvPr id="1503" name="Arrow: Down 1502">
          <a:extLst>
            <a:ext uri="{FF2B5EF4-FFF2-40B4-BE49-F238E27FC236}">
              <a16:creationId xmlns:a16="http://schemas.microsoft.com/office/drawing/2014/main" id="{017DEDC8-0DA3-432F-9A6A-2EB9DD90BF76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199</xdr:row>
      <xdr:rowOff>0</xdr:rowOff>
    </xdr:from>
    <xdr:to>
      <xdr:col>60</xdr:col>
      <xdr:colOff>83820</xdr:colOff>
      <xdr:row>199</xdr:row>
      <xdr:rowOff>114300</xdr:rowOff>
    </xdr:to>
    <xdr:sp macro="" textlink="">
      <xdr:nvSpPr>
        <xdr:cNvPr id="1504" name="Arrow: Down 1503">
          <a:extLst>
            <a:ext uri="{FF2B5EF4-FFF2-40B4-BE49-F238E27FC236}">
              <a16:creationId xmlns:a16="http://schemas.microsoft.com/office/drawing/2014/main" id="{DCC554AF-5761-4E51-B049-D5F7BF094AEF}"/>
            </a:ext>
          </a:extLst>
        </xdr:cNvPr>
        <xdr:cNvSpPr/>
      </xdr:nvSpPr>
      <xdr:spPr>
        <a:xfrm>
          <a:off x="161391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5" name="Arrow: Down 1514">
          <a:extLst>
            <a:ext uri="{FF2B5EF4-FFF2-40B4-BE49-F238E27FC236}">
              <a16:creationId xmlns:a16="http://schemas.microsoft.com/office/drawing/2014/main" id="{22FA2283-DD31-4F10-8A8E-C3FCC4E6289C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6" name="Arrow: Down 1515">
          <a:extLst>
            <a:ext uri="{FF2B5EF4-FFF2-40B4-BE49-F238E27FC236}">
              <a16:creationId xmlns:a16="http://schemas.microsoft.com/office/drawing/2014/main" id="{DCB9369D-D1AD-48DF-B2AA-F5D057C78EA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200</xdr:row>
      <xdr:rowOff>0</xdr:rowOff>
    </xdr:from>
    <xdr:to>
      <xdr:col>71</xdr:col>
      <xdr:colOff>83820</xdr:colOff>
      <xdr:row>200</xdr:row>
      <xdr:rowOff>114300</xdr:rowOff>
    </xdr:to>
    <xdr:sp macro="" textlink="">
      <xdr:nvSpPr>
        <xdr:cNvPr id="1517" name="Arrow: Down 1516">
          <a:extLst>
            <a:ext uri="{FF2B5EF4-FFF2-40B4-BE49-F238E27FC236}">
              <a16:creationId xmlns:a16="http://schemas.microsoft.com/office/drawing/2014/main" id="{00C2BDA2-C340-4B8C-BAF3-B8BF66F7EDB2}"/>
            </a:ext>
          </a:extLst>
        </xdr:cNvPr>
        <xdr:cNvSpPr/>
      </xdr:nvSpPr>
      <xdr:spPr>
        <a:xfrm>
          <a:off x="184556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200</xdr:row>
      <xdr:rowOff>0</xdr:rowOff>
    </xdr:from>
    <xdr:to>
      <xdr:col>45</xdr:col>
      <xdr:colOff>83820</xdr:colOff>
      <xdr:row>200</xdr:row>
      <xdr:rowOff>114300</xdr:rowOff>
    </xdr:to>
    <xdr:sp macro="" textlink="">
      <xdr:nvSpPr>
        <xdr:cNvPr id="1518" name="Arrow: Down 1517">
          <a:extLst>
            <a:ext uri="{FF2B5EF4-FFF2-40B4-BE49-F238E27FC236}">
              <a16:creationId xmlns:a16="http://schemas.microsoft.com/office/drawing/2014/main" id="{F7569B92-36ED-45A6-821C-85EB2070AC1C}"/>
            </a:ext>
          </a:extLst>
        </xdr:cNvPr>
        <xdr:cNvSpPr/>
      </xdr:nvSpPr>
      <xdr:spPr>
        <a:xfrm rot="10800000">
          <a:off x="1133094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200</xdr:row>
      <xdr:rowOff>0</xdr:rowOff>
    </xdr:from>
    <xdr:to>
      <xdr:col>24</xdr:col>
      <xdr:colOff>83820</xdr:colOff>
      <xdr:row>200</xdr:row>
      <xdr:rowOff>114300</xdr:rowOff>
    </xdr:to>
    <xdr:sp macro="" textlink="">
      <xdr:nvSpPr>
        <xdr:cNvPr id="1520" name="Arrow: Down 1519">
          <a:extLst>
            <a:ext uri="{FF2B5EF4-FFF2-40B4-BE49-F238E27FC236}">
              <a16:creationId xmlns:a16="http://schemas.microsoft.com/office/drawing/2014/main" id="{469CD98C-25E2-4761-BB68-5B906AB89D31}"/>
            </a:ext>
          </a:extLst>
        </xdr:cNvPr>
        <xdr:cNvSpPr/>
      </xdr:nvSpPr>
      <xdr:spPr>
        <a:xfrm>
          <a:off x="63627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200</xdr:row>
      <xdr:rowOff>0</xdr:rowOff>
    </xdr:from>
    <xdr:to>
      <xdr:col>5</xdr:col>
      <xdr:colOff>83820</xdr:colOff>
      <xdr:row>200</xdr:row>
      <xdr:rowOff>114300</xdr:rowOff>
    </xdr:to>
    <xdr:sp macro="" textlink="">
      <xdr:nvSpPr>
        <xdr:cNvPr id="1521" name="Arrow: Down 1520">
          <a:extLst>
            <a:ext uri="{FF2B5EF4-FFF2-40B4-BE49-F238E27FC236}">
              <a16:creationId xmlns:a16="http://schemas.microsoft.com/office/drawing/2014/main" id="{B11B69DE-BE80-41D7-92FA-F25D02519F30}"/>
            </a:ext>
          </a:extLst>
        </xdr:cNvPr>
        <xdr:cNvSpPr/>
      </xdr:nvSpPr>
      <xdr:spPr>
        <a:xfrm>
          <a:off x="192786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200</xdr:row>
      <xdr:rowOff>0</xdr:rowOff>
    </xdr:from>
    <xdr:to>
      <xdr:col>11</xdr:col>
      <xdr:colOff>83820</xdr:colOff>
      <xdr:row>200</xdr:row>
      <xdr:rowOff>114300</xdr:rowOff>
    </xdr:to>
    <xdr:sp macro="" textlink="">
      <xdr:nvSpPr>
        <xdr:cNvPr id="1522" name="Arrow: Down 1521">
          <a:extLst>
            <a:ext uri="{FF2B5EF4-FFF2-40B4-BE49-F238E27FC236}">
              <a16:creationId xmlns:a16="http://schemas.microsoft.com/office/drawing/2014/main" id="{C30442F3-1F16-45F2-B36A-784520DBBAF9}"/>
            </a:ext>
          </a:extLst>
        </xdr:cNvPr>
        <xdr:cNvSpPr/>
      </xdr:nvSpPr>
      <xdr:spPr>
        <a:xfrm>
          <a:off x="3619500" y="3649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200</xdr:row>
      <xdr:rowOff>0</xdr:rowOff>
    </xdr:from>
    <xdr:to>
      <xdr:col>39</xdr:col>
      <xdr:colOff>83820</xdr:colOff>
      <xdr:row>200</xdr:row>
      <xdr:rowOff>114300</xdr:rowOff>
    </xdr:to>
    <xdr:sp macro="" textlink="">
      <xdr:nvSpPr>
        <xdr:cNvPr id="1524" name="Arrow: Down 1523">
          <a:extLst>
            <a:ext uri="{FF2B5EF4-FFF2-40B4-BE49-F238E27FC236}">
              <a16:creationId xmlns:a16="http://schemas.microsoft.com/office/drawing/2014/main" id="{56482B25-76D2-4924-8CEB-338262AC6285}"/>
            </a:ext>
          </a:extLst>
        </xdr:cNvPr>
        <xdr:cNvSpPr/>
      </xdr:nvSpPr>
      <xdr:spPr>
        <a:xfrm>
          <a:off x="952500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200</xdr:row>
      <xdr:rowOff>0</xdr:rowOff>
    </xdr:from>
    <xdr:to>
      <xdr:col>60</xdr:col>
      <xdr:colOff>83820</xdr:colOff>
      <xdr:row>200</xdr:row>
      <xdr:rowOff>114300</xdr:rowOff>
    </xdr:to>
    <xdr:sp macro="" textlink="">
      <xdr:nvSpPr>
        <xdr:cNvPr id="1525" name="Arrow: Down 1524">
          <a:extLst>
            <a:ext uri="{FF2B5EF4-FFF2-40B4-BE49-F238E27FC236}">
              <a16:creationId xmlns:a16="http://schemas.microsoft.com/office/drawing/2014/main" id="{1A702772-5954-4734-84EF-AC7CB5432AC9}"/>
            </a:ext>
          </a:extLst>
        </xdr:cNvPr>
        <xdr:cNvSpPr/>
      </xdr:nvSpPr>
      <xdr:spPr>
        <a:xfrm rot="10800000">
          <a:off x="16139160" y="3667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6" name="Arrow: Down 1525">
          <a:extLst>
            <a:ext uri="{FF2B5EF4-FFF2-40B4-BE49-F238E27FC236}">
              <a16:creationId xmlns:a16="http://schemas.microsoft.com/office/drawing/2014/main" id="{89AD4741-D139-48D2-B8D8-D17E743448FC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7" name="Arrow: Down 1526">
          <a:extLst>
            <a:ext uri="{FF2B5EF4-FFF2-40B4-BE49-F238E27FC236}">
              <a16:creationId xmlns:a16="http://schemas.microsoft.com/office/drawing/2014/main" id="{AD2B9880-0EEA-4A15-9889-E450AFBDC8FA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201</xdr:row>
      <xdr:rowOff>0</xdr:rowOff>
    </xdr:from>
    <xdr:to>
      <xdr:col>71</xdr:col>
      <xdr:colOff>83820</xdr:colOff>
      <xdr:row>201</xdr:row>
      <xdr:rowOff>114300</xdr:rowOff>
    </xdr:to>
    <xdr:sp macro="" textlink="">
      <xdr:nvSpPr>
        <xdr:cNvPr id="1528" name="Arrow: Down 1527">
          <a:extLst>
            <a:ext uri="{FF2B5EF4-FFF2-40B4-BE49-F238E27FC236}">
              <a16:creationId xmlns:a16="http://schemas.microsoft.com/office/drawing/2014/main" id="{DAA8D9FB-4708-4EFC-B13E-CDE3A81468A8}"/>
            </a:ext>
          </a:extLst>
        </xdr:cNvPr>
        <xdr:cNvSpPr/>
      </xdr:nvSpPr>
      <xdr:spPr>
        <a:xfrm>
          <a:off x="2012442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201</xdr:row>
      <xdr:rowOff>0</xdr:rowOff>
    </xdr:from>
    <xdr:to>
      <xdr:col>45</xdr:col>
      <xdr:colOff>83820</xdr:colOff>
      <xdr:row>201</xdr:row>
      <xdr:rowOff>114300</xdr:rowOff>
    </xdr:to>
    <xdr:sp macro="" textlink="">
      <xdr:nvSpPr>
        <xdr:cNvPr id="1529" name="Arrow: Down 1528">
          <a:extLst>
            <a:ext uri="{FF2B5EF4-FFF2-40B4-BE49-F238E27FC236}">
              <a16:creationId xmlns:a16="http://schemas.microsoft.com/office/drawing/2014/main" id="{0E421F5F-7DF7-4037-8A2C-66F0E0D77B6E}"/>
            </a:ext>
          </a:extLst>
        </xdr:cNvPr>
        <xdr:cNvSpPr/>
      </xdr:nvSpPr>
      <xdr:spPr>
        <a:xfrm rot="10800000">
          <a:off x="11330940" y="3667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201</xdr:row>
      <xdr:rowOff>0</xdr:rowOff>
    </xdr:from>
    <xdr:to>
      <xdr:col>60</xdr:col>
      <xdr:colOff>83820</xdr:colOff>
      <xdr:row>201</xdr:row>
      <xdr:rowOff>114300</xdr:rowOff>
    </xdr:to>
    <xdr:sp macro="" textlink="">
      <xdr:nvSpPr>
        <xdr:cNvPr id="1536" name="Arrow: Down 1535">
          <a:extLst>
            <a:ext uri="{FF2B5EF4-FFF2-40B4-BE49-F238E27FC236}">
              <a16:creationId xmlns:a16="http://schemas.microsoft.com/office/drawing/2014/main" id="{EDE3D347-77DB-4C52-A165-4F20ABDC505A}"/>
            </a:ext>
          </a:extLst>
        </xdr:cNvPr>
        <xdr:cNvSpPr/>
      </xdr:nvSpPr>
      <xdr:spPr>
        <a:xfrm>
          <a:off x="1613916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201</xdr:row>
      <xdr:rowOff>0</xdr:rowOff>
    </xdr:from>
    <xdr:to>
      <xdr:col>39</xdr:col>
      <xdr:colOff>83820</xdr:colOff>
      <xdr:row>201</xdr:row>
      <xdr:rowOff>114300</xdr:rowOff>
    </xdr:to>
    <xdr:sp macro="" textlink="">
      <xdr:nvSpPr>
        <xdr:cNvPr id="1537" name="Arrow: Down 1536">
          <a:extLst>
            <a:ext uri="{FF2B5EF4-FFF2-40B4-BE49-F238E27FC236}">
              <a16:creationId xmlns:a16="http://schemas.microsoft.com/office/drawing/2014/main" id="{2EDEFE2E-B5B1-4175-8E4C-58A0B7E27AA5}"/>
            </a:ext>
          </a:extLst>
        </xdr:cNvPr>
        <xdr:cNvSpPr/>
      </xdr:nvSpPr>
      <xdr:spPr>
        <a:xfrm rot="10800000">
          <a:off x="952500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201</xdr:row>
      <xdr:rowOff>0</xdr:rowOff>
    </xdr:from>
    <xdr:to>
      <xdr:col>5</xdr:col>
      <xdr:colOff>83820</xdr:colOff>
      <xdr:row>201</xdr:row>
      <xdr:rowOff>114300</xdr:rowOff>
    </xdr:to>
    <xdr:sp macro="" textlink="">
      <xdr:nvSpPr>
        <xdr:cNvPr id="1538" name="Arrow: Down 1537">
          <a:extLst>
            <a:ext uri="{FF2B5EF4-FFF2-40B4-BE49-F238E27FC236}">
              <a16:creationId xmlns:a16="http://schemas.microsoft.com/office/drawing/2014/main" id="{F8452C6D-53CA-451C-8779-C4B075E46D22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201</xdr:row>
      <xdr:rowOff>0</xdr:rowOff>
    </xdr:from>
    <xdr:to>
      <xdr:col>11</xdr:col>
      <xdr:colOff>83820</xdr:colOff>
      <xdr:row>201</xdr:row>
      <xdr:rowOff>114300</xdr:rowOff>
    </xdr:to>
    <xdr:sp macro="" textlink="">
      <xdr:nvSpPr>
        <xdr:cNvPr id="1540" name="Arrow: Down 1539">
          <a:extLst>
            <a:ext uri="{FF2B5EF4-FFF2-40B4-BE49-F238E27FC236}">
              <a16:creationId xmlns:a16="http://schemas.microsoft.com/office/drawing/2014/main" id="{FCACC174-5CE5-47B6-9790-544EDD9D7A98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201</xdr:row>
      <xdr:rowOff>0</xdr:rowOff>
    </xdr:from>
    <xdr:to>
      <xdr:col>24</xdr:col>
      <xdr:colOff>83820</xdr:colOff>
      <xdr:row>201</xdr:row>
      <xdr:rowOff>114300</xdr:rowOff>
    </xdr:to>
    <xdr:sp macro="" textlink="">
      <xdr:nvSpPr>
        <xdr:cNvPr id="1542" name="Arrow: Down 1541">
          <a:extLst>
            <a:ext uri="{FF2B5EF4-FFF2-40B4-BE49-F238E27FC236}">
              <a16:creationId xmlns:a16="http://schemas.microsoft.com/office/drawing/2014/main" id="{80F06599-0A17-4B7D-B31E-7237DFCA1389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3" name="Arrow: Down 1542">
          <a:extLst>
            <a:ext uri="{FF2B5EF4-FFF2-40B4-BE49-F238E27FC236}">
              <a16:creationId xmlns:a16="http://schemas.microsoft.com/office/drawing/2014/main" id="{754B9A8C-4250-42A9-9BA1-7CB403463399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4" name="Arrow: Down 1543">
          <a:extLst>
            <a:ext uri="{FF2B5EF4-FFF2-40B4-BE49-F238E27FC236}">
              <a16:creationId xmlns:a16="http://schemas.microsoft.com/office/drawing/2014/main" id="{96487D1D-DC44-4BEB-805E-353986E454A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202</xdr:row>
      <xdr:rowOff>0</xdr:rowOff>
    </xdr:from>
    <xdr:to>
      <xdr:col>71</xdr:col>
      <xdr:colOff>83820</xdr:colOff>
      <xdr:row>202</xdr:row>
      <xdr:rowOff>114300</xdr:rowOff>
    </xdr:to>
    <xdr:sp macro="" textlink="">
      <xdr:nvSpPr>
        <xdr:cNvPr id="1545" name="Arrow: Down 1544">
          <a:extLst>
            <a:ext uri="{FF2B5EF4-FFF2-40B4-BE49-F238E27FC236}">
              <a16:creationId xmlns:a16="http://schemas.microsoft.com/office/drawing/2014/main" id="{331B3736-3005-4EC0-BE54-B5C6D2510B25}"/>
            </a:ext>
          </a:extLst>
        </xdr:cNvPr>
        <xdr:cNvSpPr/>
      </xdr:nvSpPr>
      <xdr:spPr>
        <a:xfrm>
          <a:off x="184556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202</xdr:row>
      <xdr:rowOff>0</xdr:rowOff>
    </xdr:from>
    <xdr:to>
      <xdr:col>45</xdr:col>
      <xdr:colOff>83820</xdr:colOff>
      <xdr:row>202</xdr:row>
      <xdr:rowOff>114300</xdr:rowOff>
    </xdr:to>
    <xdr:sp macro="" textlink="">
      <xdr:nvSpPr>
        <xdr:cNvPr id="1546" name="Arrow: Down 1545">
          <a:extLst>
            <a:ext uri="{FF2B5EF4-FFF2-40B4-BE49-F238E27FC236}">
              <a16:creationId xmlns:a16="http://schemas.microsoft.com/office/drawing/2014/main" id="{D84702AD-2EE7-49D2-933D-30C54438BF3D}"/>
            </a:ext>
          </a:extLst>
        </xdr:cNvPr>
        <xdr:cNvSpPr/>
      </xdr:nvSpPr>
      <xdr:spPr>
        <a:xfrm rot="10800000">
          <a:off x="11330940" y="3685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202</xdr:row>
      <xdr:rowOff>0</xdr:rowOff>
    </xdr:from>
    <xdr:to>
      <xdr:col>5</xdr:col>
      <xdr:colOff>83820</xdr:colOff>
      <xdr:row>202</xdr:row>
      <xdr:rowOff>114300</xdr:rowOff>
    </xdr:to>
    <xdr:sp macro="" textlink="">
      <xdr:nvSpPr>
        <xdr:cNvPr id="1549" name="Arrow: Down 1548">
          <a:extLst>
            <a:ext uri="{FF2B5EF4-FFF2-40B4-BE49-F238E27FC236}">
              <a16:creationId xmlns:a16="http://schemas.microsoft.com/office/drawing/2014/main" id="{964E831A-E9AF-4D50-9E90-05AC043CF507}"/>
            </a:ext>
          </a:extLst>
        </xdr:cNvPr>
        <xdr:cNvSpPr/>
      </xdr:nvSpPr>
      <xdr:spPr>
        <a:xfrm rot="10800000">
          <a:off x="192786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202</xdr:row>
      <xdr:rowOff>0</xdr:rowOff>
    </xdr:from>
    <xdr:to>
      <xdr:col>11</xdr:col>
      <xdr:colOff>83820</xdr:colOff>
      <xdr:row>202</xdr:row>
      <xdr:rowOff>114300</xdr:rowOff>
    </xdr:to>
    <xdr:sp macro="" textlink="">
      <xdr:nvSpPr>
        <xdr:cNvPr id="1550" name="Arrow: Down 1549">
          <a:extLst>
            <a:ext uri="{FF2B5EF4-FFF2-40B4-BE49-F238E27FC236}">
              <a16:creationId xmlns:a16="http://schemas.microsoft.com/office/drawing/2014/main" id="{6A85FA02-9598-48C1-BAC6-DB1D4C6F3AEA}"/>
            </a:ext>
          </a:extLst>
        </xdr:cNvPr>
        <xdr:cNvSpPr/>
      </xdr:nvSpPr>
      <xdr:spPr>
        <a:xfrm rot="10800000">
          <a:off x="36195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202</xdr:row>
      <xdr:rowOff>0</xdr:rowOff>
    </xdr:from>
    <xdr:to>
      <xdr:col>24</xdr:col>
      <xdr:colOff>83820</xdr:colOff>
      <xdr:row>202</xdr:row>
      <xdr:rowOff>114300</xdr:rowOff>
    </xdr:to>
    <xdr:sp macro="" textlink="">
      <xdr:nvSpPr>
        <xdr:cNvPr id="1551" name="Arrow: Down 1550">
          <a:extLst>
            <a:ext uri="{FF2B5EF4-FFF2-40B4-BE49-F238E27FC236}">
              <a16:creationId xmlns:a16="http://schemas.microsoft.com/office/drawing/2014/main" id="{499FA77D-F975-442E-8986-0537AFF744FF}"/>
            </a:ext>
          </a:extLst>
        </xdr:cNvPr>
        <xdr:cNvSpPr/>
      </xdr:nvSpPr>
      <xdr:spPr>
        <a:xfrm rot="10800000">
          <a:off x="6362700" y="3685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202</xdr:row>
      <xdr:rowOff>0</xdr:rowOff>
    </xdr:from>
    <xdr:to>
      <xdr:col>39</xdr:col>
      <xdr:colOff>83820</xdr:colOff>
      <xdr:row>202</xdr:row>
      <xdr:rowOff>114300</xdr:rowOff>
    </xdr:to>
    <xdr:sp macro="" textlink="">
      <xdr:nvSpPr>
        <xdr:cNvPr id="1552" name="Arrow: Down 1551">
          <a:extLst>
            <a:ext uri="{FF2B5EF4-FFF2-40B4-BE49-F238E27FC236}">
              <a16:creationId xmlns:a16="http://schemas.microsoft.com/office/drawing/2014/main" id="{4B1F74AB-D170-4153-B4B6-409400BDADA7}"/>
            </a:ext>
          </a:extLst>
        </xdr:cNvPr>
        <xdr:cNvSpPr/>
      </xdr:nvSpPr>
      <xdr:spPr>
        <a:xfrm>
          <a:off x="1184910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202</xdr:row>
      <xdr:rowOff>0</xdr:rowOff>
    </xdr:from>
    <xdr:to>
      <xdr:col>60</xdr:col>
      <xdr:colOff>83820</xdr:colOff>
      <xdr:row>202</xdr:row>
      <xdr:rowOff>114300</xdr:rowOff>
    </xdr:to>
    <xdr:sp macro="" textlink="">
      <xdr:nvSpPr>
        <xdr:cNvPr id="1554" name="Arrow: Down 1553">
          <a:extLst>
            <a:ext uri="{FF2B5EF4-FFF2-40B4-BE49-F238E27FC236}">
              <a16:creationId xmlns:a16="http://schemas.microsoft.com/office/drawing/2014/main" id="{46E65A08-6741-461F-B5E8-B8E10A754CA7}"/>
            </a:ext>
          </a:extLst>
        </xdr:cNvPr>
        <xdr:cNvSpPr/>
      </xdr:nvSpPr>
      <xdr:spPr>
        <a:xfrm rot="10800000">
          <a:off x="18463260" y="3704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5" name="Arrow: Down 1564">
          <a:extLst>
            <a:ext uri="{FF2B5EF4-FFF2-40B4-BE49-F238E27FC236}">
              <a16:creationId xmlns:a16="http://schemas.microsoft.com/office/drawing/2014/main" id="{71B4D63D-4780-4AD6-BA21-3B67936DD1E6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6" name="Arrow: Down 1565">
          <a:extLst>
            <a:ext uri="{FF2B5EF4-FFF2-40B4-BE49-F238E27FC236}">
              <a16:creationId xmlns:a16="http://schemas.microsoft.com/office/drawing/2014/main" id="{74E28FD7-418A-4E31-BD6F-230DE013B4D8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203</xdr:row>
      <xdr:rowOff>0</xdr:rowOff>
    </xdr:from>
    <xdr:to>
      <xdr:col>71</xdr:col>
      <xdr:colOff>83820</xdr:colOff>
      <xdr:row>203</xdr:row>
      <xdr:rowOff>114300</xdr:rowOff>
    </xdr:to>
    <xdr:sp macro="" textlink="">
      <xdr:nvSpPr>
        <xdr:cNvPr id="1567" name="Arrow: Down 1566">
          <a:extLst>
            <a:ext uri="{FF2B5EF4-FFF2-40B4-BE49-F238E27FC236}">
              <a16:creationId xmlns:a16="http://schemas.microsoft.com/office/drawing/2014/main" id="{91DB2CD2-1294-462C-9E1B-F463F689FDD3}"/>
            </a:ext>
          </a:extLst>
        </xdr:cNvPr>
        <xdr:cNvSpPr/>
      </xdr:nvSpPr>
      <xdr:spPr>
        <a:xfrm>
          <a:off x="207797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203</xdr:row>
      <xdr:rowOff>0</xdr:rowOff>
    </xdr:from>
    <xdr:to>
      <xdr:col>45</xdr:col>
      <xdr:colOff>83820</xdr:colOff>
      <xdr:row>203</xdr:row>
      <xdr:rowOff>114300</xdr:rowOff>
    </xdr:to>
    <xdr:sp macro="" textlink="">
      <xdr:nvSpPr>
        <xdr:cNvPr id="1568" name="Arrow: Down 1567">
          <a:extLst>
            <a:ext uri="{FF2B5EF4-FFF2-40B4-BE49-F238E27FC236}">
              <a16:creationId xmlns:a16="http://schemas.microsoft.com/office/drawing/2014/main" id="{87F4672A-AC6A-41C8-A655-85337C5CEEC2}"/>
            </a:ext>
          </a:extLst>
        </xdr:cNvPr>
        <xdr:cNvSpPr/>
      </xdr:nvSpPr>
      <xdr:spPr>
        <a:xfrm rot="10800000">
          <a:off x="13655040" y="3704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203</xdr:row>
      <xdr:rowOff>0</xdr:rowOff>
    </xdr:from>
    <xdr:to>
      <xdr:col>5</xdr:col>
      <xdr:colOff>83820</xdr:colOff>
      <xdr:row>203</xdr:row>
      <xdr:rowOff>114300</xdr:rowOff>
    </xdr:to>
    <xdr:sp macro="" textlink="">
      <xdr:nvSpPr>
        <xdr:cNvPr id="1411" name="Arrow: Down 1410">
          <a:extLst>
            <a:ext uri="{FF2B5EF4-FFF2-40B4-BE49-F238E27FC236}">
              <a16:creationId xmlns:a16="http://schemas.microsoft.com/office/drawing/2014/main" id="{4C192A43-192C-402E-99F7-8D14D9B05FE8}"/>
            </a:ext>
          </a:extLst>
        </xdr:cNvPr>
        <xdr:cNvSpPr/>
      </xdr:nvSpPr>
      <xdr:spPr>
        <a:xfrm>
          <a:off x="19278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203</xdr:row>
      <xdr:rowOff>0</xdr:rowOff>
    </xdr:from>
    <xdr:to>
      <xdr:col>11</xdr:col>
      <xdr:colOff>83820</xdr:colOff>
      <xdr:row>203</xdr:row>
      <xdr:rowOff>114300</xdr:rowOff>
    </xdr:to>
    <xdr:sp macro="" textlink="">
      <xdr:nvSpPr>
        <xdr:cNvPr id="1412" name="Arrow: Down 1411">
          <a:extLst>
            <a:ext uri="{FF2B5EF4-FFF2-40B4-BE49-F238E27FC236}">
              <a16:creationId xmlns:a16="http://schemas.microsoft.com/office/drawing/2014/main" id="{00ED1DCC-9F69-4D1B-AFA5-21B7AC2D3D77}"/>
            </a:ext>
          </a:extLst>
        </xdr:cNvPr>
        <xdr:cNvSpPr/>
      </xdr:nvSpPr>
      <xdr:spPr>
        <a:xfrm>
          <a:off x="36195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203</xdr:row>
      <xdr:rowOff>0</xdr:rowOff>
    </xdr:from>
    <xdr:to>
      <xdr:col>24</xdr:col>
      <xdr:colOff>83820</xdr:colOff>
      <xdr:row>203</xdr:row>
      <xdr:rowOff>114300</xdr:rowOff>
    </xdr:to>
    <xdr:sp macro="" textlink="">
      <xdr:nvSpPr>
        <xdr:cNvPr id="1414" name="Arrow: Down 1413">
          <a:extLst>
            <a:ext uri="{FF2B5EF4-FFF2-40B4-BE49-F238E27FC236}">
              <a16:creationId xmlns:a16="http://schemas.microsoft.com/office/drawing/2014/main" id="{84F9A811-1470-4637-B720-CB496DAC9679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203</xdr:row>
      <xdr:rowOff>0</xdr:rowOff>
    </xdr:from>
    <xdr:to>
      <xdr:col>60</xdr:col>
      <xdr:colOff>83820</xdr:colOff>
      <xdr:row>203</xdr:row>
      <xdr:rowOff>114300</xdr:rowOff>
    </xdr:to>
    <xdr:sp macro="" textlink="">
      <xdr:nvSpPr>
        <xdr:cNvPr id="1447" name="Arrow: Down 1446">
          <a:extLst>
            <a:ext uri="{FF2B5EF4-FFF2-40B4-BE49-F238E27FC236}">
              <a16:creationId xmlns:a16="http://schemas.microsoft.com/office/drawing/2014/main" id="{B8F8E0FF-D511-4059-B9B6-DD742BA6D102}"/>
            </a:ext>
          </a:extLst>
        </xdr:cNvPr>
        <xdr:cNvSpPr/>
      </xdr:nvSpPr>
      <xdr:spPr>
        <a:xfrm>
          <a:off x="1613916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497" name="Arrow: Down 1496">
          <a:extLst>
            <a:ext uri="{FF2B5EF4-FFF2-40B4-BE49-F238E27FC236}">
              <a16:creationId xmlns:a16="http://schemas.microsoft.com/office/drawing/2014/main" id="{B4CAE8A5-7718-4CBD-B11D-3AC2E3FB1E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0" name="Arrow: Down 1499">
          <a:extLst>
            <a:ext uri="{FF2B5EF4-FFF2-40B4-BE49-F238E27FC236}">
              <a16:creationId xmlns:a16="http://schemas.microsoft.com/office/drawing/2014/main" id="{3B7356DF-94FA-484D-855C-DD7A0ED666C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204</xdr:row>
      <xdr:rowOff>0</xdr:rowOff>
    </xdr:from>
    <xdr:to>
      <xdr:col>71</xdr:col>
      <xdr:colOff>83820</xdr:colOff>
      <xdr:row>204</xdr:row>
      <xdr:rowOff>114300</xdr:rowOff>
    </xdr:to>
    <xdr:sp macro="" textlink="">
      <xdr:nvSpPr>
        <xdr:cNvPr id="1502" name="Arrow: Down 1501">
          <a:extLst>
            <a:ext uri="{FF2B5EF4-FFF2-40B4-BE49-F238E27FC236}">
              <a16:creationId xmlns:a16="http://schemas.microsoft.com/office/drawing/2014/main" id="{F75A4B36-98E9-4153-BFDC-F7C68CCA64D7}"/>
            </a:ext>
          </a:extLst>
        </xdr:cNvPr>
        <xdr:cNvSpPr/>
      </xdr:nvSpPr>
      <xdr:spPr>
        <a:xfrm>
          <a:off x="184556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204</xdr:row>
      <xdr:rowOff>0</xdr:rowOff>
    </xdr:from>
    <xdr:to>
      <xdr:col>45</xdr:col>
      <xdr:colOff>83820</xdr:colOff>
      <xdr:row>204</xdr:row>
      <xdr:rowOff>114300</xdr:rowOff>
    </xdr:to>
    <xdr:sp macro="" textlink="">
      <xdr:nvSpPr>
        <xdr:cNvPr id="1505" name="Arrow: Down 1504">
          <a:extLst>
            <a:ext uri="{FF2B5EF4-FFF2-40B4-BE49-F238E27FC236}">
              <a16:creationId xmlns:a16="http://schemas.microsoft.com/office/drawing/2014/main" id="{53CEC494-0057-404D-A88D-5880E901BC25}"/>
            </a:ext>
          </a:extLst>
        </xdr:cNvPr>
        <xdr:cNvSpPr/>
      </xdr:nvSpPr>
      <xdr:spPr>
        <a:xfrm rot="10800000">
          <a:off x="1133094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204</xdr:row>
      <xdr:rowOff>0</xdr:rowOff>
    </xdr:from>
    <xdr:to>
      <xdr:col>24</xdr:col>
      <xdr:colOff>83820</xdr:colOff>
      <xdr:row>204</xdr:row>
      <xdr:rowOff>114300</xdr:rowOff>
    </xdr:to>
    <xdr:sp macro="" textlink="">
      <xdr:nvSpPr>
        <xdr:cNvPr id="1508" name="Arrow: Down 1507">
          <a:extLst>
            <a:ext uri="{FF2B5EF4-FFF2-40B4-BE49-F238E27FC236}">
              <a16:creationId xmlns:a16="http://schemas.microsoft.com/office/drawing/2014/main" id="{961B3582-8391-45CB-8AE6-3EA4AE43EF0B}"/>
            </a:ext>
          </a:extLst>
        </xdr:cNvPr>
        <xdr:cNvSpPr/>
      </xdr:nvSpPr>
      <xdr:spPr>
        <a:xfrm>
          <a:off x="63627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204</xdr:row>
      <xdr:rowOff>0</xdr:rowOff>
    </xdr:from>
    <xdr:to>
      <xdr:col>11</xdr:col>
      <xdr:colOff>83820</xdr:colOff>
      <xdr:row>204</xdr:row>
      <xdr:rowOff>114300</xdr:rowOff>
    </xdr:to>
    <xdr:sp macro="" textlink="">
      <xdr:nvSpPr>
        <xdr:cNvPr id="1511" name="Arrow: Down 1510">
          <a:extLst>
            <a:ext uri="{FF2B5EF4-FFF2-40B4-BE49-F238E27FC236}">
              <a16:creationId xmlns:a16="http://schemas.microsoft.com/office/drawing/2014/main" id="{E65AAB5B-65B9-452B-B5BB-61874EFC7766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204</xdr:row>
      <xdr:rowOff>0</xdr:rowOff>
    </xdr:from>
    <xdr:to>
      <xdr:col>5</xdr:col>
      <xdr:colOff>83820</xdr:colOff>
      <xdr:row>204</xdr:row>
      <xdr:rowOff>114300</xdr:rowOff>
    </xdr:to>
    <xdr:sp macro="" textlink="">
      <xdr:nvSpPr>
        <xdr:cNvPr id="1512" name="Arrow: Down 1511">
          <a:extLst>
            <a:ext uri="{FF2B5EF4-FFF2-40B4-BE49-F238E27FC236}">
              <a16:creationId xmlns:a16="http://schemas.microsoft.com/office/drawing/2014/main" id="{D9BBF3AE-659B-465D-AE76-2A8599373A0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204</xdr:row>
      <xdr:rowOff>0</xdr:rowOff>
    </xdr:from>
    <xdr:to>
      <xdr:col>60</xdr:col>
      <xdr:colOff>83820</xdr:colOff>
      <xdr:row>204</xdr:row>
      <xdr:rowOff>114300</xdr:rowOff>
    </xdr:to>
    <xdr:sp macro="" textlink="">
      <xdr:nvSpPr>
        <xdr:cNvPr id="1514" name="Arrow: Down 1513">
          <a:extLst>
            <a:ext uri="{FF2B5EF4-FFF2-40B4-BE49-F238E27FC236}">
              <a16:creationId xmlns:a16="http://schemas.microsoft.com/office/drawing/2014/main" id="{B45A744B-BA33-4F16-97FD-90BDB036A6D9}"/>
            </a:ext>
          </a:extLst>
        </xdr:cNvPr>
        <xdr:cNvSpPr/>
      </xdr:nvSpPr>
      <xdr:spPr>
        <a:xfrm rot="10800000">
          <a:off x="161391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204</xdr:row>
      <xdr:rowOff>0</xdr:rowOff>
    </xdr:from>
    <xdr:to>
      <xdr:col>39</xdr:col>
      <xdr:colOff>83820</xdr:colOff>
      <xdr:row>204</xdr:row>
      <xdr:rowOff>114300</xdr:rowOff>
    </xdr:to>
    <xdr:sp macro="" textlink="">
      <xdr:nvSpPr>
        <xdr:cNvPr id="1519" name="Arrow: Down 1518">
          <a:extLst>
            <a:ext uri="{FF2B5EF4-FFF2-40B4-BE49-F238E27FC236}">
              <a16:creationId xmlns:a16="http://schemas.microsoft.com/office/drawing/2014/main" id="{D1E432FE-06E6-4BFD-9B0B-BE7DAA052B4E}"/>
            </a:ext>
          </a:extLst>
        </xdr:cNvPr>
        <xdr:cNvSpPr/>
      </xdr:nvSpPr>
      <xdr:spPr>
        <a:xfrm>
          <a:off x="95250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23" name="Arrow: Down 1522">
          <a:extLst>
            <a:ext uri="{FF2B5EF4-FFF2-40B4-BE49-F238E27FC236}">
              <a16:creationId xmlns:a16="http://schemas.microsoft.com/office/drawing/2014/main" id="{F895504C-86F0-4983-B34C-A4FCE30CCE00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0" name="Arrow: Down 1529">
          <a:extLst>
            <a:ext uri="{FF2B5EF4-FFF2-40B4-BE49-F238E27FC236}">
              <a16:creationId xmlns:a16="http://schemas.microsoft.com/office/drawing/2014/main" id="{006D58BA-6DD6-4EF1-8D77-10F65528DC22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205</xdr:row>
      <xdr:rowOff>0</xdr:rowOff>
    </xdr:from>
    <xdr:to>
      <xdr:col>71</xdr:col>
      <xdr:colOff>83820</xdr:colOff>
      <xdr:row>205</xdr:row>
      <xdr:rowOff>114300</xdr:rowOff>
    </xdr:to>
    <xdr:sp macro="" textlink="">
      <xdr:nvSpPr>
        <xdr:cNvPr id="1531" name="Arrow: Down 1530">
          <a:extLst>
            <a:ext uri="{FF2B5EF4-FFF2-40B4-BE49-F238E27FC236}">
              <a16:creationId xmlns:a16="http://schemas.microsoft.com/office/drawing/2014/main" id="{8E69E520-80C7-440D-B5DB-AD47585E3D8A}"/>
            </a:ext>
          </a:extLst>
        </xdr:cNvPr>
        <xdr:cNvSpPr/>
      </xdr:nvSpPr>
      <xdr:spPr>
        <a:xfrm>
          <a:off x="184556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205</xdr:row>
      <xdr:rowOff>0</xdr:rowOff>
    </xdr:from>
    <xdr:to>
      <xdr:col>45</xdr:col>
      <xdr:colOff>83820</xdr:colOff>
      <xdr:row>205</xdr:row>
      <xdr:rowOff>114300</xdr:rowOff>
    </xdr:to>
    <xdr:sp macro="" textlink="">
      <xdr:nvSpPr>
        <xdr:cNvPr id="1532" name="Arrow: Down 1531">
          <a:extLst>
            <a:ext uri="{FF2B5EF4-FFF2-40B4-BE49-F238E27FC236}">
              <a16:creationId xmlns:a16="http://schemas.microsoft.com/office/drawing/2014/main" id="{930E46C0-3436-40F6-8F29-030261364EF5}"/>
            </a:ext>
          </a:extLst>
        </xdr:cNvPr>
        <xdr:cNvSpPr/>
      </xdr:nvSpPr>
      <xdr:spPr>
        <a:xfrm rot="10800000">
          <a:off x="1133094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205</xdr:row>
      <xdr:rowOff>0</xdr:rowOff>
    </xdr:from>
    <xdr:to>
      <xdr:col>24</xdr:col>
      <xdr:colOff>83820</xdr:colOff>
      <xdr:row>205</xdr:row>
      <xdr:rowOff>114300</xdr:rowOff>
    </xdr:to>
    <xdr:sp macro="" textlink="">
      <xdr:nvSpPr>
        <xdr:cNvPr id="1533" name="Arrow: Down 1532">
          <a:extLst>
            <a:ext uri="{FF2B5EF4-FFF2-40B4-BE49-F238E27FC236}">
              <a16:creationId xmlns:a16="http://schemas.microsoft.com/office/drawing/2014/main" id="{B1030B3F-6CE2-4DFD-AC55-F901E6AEB2A6}"/>
            </a:ext>
          </a:extLst>
        </xdr:cNvPr>
        <xdr:cNvSpPr/>
      </xdr:nvSpPr>
      <xdr:spPr>
        <a:xfrm>
          <a:off x="6362700" y="3740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11</xdr:col>
      <xdr:colOff>83820</xdr:colOff>
      <xdr:row>205</xdr:row>
      <xdr:rowOff>114300</xdr:rowOff>
    </xdr:to>
    <xdr:sp macro="" textlink="">
      <xdr:nvSpPr>
        <xdr:cNvPr id="1534" name="Arrow: Down 1533">
          <a:extLst>
            <a:ext uri="{FF2B5EF4-FFF2-40B4-BE49-F238E27FC236}">
              <a16:creationId xmlns:a16="http://schemas.microsoft.com/office/drawing/2014/main" id="{EE71379C-D34E-47C8-A84A-9C444F67D519}"/>
            </a:ext>
          </a:extLst>
        </xdr:cNvPr>
        <xdr:cNvSpPr/>
      </xdr:nvSpPr>
      <xdr:spPr>
        <a:xfrm rot="10800000">
          <a:off x="361950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205</xdr:row>
      <xdr:rowOff>0</xdr:rowOff>
    </xdr:from>
    <xdr:to>
      <xdr:col>5</xdr:col>
      <xdr:colOff>83820</xdr:colOff>
      <xdr:row>205</xdr:row>
      <xdr:rowOff>114300</xdr:rowOff>
    </xdr:to>
    <xdr:sp macro="" textlink="">
      <xdr:nvSpPr>
        <xdr:cNvPr id="1535" name="Arrow: Down 1534">
          <a:extLst>
            <a:ext uri="{FF2B5EF4-FFF2-40B4-BE49-F238E27FC236}">
              <a16:creationId xmlns:a16="http://schemas.microsoft.com/office/drawing/2014/main" id="{3A5CE941-C353-4E9C-955B-E705C0D11E42}"/>
            </a:ext>
          </a:extLst>
        </xdr:cNvPr>
        <xdr:cNvSpPr/>
      </xdr:nvSpPr>
      <xdr:spPr>
        <a:xfrm rot="10800000">
          <a:off x="1927860" y="3740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205</xdr:row>
      <xdr:rowOff>0</xdr:rowOff>
    </xdr:from>
    <xdr:to>
      <xdr:col>60</xdr:col>
      <xdr:colOff>83820</xdr:colOff>
      <xdr:row>205</xdr:row>
      <xdr:rowOff>114300</xdr:rowOff>
    </xdr:to>
    <xdr:sp macro="" textlink="">
      <xdr:nvSpPr>
        <xdr:cNvPr id="1553" name="Arrow: Down 1552">
          <a:extLst>
            <a:ext uri="{FF2B5EF4-FFF2-40B4-BE49-F238E27FC236}">
              <a16:creationId xmlns:a16="http://schemas.microsoft.com/office/drawing/2014/main" id="{118E539B-0AC7-4FC2-A601-D7534CD953E3}"/>
            </a:ext>
          </a:extLst>
        </xdr:cNvPr>
        <xdr:cNvSpPr/>
      </xdr:nvSpPr>
      <xdr:spPr>
        <a:xfrm>
          <a:off x="1613916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64" name="Arrow: Down 1563">
          <a:extLst>
            <a:ext uri="{FF2B5EF4-FFF2-40B4-BE49-F238E27FC236}">
              <a16:creationId xmlns:a16="http://schemas.microsoft.com/office/drawing/2014/main" id="{BF49C1B5-7257-4433-8CC7-0C96DAD34C12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4" name="Arrow: Down 1573">
          <a:extLst>
            <a:ext uri="{FF2B5EF4-FFF2-40B4-BE49-F238E27FC236}">
              <a16:creationId xmlns:a16="http://schemas.microsoft.com/office/drawing/2014/main" id="{0639FC7D-6A52-47FC-9AB7-F006B5EE982E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206</xdr:row>
      <xdr:rowOff>0</xdr:rowOff>
    </xdr:from>
    <xdr:to>
      <xdr:col>71</xdr:col>
      <xdr:colOff>83820</xdr:colOff>
      <xdr:row>206</xdr:row>
      <xdr:rowOff>114300</xdr:rowOff>
    </xdr:to>
    <xdr:sp macro="" textlink="">
      <xdr:nvSpPr>
        <xdr:cNvPr id="1575" name="Arrow: Down 1574">
          <a:extLst>
            <a:ext uri="{FF2B5EF4-FFF2-40B4-BE49-F238E27FC236}">
              <a16:creationId xmlns:a16="http://schemas.microsoft.com/office/drawing/2014/main" id="{134E5F0C-502A-45EC-AE23-B64CE8C74DAC}"/>
            </a:ext>
          </a:extLst>
        </xdr:cNvPr>
        <xdr:cNvSpPr/>
      </xdr:nvSpPr>
      <xdr:spPr>
        <a:xfrm>
          <a:off x="184556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206</xdr:row>
      <xdr:rowOff>0</xdr:rowOff>
    </xdr:from>
    <xdr:to>
      <xdr:col>45</xdr:col>
      <xdr:colOff>83820</xdr:colOff>
      <xdr:row>206</xdr:row>
      <xdr:rowOff>114300</xdr:rowOff>
    </xdr:to>
    <xdr:sp macro="" textlink="">
      <xdr:nvSpPr>
        <xdr:cNvPr id="1576" name="Arrow: Down 1575">
          <a:extLst>
            <a:ext uri="{FF2B5EF4-FFF2-40B4-BE49-F238E27FC236}">
              <a16:creationId xmlns:a16="http://schemas.microsoft.com/office/drawing/2014/main" id="{5C3BECFC-B8DC-4503-AA4B-60DD2FACFA22}"/>
            </a:ext>
          </a:extLst>
        </xdr:cNvPr>
        <xdr:cNvSpPr/>
      </xdr:nvSpPr>
      <xdr:spPr>
        <a:xfrm rot="10800000">
          <a:off x="1133094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206</xdr:row>
      <xdr:rowOff>0</xdr:rowOff>
    </xdr:from>
    <xdr:to>
      <xdr:col>24</xdr:col>
      <xdr:colOff>83820</xdr:colOff>
      <xdr:row>206</xdr:row>
      <xdr:rowOff>114300</xdr:rowOff>
    </xdr:to>
    <xdr:sp macro="" textlink="">
      <xdr:nvSpPr>
        <xdr:cNvPr id="1577" name="Arrow: Down 1576">
          <a:extLst>
            <a:ext uri="{FF2B5EF4-FFF2-40B4-BE49-F238E27FC236}">
              <a16:creationId xmlns:a16="http://schemas.microsoft.com/office/drawing/2014/main" id="{634DDD09-0BD1-4383-A17B-21DC71DA1DC6}"/>
            </a:ext>
          </a:extLst>
        </xdr:cNvPr>
        <xdr:cNvSpPr/>
      </xdr:nvSpPr>
      <xdr:spPr>
        <a:xfrm>
          <a:off x="63627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206</xdr:row>
      <xdr:rowOff>0</xdr:rowOff>
    </xdr:from>
    <xdr:to>
      <xdr:col>60</xdr:col>
      <xdr:colOff>83820</xdr:colOff>
      <xdr:row>206</xdr:row>
      <xdr:rowOff>114300</xdr:rowOff>
    </xdr:to>
    <xdr:sp macro="" textlink="">
      <xdr:nvSpPr>
        <xdr:cNvPr id="1437" name="Arrow: Down 1436">
          <a:extLst>
            <a:ext uri="{FF2B5EF4-FFF2-40B4-BE49-F238E27FC236}">
              <a16:creationId xmlns:a16="http://schemas.microsoft.com/office/drawing/2014/main" id="{BC545588-6C85-43C6-9751-034063ADE962}"/>
            </a:ext>
          </a:extLst>
        </xdr:cNvPr>
        <xdr:cNvSpPr/>
      </xdr:nvSpPr>
      <xdr:spPr>
        <a:xfrm rot="10800000">
          <a:off x="16139160" y="37772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206</xdr:row>
      <xdr:rowOff>0</xdr:rowOff>
    </xdr:from>
    <xdr:to>
      <xdr:col>39</xdr:col>
      <xdr:colOff>83820</xdr:colOff>
      <xdr:row>206</xdr:row>
      <xdr:rowOff>114300</xdr:rowOff>
    </xdr:to>
    <xdr:sp macro="" textlink="">
      <xdr:nvSpPr>
        <xdr:cNvPr id="1463" name="Arrow: Down 1462">
          <a:extLst>
            <a:ext uri="{FF2B5EF4-FFF2-40B4-BE49-F238E27FC236}">
              <a16:creationId xmlns:a16="http://schemas.microsoft.com/office/drawing/2014/main" id="{91CD7412-8086-421E-9F7D-4558AF87818E}"/>
            </a:ext>
          </a:extLst>
        </xdr:cNvPr>
        <xdr:cNvSpPr/>
      </xdr:nvSpPr>
      <xdr:spPr>
        <a:xfrm rot="10800000">
          <a:off x="95250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203</xdr:row>
      <xdr:rowOff>0</xdr:rowOff>
    </xdr:from>
    <xdr:to>
      <xdr:col>39</xdr:col>
      <xdr:colOff>83820</xdr:colOff>
      <xdr:row>203</xdr:row>
      <xdr:rowOff>114300</xdr:rowOff>
    </xdr:to>
    <xdr:sp macro="" textlink="">
      <xdr:nvSpPr>
        <xdr:cNvPr id="1464" name="Arrow: Down 1463">
          <a:extLst>
            <a:ext uri="{FF2B5EF4-FFF2-40B4-BE49-F238E27FC236}">
              <a16:creationId xmlns:a16="http://schemas.microsoft.com/office/drawing/2014/main" id="{9BC7965E-99E1-4A01-8429-97D215CE4480}"/>
            </a:ext>
          </a:extLst>
        </xdr:cNvPr>
        <xdr:cNvSpPr/>
      </xdr:nvSpPr>
      <xdr:spPr>
        <a:xfrm rot="10800000">
          <a:off x="9525000" y="3722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205</xdr:row>
      <xdr:rowOff>0</xdr:rowOff>
    </xdr:from>
    <xdr:to>
      <xdr:col>39</xdr:col>
      <xdr:colOff>83820</xdr:colOff>
      <xdr:row>205</xdr:row>
      <xdr:rowOff>114300</xdr:rowOff>
    </xdr:to>
    <xdr:sp macro="" textlink="">
      <xdr:nvSpPr>
        <xdr:cNvPr id="1465" name="Arrow: Down 1464">
          <a:extLst>
            <a:ext uri="{FF2B5EF4-FFF2-40B4-BE49-F238E27FC236}">
              <a16:creationId xmlns:a16="http://schemas.microsoft.com/office/drawing/2014/main" id="{9E34E8AC-6B49-412E-B145-54843A40F6E8}"/>
            </a:ext>
          </a:extLst>
        </xdr:cNvPr>
        <xdr:cNvSpPr/>
      </xdr:nvSpPr>
      <xdr:spPr>
        <a:xfrm rot="10800000">
          <a:off x="9525000" y="3758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206</xdr:row>
      <xdr:rowOff>0</xdr:rowOff>
    </xdr:from>
    <xdr:to>
      <xdr:col>5</xdr:col>
      <xdr:colOff>83820</xdr:colOff>
      <xdr:row>206</xdr:row>
      <xdr:rowOff>114300</xdr:rowOff>
    </xdr:to>
    <xdr:sp macro="" textlink="">
      <xdr:nvSpPr>
        <xdr:cNvPr id="1474" name="Arrow: Down 1473">
          <a:extLst>
            <a:ext uri="{FF2B5EF4-FFF2-40B4-BE49-F238E27FC236}">
              <a16:creationId xmlns:a16="http://schemas.microsoft.com/office/drawing/2014/main" id="{3330E4F3-D285-4805-B19D-FC4E98D63B4C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206</xdr:row>
      <xdr:rowOff>0</xdr:rowOff>
    </xdr:from>
    <xdr:to>
      <xdr:col>11</xdr:col>
      <xdr:colOff>83820</xdr:colOff>
      <xdr:row>206</xdr:row>
      <xdr:rowOff>114300</xdr:rowOff>
    </xdr:to>
    <xdr:sp macro="" textlink="">
      <xdr:nvSpPr>
        <xdr:cNvPr id="1485" name="Arrow: Down 1484">
          <a:extLst>
            <a:ext uri="{FF2B5EF4-FFF2-40B4-BE49-F238E27FC236}">
              <a16:creationId xmlns:a16="http://schemas.microsoft.com/office/drawing/2014/main" id="{5B6D8476-5959-44E5-B033-FFA7EB000060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490" name="Arrow: Down 1489">
          <a:extLst>
            <a:ext uri="{FF2B5EF4-FFF2-40B4-BE49-F238E27FC236}">
              <a16:creationId xmlns:a16="http://schemas.microsoft.com/office/drawing/2014/main" id="{A15049DE-C368-4357-84FF-947CC8CE7F03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496" name="Arrow: Down 1495">
          <a:extLst>
            <a:ext uri="{FF2B5EF4-FFF2-40B4-BE49-F238E27FC236}">
              <a16:creationId xmlns:a16="http://schemas.microsoft.com/office/drawing/2014/main" id="{69F9CE32-6FC5-4BE2-8CD4-FBE9CB027B16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207</xdr:row>
      <xdr:rowOff>0</xdr:rowOff>
    </xdr:from>
    <xdr:to>
      <xdr:col>71</xdr:col>
      <xdr:colOff>83820</xdr:colOff>
      <xdr:row>207</xdr:row>
      <xdr:rowOff>114300</xdr:rowOff>
    </xdr:to>
    <xdr:sp macro="" textlink="">
      <xdr:nvSpPr>
        <xdr:cNvPr id="1506" name="Arrow: Down 1505">
          <a:extLst>
            <a:ext uri="{FF2B5EF4-FFF2-40B4-BE49-F238E27FC236}">
              <a16:creationId xmlns:a16="http://schemas.microsoft.com/office/drawing/2014/main" id="{590E9475-FE17-4F36-8E8C-BA25069FF51A}"/>
            </a:ext>
          </a:extLst>
        </xdr:cNvPr>
        <xdr:cNvSpPr/>
      </xdr:nvSpPr>
      <xdr:spPr>
        <a:xfrm>
          <a:off x="184556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207</xdr:row>
      <xdr:rowOff>0</xdr:rowOff>
    </xdr:from>
    <xdr:to>
      <xdr:col>45</xdr:col>
      <xdr:colOff>83820</xdr:colOff>
      <xdr:row>207</xdr:row>
      <xdr:rowOff>114300</xdr:rowOff>
    </xdr:to>
    <xdr:sp macro="" textlink="">
      <xdr:nvSpPr>
        <xdr:cNvPr id="1507" name="Arrow: Down 1506">
          <a:extLst>
            <a:ext uri="{FF2B5EF4-FFF2-40B4-BE49-F238E27FC236}">
              <a16:creationId xmlns:a16="http://schemas.microsoft.com/office/drawing/2014/main" id="{85A42CEA-5B89-4390-97E3-0B760FA44C99}"/>
            </a:ext>
          </a:extLst>
        </xdr:cNvPr>
        <xdr:cNvSpPr/>
      </xdr:nvSpPr>
      <xdr:spPr>
        <a:xfrm rot="10800000">
          <a:off x="1133094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207</xdr:row>
      <xdr:rowOff>0</xdr:rowOff>
    </xdr:from>
    <xdr:to>
      <xdr:col>24</xdr:col>
      <xdr:colOff>83820</xdr:colOff>
      <xdr:row>207</xdr:row>
      <xdr:rowOff>114300</xdr:rowOff>
    </xdr:to>
    <xdr:sp macro="" textlink="">
      <xdr:nvSpPr>
        <xdr:cNvPr id="1509" name="Arrow: Down 1508">
          <a:extLst>
            <a:ext uri="{FF2B5EF4-FFF2-40B4-BE49-F238E27FC236}">
              <a16:creationId xmlns:a16="http://schemas.microsoft.com/office/drawing/2014/main" id="{09694832-7F7C-4BF6-A2E1-C01EA8508459}"/>
            </a:ext>
          </a:extLst>
        </xdr:cNvPr>
        <xdr:cNvSpPr/>
      </xdr:nvSpPr>
      <xdr:spPr>
        <a:xfrm>
          <a:off x="63627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207</xdr:row>
      <xdr:rowOff>0</xdr:rowOff>
    </xdr:from>
    <xdr:to>
      <xdr:col>5</xdr:col>
      <xdr:colOff>83820</xdr:colOff>
      <xdr:row>207</xdr:row>
      <xdr:rowOff>114300</xdr:rowOff>
    </xdr:to>
    <xdr:sp macro="" textlink="">
      <xdr:nvSpPr>
        <xdr:cNvPr id="1539" name="Arrow: Down 1538">
          <a:extLst>
            <a:ext uri="{FF2B5EF4-FFF2-40B4-BE49-F238E27FC236}">
              <a16:creationId xmlns:a16="http://schemas.microsoft.com/office/drawing/2014/main" id="{9D83E71C-3AF6-4D23-AEEC-3304BBE4A2A8}"/>
            </a:ext>
          </a:extLst>
        </xdr:cNvPr>
        <xdr:cNvSpPr/>
      </xdr:nvSpPr>
      <xdr:spPr>
        <a:xfrm>
          <a:off x="192786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207</xdr:row>
      <xdr:rowOff>0</xdr:rowOff>
    </xdr:from>
    <xdr:to>
      <xdr:col>11</xdr:col>
      <xdr:colOff>83820</xdr:colOff>
      <xdr:row>207</xdr:row>
      <xdr:rowOff>114300</xdr:rowOff>
    </xdr:to>
    <xdr:sp macro="" textlink="">
      <xdr:nvSpPr>
        <xdr:cNvPr id="1541" name="Arrow: Down 1540">
          <a:extLst>
            <a:ext uri="{FF2B5EF4-FFF2-40B4-BE49-F238E27FC236}">
              <a16:creationId xmlns:a16="http://schemas.microsoft.com/office/drawing/2014/main" id="{34E0CE6D-8FBF-423A-A9D4-35E31A2F5179}"/>
            </a:ext>
          </a:extLst>
        </xdr:cNvPr>
        <xdr:cNvSpPr/>
      </xdr:nvSpPr>
      <xdr:spPr>
        <a:xfrm>
          <a:off x="3619500" y="3777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207</xdr:row>
      <xdr:rowOff>0</xdr:rowOff>
    </xdr:from>
    <xdr:to>
      <xdr:col>60</xdr:col>
      <xdr:colOff>83820</xdr:colOff>
      <xdr:row>207</xdr:row>
      <xdr:rowOff>114300</xdr:rowOff>
    </xdr:to>
    <xdr:sp macro="" textlink="">
      <xdr:nvSpPr>
        <xdr:cNvPr id="1555" name="Arrow: Down 1554">
          <a:extLst>
            <a:ext uri="{FF2B5EF4-FFF2-40B4-BE49-F238E27FC236}">
              <a16:creationId xmlns:a16="http://schemas.microsoft.com/office/drawing/2014/main" id="{FDB6E449-91C2-46E6-9807-1704AA857B6E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207</xdr:row>
      <xdr:rowOff>0</xdr:rowOff>
    </xdr:from>
    <xdr:to>
      <xdr:col>39</xdr:col>
      <xdr:colOff>83820</xdr:colOff>
      <xdr:row>207</xdr:row>
      <xdr:rowOff>114300</xdr:rowOff>
    </xdr:to>
    <xdr:sp macro="" textlink="">
      <xdr:nvSpPr>
        <xdr:cNvPr id="1556" name="Arrow: Down 1555">
          <a:extLst>
            <a:ext uri="{FF2B5EF4-FFF2-40B4-BE49-F238E27FC236}">
              <a16:creationId xmlns:a16="http://schemas.microsoft.com/office/drawing/2014/main" id="{42C77985-B24B-43F9-89D9-5212200A52AD}"/>
            </a:ext>
          </a:extLst>
        </xdr:cNvPr>
        <xdr:cNvSpPr/>
      </xdr:nvSpPr>
      <xdr:spPr>
        <a:xfrm>
          <a:off x="9525000" y="3795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7" name="Arrow: Down 1556">
          <a:extLst>
            <a:ext uri="{FF2B5EF4-FFF2-40B4-BE49-F238E27FC236}">
              <a16:creationId xmlns:a16="http://schemas.microsoft.com/office/drawing/2014/main" id="{78A14097-7ACB-4B05-A1FF-D7F506546763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58" name="Arrow: Down 1557">
          <a:extLst>
            <a:ext uri="{FF2B5EF4-FFF2-40B4-BE49-F238E27FC236}">
              <a16:creationId xmlns:a16="http://schemas.microsoft.com/office/drawing/2014/main" id="{F621FF92-827C-4A7B-B9EB-B2C125173105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208</xdr:row>
      <xdr:rowOff>0</xdr:rowOff>
    </xdr:from>
    <xdr:to>
      <xdr:col>71</xdr:col>
      <xdr:colOff>83820</xdr:colOff>
      <xdr:row>208</xdr:row>
      <xdr:rowOff>114300</xdr:rowOff>
    </xdr:to>
    <xdr:sp macro="" textlink="">
      <xdr:nvSpPr>
        <xdr:cNvPr id="1559" name="Arrow: Down 1558">
          <a:extLst>
            <a:ext uri="{FF2B5EF4-FFF2-40B4-BE49-F238E27FC236}">
              <a16:creationId xmlns:a16="http://schemas.microsoft.com/office/drawing/2014/main" id="{8040DA70-C318-4F44-BC3F-184099D6418C}"/>
            </a:ext>
          </a:extLst>
        </xdr:cNvPr>
        <xdr:cNvSpPr/>
      </xdr:nvSpPr>
      <xdr:spPr>
        <a:xfrm>
          <a:off x="184556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208</xdr:row>
      <xdr:rowOff>0</xdr:rowOff>
    </xdr:from>
    <xdr:to>
      <xdr:col>45</xdr:col>
      <xdr:colOff>83820</xdr:colOff>
      <xdr:row>208</xdr:row>
      <xdr:rowOff>114300</xdr:rowOff>
    </xdr:to>
    <xdr:sp macro="" textlink="">
      <xdr:nvSpPr>
        <xdr:cNvPr id="1560" name="Arrow: Down 1559">
          <a:extLst>
            <a:ext uri="{FF2B5EF4-FFF2-40B4-BE49-F238E27FC236}">
              <a16:creationId xmlns:a16="http://schemas.microsoft.com/office/drawing/2014/main" id="{54F10EE8-6EEA-46F7-B2E3-76FDA3A53459}"/>
            </a:ext>
          </a:extLst>
        </xdr:cNvPr>
        <xdr:cNvSpPr/>
      </xdr:nvSpPr>
      <xdr:spPr>
        <a:xfrm rot="10800000">
          <a:off x="1133094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208</xdr:row>
      <xdr:rowOff>0</xdr:rowOff>
    </xdr:from>
    <xdr:to>
      <xdr:col>60</xdr:col>
      <xdr:colOff>83820</xdr:colOff>
      <xdr:row>208</xdr:row>
      <xdr:rowOff>114300</xdr:rowOff>
    </xdr:to>
    <xdr:sp macro="" textlink="">
      <xdr:nvSpPr>
        <xdr:cNvPr id="1569" name="Arrow: Down 1568">
          <a:extLst>
            <a:ext uri="{FF2B5EF4-FFF2-40B4-BE49-F238E27FC236}">
              <a16:creationId xmlns:a16="http://schemas.microsoft.com/office/drawing/2014/main" id="{752643D6-05FD-4DFA-B2C2-635110A027B4}"/>
            </a:ext>
          </a:extLst>
        </xdr:cNvPr>
        <xdr:cNvSpPr/>
      </xdr:nvSpPr>
      <xdr:spPr>
        <a:xfrm>
          <a:off x="16139160" y="3795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208</xdr:row>
      <xdr:rowOff>0</xdr:rowOff>
    </xdr:from>
    <xdr:to>
      <xdr:col>24</xdr:col>
      <xdr:colOff>83820</xdr:colOff>
      <xdr:row>208</xdr:row>
      <xdr:rowOff>114300</xdr:rowOff>
    </xdr:to>
    <xdr:sp macro="" textlink="">
      <xdr:nvSpPr>
        <xdr:cNvPr id="1572" name="Arrow: Down 1571">
          <a:extLst>
            <a:ext uri="{FF2B5EF4-FFF2-40B4-BE49-F238E27FC236}">
              <a16:creationId xmlns:a16="http://schemas.microsoft.com/office/drawing/2014/main" id="{357A49E1-B412-4E81-B909-B2753379CA93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208</xdr:row>
      <xdr:rowOff>0</xdr:rowOff>
    </xdr:from>
    <xdr:to>
      <xdr:col>5</xdr:col>
      <xdr:colOff>83820</xdr:colOff>
      <xdr:row>208</xdr:row>
      <xdr:rowOff>114300</xdr:rowOff>
    </xdr:to>
    <xdr:sp macro="" textlink="">
      <xdr:nvSpPr>
        <xdr:cNvPr id="1582" name="Arrow: Down 1581">
          <a:extLst>
            <a:ext uri="{FF2B5EF4-FFF2-40B4-BE49-F238E27FC236}">
              <a16:creationId xmlns:a16="http://schemas.microsoft.com/office/drawing/2014/main" id="{2C46E994-21A8-4716-B11D-48B16C76720C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208</xdr:row>
      <xdr:rowOff>0</xdr:rowOff>
    </xdr:from>
    <xdr:to>
      <xdr:col>11</xdr:col>
      <xdr:colOff>83820</xdr:colOff>
      <xdr:row>208</xdr:row>
      <xdr:rowOff>114300</xdr:rowOff>
    </xdr:to>
    <xdr:sp macro="" textlink="">
      <xdr:nvSpPr>
        <xdr:cNvPr id="1583" name="Arrow: Down 1582">
          <a:extLst>
            <a:ext uri="{FF2B5EF4-FFF2-40B4-BE49-F238E27FC236}">
              <a16:creationId xmlns:a16="http://schemas.microsoft.com/office/drawing/2014/main" id="{5D0FC389-6051-40CF-AC34-9FE6DAC9A187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208</xdr:row>
      <xdr:rowOff>0</xdr:rowOff>
    </xdr:from>
    <xdr:to>
      <xdr:col>39</xdr:col>
      <xdr:colOff>83820</xdr:colOff>
      <xdr:row>208</xdr:row>
      <xdr:rowOff>114300</xdr:rowOff>
    </xdr:to>
    <xdr:sp macro="" textlink="">
      <xdr:nvSpPr>
        <xdr:cNvPr id="1585" name="Arrow: Down 1584">
          <a:extLst>
            <a:ext uri="{FF2B5EF4-FFF2-40B4-BE49-F238E27FC236}">
              <a16:creationId xmlns:a16="http://schemas.microsoft.com/office/drawing/2014/main" id="{319DEC7D-7111-41A3-8898-267D689A383E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456" name="Arrow: Down 1455">
          <a:extLst>
            <a:ext uri="{FF2B5EF4-FFF2-40B4-BE49-F238E27FC236}">
              <a16:creationId xmlns:a16="http://schemas.microsoft.com/office/drawing/2014/main" id="{03308E95-B8D4-45E4-9ABE-4AC11DFFEC5C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479" name="Arrow: Down 1478">
          <a:extLst>
            <a:ext uri="{FF2B5EF4-FFF2-40B4-BE49-F238E27FC236}">
              <a16:creationId xmlns:a16="http://schemas.microsoft.com/office/drawing/2014/main" id="{8C8323CE-BB2A-4A27-AFED-1BF78EA26350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209</xdr:row>
      <xdr:rowOff>0</xdr:rowOff>
    </xdr:from>
    <xdr:to>
      <xdr:col>71</xdr:col>
      <xdr:colOff>83820</xdr:colOff>
      <xdr:row>209</xdr:row>
      <xdr:rowOff>114300</xdr:rowOff>
    </xdr:to>
    <xdr:sp macro="" textlink="">
      <xdr:nvSpPr>
        <xdr:cNvPr id="1510" name="Arrow: Down 1509">
          <a:extLst>
            <a:ext uri="{FF2B5EF4-FFF2-40B4-BE49-F238E27FC236}">
              <a16:creationId xmlns:a16="http://schemas.microsoft.com/office/drawing/2014/main" id="{8A0B627F-183D-44B8-9282-F80BAD475DB2}"/>
            </a:ext>
          </a:extLst>
        </xdr:cNvPr>
        <xdr:cNvSpPr/>
      </xdr:nvSpPr>
      <xdr:spPr>
        <a:xfrm>
          <a:off x="2012442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209</xdr:row>
      <xdr:rowOff>0</xdr:rowOff>
    </xdr:from>
    <xdr:to>
      <xdr:col>45</xdr:col>
      <xdr:colOff>83820</xdr:colOff>
      <xdr:row>209</xdr:row>
      <xdr:rowOff>114300</xdr:rowOff>
    </xdr:to>
    <xdr:sp macro="" textlink="">
      <xdr:nvSpPr>
        <xdr:cNvPr id="1513" name="Arrow: Down 1512">
          <a:extLst>
            <a:ext uri="{FF2B5EF4-FFF2-40B4-BE49-F238E27FC236}">
              <a16:creationId xmlns:a16="http://schemas.microsoft.com/office/drawing/2014/main" id="{1DC5190F-CE41-49AB-A62F-FED742F2F105}"/>
            </a:ext>
          </a:extLst>
        </xdr:cNvPr>
        <xdr:cNvSpPr/>
      </xdr:nvSpPr>
      <xdr:spPr>
        <a:xfrm rot="10800000">
          <a:off x="1133094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209</xdr:row>
      <xdr:rowOff>0</xdr:rowOff>
    </xdr:from>
    <xdr:to>
      <xdr:col>24</xdr:col>
      <xdr:colOff>83820</xdr:colOff>
      <xdr:row>209</xdr:row>
      <xdr:rowOff>114300</xdr:rowOff>
    </xdr:to>
    <xdr:sp macro="" textlink="">
      <xdr:nvSpPr>
        <xdr:cNvPr id="1548" name="Arrow: Down 1547">
          <a:extLst>
            <a:ext uri="{FF2B5EF4-FFF2-40B4-BE49-F238E27FC236}">
              <a16:creationId xmlns:a16="http://schemas.microsoft.com/office/drawing/2014/main" id="{610DAC6A-BF61-48E5-A2F4-5FBB3F736C4B}"/>
            </a:ext>
          </a:extLst>
        </xdr:cNvPr>
        <xdr:cNvSpPr/>
      </xdr:nvSpPr>
      <xdr:spPr>
        <a:xfrm rot="10800000">
          <a:off x="63627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209</xdr:row>
      <xdr:rowOff>0</xdr:rowOff>
    </xdr:from>
    <xdr:to>
      <xdr:col>5</xdr:col>
      <xdr:colOff>83820</xdr:colOff>
      <xdr:row>209</xdr:row>
      <xdr:rowOff>114300</xdr:rowOff>
    </xdr:to>
    <xdr:sp macro="" textlink="">
      <xdr:nvSpPr>
        <xdr:cNvPr id="1561" name="Arrow: Down 1560">
          <a:extLst>
            <a:ext uri="{FF2B5EF4-FFF2-40B4-BE49-F238E27FC236}">
              <a16:creationId xmlns:a16="http://schemas.microsoft.com/office/drawing/2014/main" id="{7337E330-E215-4BE5-A50C-5FB2EEA39929}"/>
            </a:ext>
          </a:extLst>
        </xdr:cNvPr>
        <xdr:cNvSpPr/>
      </xdr:nvSpPr>
      <xdr:spPr>
        <a:xfrm rot="10800000">
          <a:off x="192786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209</xdr:row>
      <xdr:rowOff>0</xdr:rowOff>
    </xdr:from>
    <xdr:to>
      <xdr:col>11</xdr:col>
      <xdr:colOff>83820</xdr:colOff>
      <xdr:row>209</xdr:row>
      <xdr:rowOff>114300</xdr:rowOff>
    </xdr:to>
    <xdr:sp macro="" textlink="">
      <xdr:nvSpPr>
        <xdr:cNvPr id="1562" name="Arrow: Down 1561">
          <a:extLst>
            <a:ext uri="{FF2B5EF4-FFF2-40B4-BE49-F238E27FC236}">
              <a16:creationId xmlns:a16="http://schemas.microsoft.com/office/drawing/2014/main" id="{1A372C3B-EE02-4F99-8404-9ED0671F3388}"/>
            </a:ext>
          </a:extLst>
        </xdr:cNvPr>
        <xdr:cNvSpPr/>
      </xdr:nvSpPr>
      <xdr:spPr>
        <a:xfrm rot="10800000">
          <a:off x="3619500" y="3813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209</xdr:row>
      <xdr:rowOff>0</xdr:rowOff>
    </xdr:from>
    <xdr:to>
      <xdr:col>39</xdr:col>
      <xdr:colOff>83820</xdr:colOff>
      <xdr:row>209</xdr:row>
      <xdr:rowOff>114300</xdr:rowOff>
    </xdr:to>
    <xdr:sp macro="" textlink="">
      <xdr:nvSpPr>
        <xdr:cNvPr id="1563" name="Arrow: Down 1562">
          <a:extLst>
            <a:ext uri="{FF2B5EF4-FFF2-40B4-BE49-F238E27FC236}">
              <a16:creationId xmlns:a16="http://schemas.microsoft.com/office/drawing/2014/main" id="{794A9FAF-18F0-42D4-9D75-C84ED215C59F}"/>
            </a:ext>
          </a:extLst>
        </xdr:cNvPr>
        <xdr:cNvSpPr/>
      </xdr:nvSpPr>
      <xdr:spPr>
        <a:xfrm rot="10800000">
          <a:off x="9525000" y="3813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209</xdr:row>
      <xdr:rowOff>0</xdr:rowOff>
    </xdr:from>
    <xdr:to>
      <xdr:col>60</xdr:col>
      <xdr:colOff>83820</xdr:colOff>
      <xdr:row>209</xdr:row>
      <xdr:rowOff>114300</xdr:rowOff>
    </xdr:to>
    <xdr:sp macro="" textlink="">
      <xdr:nvSpPr>
        <xdr:cNvPr id="1570" name="Arrow: Down 1569">
          <a:extLst>
            <a:ext uri="{FF2B5EF4-FFF2-40B4-BE49-F238E27FC236}">
              <a16:creationId xmlns:a16="http://schemas.microsoft.com/office/drawing/2014/main" id="{138D37A6-1BC3-4162-A538-1B313F7906D4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1" name="Arrow: Down 1570">
          <a:extLst>
            <a:ext uri="{FF2B5EF4-FFF2-40B4-BE49-F238E27FC236}">
              <a16:creationId xmlns:a16="http://schemas.microsoft.com/office/drawing/2014/main" id="{C20FD012-F8B2-4556-BF8E-8F8FE9C60846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3" name="Arrow: Down 1572">
          <a:extLst>
            <a:ext uri="{FF2B5EF4-FFF2-40B4-BE49-F238E27FC236}">
              <a16:creationId xmlns:a16="http://schemas.microsoft.com/office/drawing/2014/main" id="{3521FE54-86D1-4952-A66A-D89A9EA3F6CF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210</xdr:row>
      <xdr:rowOff>0</xdr:rowOff>
    </xdr:from>
    <xdr:to>
      <xdr:col>71</xdr:col>
      <xdr:colOff>83820</xdr:colOff>
      <xdr:row>210</xdr:row>
      <xdr:rowOff>114300</xdr:rowOff>
    </xdr:to>
    <xdr:sp macro="" textlink="">
      <xdr:nvSpPr>
        <xdr:cNvPr id="1578" name="Arrow: Down 1577">
          <a:extLst>
            <a:ext uri="{FF2B5EF4-FFF2-40B4-BE49-F238E27FC236}">
              <a16:creationId xmlns:a16="http://schemas.microsoft.com/office/drawing/2014/main" id="{BCAF6AC7-B5D8-45F6-B3BD-A4B909DAEA94}"/>
            </a:ext>
          </a:extLst>
        </xdr:cNvPr>
        <xdr:cNvSpPr/>
      </xdr:nvSpPr>
      <xdr:spPr>
        <a:xfrm>
          <a:off x="184556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210</xdr:row>
      <xdr:rowOff>0</xdr:rowOff>
    </xdr:from>
    <xdr:to>
      <xdr:col>45</xdr:col>
      <xdr:colOff>83820</xdr:colOff>
      <xdr:row>210</xdr:row>
      <xdr:rowOff>114300</xdr:rowOff>
    </xdr:to>
    <xdr:sp macro="" textlink="">
      <xdr:nvSpPr>
        <xdr:cNvPr id="1579" name="Arrow: Down 1578">
          <a:extLst>
            <a:ext uri="{FF2B5EF4-FFF2-40B4-BE49-F238E27FC236}">
              <a16:creationId xmlns:a16="http://schemas.microsoft.com/office/drawing/2014/main" id="{477FC467-A576-4C4A-BF4C-FC07453315C1}"/>
            </a:ext>
          </a:extLst>
        </xdr:cNvPr>
        <xdr:cNvSpPr/>
      </xdr:nvSpPr>
      <xdr:spPr>
        <a:xfrm rot="10800000">
          <a:off x="1133094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210</xdr:row>
      <xdr:rowOff>0</xdr:rowOff>
    </xdr:from>
    <xdr:to>
      <xdr:col>24</xdr:col>
      <xdr:colOff>83820</xdr:colOff>
      <xdr:row>210</xdr:row>
      <xdr:rowOff>114300</xdr:rowOff>
    </xdr:to>
    <xdr:sp macro="" textlink="">
      <xdr:nvSpPr>
        <xdr:cNvPr id="1580" name="Arrow: Down 1579">
          <a:extLst>
            <a:ext uri="{FF2B5EF4-FFF2-40B4-BE49-F238E27FC236}">
              <a16:creationId xmlns:a16="http://schemas.microsoft.com/office/drawing/2014/main" id="{2B9450B7-9BB8-46C4-B51B-33C07A58513D}"/>
            </a:ext>
          </a:extLst>
        </xdr:cNvPr>
        <xdr:cNvSpPr/>
      </xdr:nvSpPr>
      <xdr:spPr>
        <a:xfrm rot="10800000">
          <a:off x="63627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210</xdr:row>
      <xdr:rowOff>0</xdr:rowOff>
    </xdr:from>
    <xdr:to>
      <xdr:col>5</xdr:col>
      <xdr:colOff>83820</xdr:colOff>
      <xdr:row>210</xdr:row>
      <xdr:rowOff>114300</xdr:rowOff>
    </xdr:to>
    <xdr:sp macro="" textlink="">
      <xdr:nvSpPr>
        <xdr:cNvPr id="1581" name="Arrow: Down 1580">
          <a:extLst>
            <a:ext uri="{FF2B5EF4-FFF2-40B4-BE49-F238E27FC236}">
              <a16:creationId xmlns:a16="http://schemas.microsoft.com/office/drawing/2014/main" id="{2A1306E7-714F-4784-82CD-E513CEB26E57}"/>
            </a:ext>
          </a:extLst>
        </xdr:cNvPr>
        <xdr:cNvSpPr/>
      </xdr:nvSpPr>
      <xdr:spPr>
        <a:xfrm rot="10800000">
          <a:off x="19278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210</xdr:row>
      <xdr:rowOff>0</xdr:rowOff>
    </xdr:from>
    <xdr:to>
      <xdr:col>11</xdr:col>
      <xdr:colOff>83820</xdr:colOff>
      <xdr:row>210</xdr:row>
      <xdr:rowOff>114300</xdr:rowOff>
    </xdr:to>
    <xdr:sp macro="" textlink="">
      <xdr:nvSpPr>
        <xdr:cNvPr id="1584" name="Arrow: Down 1583">
          <a:extLst>
            <a:ext uri="{FF2B5EF4-FFF2-40B4-BE49-F238E27FC236}">
              <a16:creationId xmlns:a16="http://schemas.microsoft.com/office/drawing/2014/main" id="{2F8C34D7-AF2B-4C48-8FEB-4168CD83B1FE}"/>
            </a:ext>
          </a:extLst>
        </xdr:cNvPr>
        <xdr:cNvSpPr/>
      </xdr:nvSpPr>
      <xdr:spPr>
        <a:xfrm rot="10800000">
          <a:off x="361950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210</xdr:row>
      <xdr:rowOff>0</xdr:rowOff>
    </xdr:from>
    <xdr:to>
      <xdr:col>39</xdr:col>
      <xdr:colOff>83820</xdr:colOff>
      <xdr:row>210</xdr:row>
      <xdr:rowOff>114300</xdr:rowOff>
    </xdr:to>
    <xdr:sp macro="" textlink="">
      <xdr:nvSpPr>
        <xdr:cNvPr id="1586" name="Arrow: Down 1585">
          <a:extLst>
            <a:ext uri="{FF2B5EF4-FFF2-40B4-BE49-F238E27FC236}">
              <a16:creationId xmlns:a16="http://schemas.microsoft.com/office/drawing/2014/main" id="{A1777B41-C8F3-4194-879B-750CCA492373}"/>
            </a:ext>
          </a:extLst>
        </xdr:cNvPr>
        <xdr:cNvSpPr/>
      </xdr:nvSpPr>
      <xdr:spPr>
        <a:xfrm rot="10800000">
          <a:off x="9525000" y="3832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210</xdr:row>
      <xdr:rowOff>0</xdr:rowOff>
    </xdr:from>
    <xdr:to>
      <xdr:col>60</xdr:col>
      <xdr:colOff>83820</xdr:colOff>
      <xdr:row>210</xdr:row>
      <xdr:rowOff>114300</xdr:rowOff>
    </xdr:to>
    <xdr:sp macro="" textlink="">
      <xdr:nvSpPr>
        <xdr:cNvPr id="1587" name="Arrow: Down 1586">
          <a:extLst>
            <a:ext uri="{FF2B5EF4-FFF2-40B4-BE49-F238E27FC236}">
              <a16:creationId xmlns:a16="http://schemas.microsoft.com/office/drawing/2014/main" id="{FB8518C1-9E8D-46B8-A348-4E38376F4D5C}"/>
            </a:ext>
          </a:extLst>
        </xdr:cNvPr>
        <xdr:cNvSpPr/>
      </xdr:nvSpPr>
      <xdr:spPr>
        <a:xfrm rot="10800000">
          <a:off x="16139160" y="3832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88" name="Arrow: Down 1587">
          <a:extLst>
            <a:ext uri="{FF2B5EF4-FFF2-40B4-BE49-F238E27FC236}">
              <a16:creationId xmlns:a16="http://schemas.microsoft.com/office/drawing/2014/main" id="{F94EB5A7-DD1C-43E8-931E-E4AF74091E08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89" name="Arrow: Down 1588">
          <a:extLst>
            <a:ext uri="{FF2B5EF4-FFF2-40B4-BE49-F238E27FC236}">
              <a16:creationId xmlns:a16="http://schemas.microsoft.com/office/drawing/2014/main" id="{1D09D61D-F5DC-4762-B677-31C267F1175C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211</xdr:row>
      <xdr:rowOff>0</xdr:rowOff>
    </xdr:from>
    <xdr:to>
      <xdr:col>71</xdr:col>
      <xdr:colOff>83820</xdr:colOff>
      <xdr:row>211</xdr:row>
      <xdr:rowOff>114300</xdr:rowOff>
    </xdr:to>
    <xdr:sp macro="" textlink="">
      <xdr:nvSpPr>
        <xdr:cNvPr id="1590" name="Arrow: Down 1589">
          <a:extLst>
            <a:ext uri="{FF2B5EF4-FFF2-40B4-BE49-F238E27FC236}">
              <a16:creationId xmlns:a16="http://schemas.microsoft.com/office/drawing/2014/main" id="{C8A8A951-4854-47AE-8854-33B836A07E29}"/>
            </a:ext>
          </a:extLst>
        </xdr:cNvPr>
        <xdr:cNvSpPr/>
      </xdr:nvSpPr>
      <xdr:spPr>
        <a:xfrm>
          <a:off x="184556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211</xdr:row>
      <xdr:rowOff>0</xdr:rowOff>
    </xdr:from>
    <xdr:to>
      <xdr:col>45</xdr:col>
      <xdr:colOff>83820</xdr:colOff>
      <xdr:row>211</xdr:row>
      <xdr:rowOff>114300</xdr:rowOff>
    </xdr:to>
    <xdr:sp macro="" textlink="">
      <xdr:nvSpPr>
        <xdr:cNvPr id="1591" name="Arrow: Down 1590">
          <a:extLst>
            <a:ext uri="{FF2B5EF4-FFF2-40B4-BE49-F238E27FC236}">
              <a16:creationId xmlns:a16="http://schemas.microsoft.com/office/drawing/2014/main" id="{23D23EE5-3972-4AD7-9BC5-0100EE297340}"/>
            </a:ext>
          </a:extLst>
        </xdr:cNvPr>
        <xdr:cNvSpPr/>
      </xdr:nvSpPr>
      <xdr:spPr>
        <a:xfrm rot="10800000">
          <a:off x="11330940" y="3850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211</xdr:row>
      <xdr:rowOff>0</xdr:rowOff>
    </xdr:from>
    <xdr:to>
      <xdr:col>24</xdr:col>
      <xdr:colOff>83820</xdr:colOff>
      <xdr:row>211</xdr:row>
      <xdr:rowOff>114300</xdr:rowOff>
    </xdr:to>
    <xdr:sp macro="" textlink="">
      <xdr:nvSpPr>
        <xdr:cNvPr id="1592" name="Arrow: Down 1591">
          <a:extLst>
            <a:ext uri="{FF2B5EF4-FFF2-40B4-BE49-F238E27FC236}">
              <a16:creationId xmlns:a16="http://schemas.microsoft.com/office/drawing/2014/main" id="{26B2BF7B-CD99-4A9C-9EA2-444B9AE0726B}"/>
            </a:ext>
          </a:extLst>
        </xdr:cNvPr>
        <xdr:cNvSpPr/>
      </xdr:nvSpPr>
      <xdr:spPr>
        <a:xfrm rot="10800000">
          <a:off x="63627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211</xdr:row>
      <xdr:rowOff>0</xdr:rowOff>
    </xdr:from>
    <xdr:to>
      <xdr:col>5</xdr:col>
      <xdr:colOff>83820</xdr:colOff>
      <xdr:row>211</xdr:row>
      <xdr:rowOff>114300</xdr:rowOff>
    </xdr:to>
    <xdr:sp macro="" textlink="">
      <xdr:nvSpPr>
        <xdr:cNvPr id="1593" name="Arrow: Down 1592">
          <a:extLst>
            <a:ext uri="{FF2B5EF4-FFF2-40B4-BE49-F238E27FC236}">
              <a16:creationId xmlns:a16="http://schemas.microsoft.com/office/drawing/2014/main" id="{47E4880F-501E-4B32-B8F2-775F8D1D8E91}"/>
            </a:ext>
          </a:extLst>
        </xdr:cNvPr>
        <xdr:cNvSpPr/>
      </xdr:nvSpPr>
      <xdr:spPr>
        <a:xfrm rot="10800000">
          <a:off x="192786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211</xdr:row>
      <xdr:rowOff>0</xdr:rowOff>
    </xdr:from>
    <xdr:to>
      <xdr:col>11</xdr:col>
      <xdr:colOff>83820</xdr:colOff>
      <xdr:row>211</xdr:row>
      <xdr:rowOff>114300</xdr:rowOff>
    </xdr:to>
    <xdr:sp macro="" textlink="">
      <xdr:nvSpPr>
        <xdr:cNvPr id="1594" name="Arrow: Down 1593">
          <a:extLst>
            <a:ext uri="{FF2B5EF4-FFF2-40B4-BE49-F238E27FC236}">
              <a16:creationId xmlns:a16="http://schemas.microsoft.com/office/drawing/2014/main" id="{2BE218AA-AD73-455C-B86D-896BC02F38D3}"/>
            </a:ext>
          </a:extLst>
        </xdr:cNvPr>
        <xdr:cNvSpPr/>
      </xdr:nvSpPr>
      <xdr:spPr>
        <a:xfrm rot="10800000">
          <a:off x="3619500" y="3850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211</xdr:row>
      <xdr:rowOff>0</xdr:rowOff>
    </xdr:from>
    <xdr:to>
      <xdr:col>39</xdr:col>
      <xdr:colOff>83820</xdr:colOff>
      <xdr:row>211</xdr:row>
      <xdr:rowOff>114300</xdr:rowOff>
    </xdr:to>
    <xdr:sp macro="" textlink="">
      <xdr:nvSpPr>
        <xdr:cNvPr id="1547" name="Arrow: Down 1546">
          <a:extLst>
            <a:ext uri="{FF2B5EF4-FFF2-40B4-BE49-F238E27FC236}">
              <a16:creationId xmlns:a16="http://schemas.microsoft.com/office/drawing/2014/main" id="{4D43725C-65E0-4688-B1B8-EC704B9E723A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211</xdr:row>
      <xdr:rowOff>0</xdr:rowOff>
    </xdr:from>
    <xdr:to>
      <xdr:col>60</xdr:col>
      <xdr:colOff>83820</xdr:colOff>
      <xdr:row>211</xdr:row>
      <xdr:rowOff>114300</xdr:rowOff>
    </xdr:to>
    <xdr:sp macro="" textlink="">
      <xdr:nvSpPr>
        <xdr:cNvPr id="1598" name="Arrow: Down 1597">
          <a:extLst>
            <a:ext uri="{FF2B5EF4-FFF2-40B4-BE49-F238E27FC236}">
              <a16:creationId xmlns:a16="http://schemas.microsoft.com/office/drawing/2014/main" id="{F4021127-0932-4A0A-9705-26E4B9205B2D}"/>
            </a:ext>
          </a:extLst>
        </xdr:cNvPr>
        <xdr:cNvSpPr/>
      </xdr:nvSpPr>
      <xdr:spPr>
        <a:xfrm>
          <a:off x="1613916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599" name="Arrow: Down 1598">
          <a:extLst>
            <a:ext uri="{FF2B5EF4-FFF2-40B4-BE49-F238E27FC236}">
              <a16:creationId xmlns:a16="http://schemas.microsoft.com/office/drawing/2014/main" id="{405FA598-497F-4290-89D9-53168029C32C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0" name="Arrow: Down 1599">
          <a:extLst>
            <a:ext uri="{FF2B5EF4-FFF2-40B4-BE49-F238E27FC236}">
              <a16:creationId xmlns:a16="http://schemas.microsoft.com/office/drawing/2014/main" id="{75C72E09-255D-4C52-B6B6-C8C802A6B851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212</xdr:row>
      <xdr:rowOff>0</xdr:rowOff>
    </xdr:from>
    <xdr:to>
      <xdr:col>71</xdr:col>
      <xdr:colOff>83820</xdr:colOff>
      <xdr:row>212</xdr:row>
      <xdr:rowOff>114300</xdr:rowOff>
    </xdr:to>
    <xdr:sp macro="" textlink="">
      <xdr:nvSpPr>
        <xdr:cNvPr id="1601" name="Arrow: Down 1600">
          <a:extLst>
            <a:ext uri="{FF2B5EF4-FFF2-40B4-BE49-F238E27FC236}">
              <a16:creationId xmlns:a16="http://schemas.microsoft.com/office/drawing/2014/main" id="{7EC27ED6-C88D-4502-82CA-8DE9AC496CED}"/>
            </a:ext>
          </a:extLst>
        </xdr:cNvPr>
        <xdr:cNvSpPr/>
      </xdr:nvSpPr>
      <xdr:spPr>
        <a:xfrm>
          <a:off x="184556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212</xdr:row>
      <xdr:rowOff>0</xdr:rowOff>
    </xdr:from>
    <xdr:to>
      <xdr:col>45</xdr:col>
      <xdr:colOff>83820</xdr:colOff>
      <xdr:row>212</xdr:row>
      <xdr:rowOff>114300</xdr:rowOff>
    </xdr:to>
    <xdr:sp macro="" textlink="">
      <xdr:nvSpPr>
        <xdr:cNvPr id="1602" name="Arrow: Down 1601">
          <a:extLst>
            <a:ext uri="{FF2B5EF4-FFF2-40B4-BE49-F238E27FC236}">
              <a16:creationId xmlns:a16="http://schemas.microsoft.com/office/drawing/2014/main" id="{9B8FF465-994E-4ABB-A4DE-2D169972FAB5}"/>
            </a:ext>
          </a:extLst>
        </xdr:cNvPr>
        <xdr:cNvSpPr/>
      </xdr:nvSpPr>
      <xdr:spPr>
        <a:xfrm rot="10800000">
          <a:off x="11330940" y="3868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212</xdr:row>
      <xdr:rowOff>0</xdr:rowOff>
    </xdr:from>
    <xdr:to>
      <xdr:col>24</xdr:col>
      <xdr:colOff>83820</xdr:colOff>
      <xdr:row>212</xdr:row>
      <xdr:rowOff>114300</xdr:rowOff>
    </xdr:to>
    <xdr:sp macro="" textlink="">
      <xdr:nvSpPr>
        <xdr:cNvPr id="1603" name="Arrow: Down 1602">
          <a:extLst>
            <a:ext uri="{FF2B5EF4-FFF2-40B4-BE49-F238E27FC236}">
              <a16:creationId xmlns:a16="http://schemas.microsoft.com/office/drawing/2014/main" id="{8C80A46D-C374-4006-9B84-DDC6F28D548B}"/>
            </a:ext>
          </a:extLst>
        </xdr:cNvPr>
        <xdr:cNvSpPr/>
      </xdr:nvSpPr>
      <xdr:spPr>
        <a:xfrm rot="10800000">
          <a:off x="63627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212</xdr:row>
      <xdr:rowOff>0</xdr:rowOff>
    </xdr:from>
    <xdr:to>
      <xdr:col>5</xdr:col>
      <xdr:colOff>83820</xdr:colOff>
      <xdr:row>212</xdr:row>
      <xdr:rowOff>114300</xdr:rowOff>
    </xdr:to>
    <xdr:sp macro="" textlink="">
      <xdr:nvSpPr>
        <xdr:cNvPr id="1604" name="Arrow: Down 1603">
          <a:extLst>
            <a:ext uri="{FF2B5EF4-FFF2-40B4-BE49-F238E27FC236}">
              <a16:creationId xmlns:a16="http://schemas.microsoft.com/office/drawing/2014/main" id="{69D120EE-5ABA-4BF2-909A-0829444150E8}"/>
            </a:ext>
          </a:extLst>
        </xdr:cNvPr>
        <xdr:cNvSpPr/>
      </xdr:nvSpPr>
      <xdr:spPr>
        <a:xfrm rot="10800000">
          <a:off x="192786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212</xdr:row>
      <xdr:rowOff>0</xdr:rowOff>
    </xdr:from>
    <xdr:to>
      <xdr:col>11</xdr:col>
      <xdr:colOff>83820</xdr:colOff>
      <xdr:row>212</xdr:row>
      <xdr:rowOff>114300</xdr:rowOff>
    </xdr:to>
    <xdr:sp macro="" textlink="">
      <xdr:nvSpPr>
        <xdr:cNvPr id="1605" name="Arrow: Down 1604">
          <a:extLst>
            <a:ext uri="{FF2B5EF4-FFF2-40B4-BE49-F238E27FC236}">
              <a16:creationId xmlns:a16="http://schemas.microsoft.com/office/drawing/2014/main" id="{676CD082-CB39-4C38-89B9-6E9C60FACBC0}"/>
            </a:ext>
          </a:extLst>
        </xdr:cNvPr>
        <xdr:cNvSpPr/>
      </xdr:nvSpPr>
      <xdr:spPr>
        <a:xfrm rot="10800000">
          <a:off x="36195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212</xdr:row>
      <xdr:rowOff>0</xdr:rowOff>
    </xdr:from>
    <xdr:to>
      <xdr:col>39</xdr:col>
      <xdr:colOff>83820</xdr:colOff>
      <xdr:row>212</xdr:row>
      <xdr:rowOff>114300</xdr:rowOff>
    </xdr:to>
    <xdr:sp macro="" textlink="">
      <xdr:nvSpPr>
        <xdr:cNvPr id="1606" name="Arrow: Down 1605">
          <a:extLst>
            <a:ext uri="{FF2B5EF4-FFF2-40B4-BE49-F238E27FC236}">
              <a16:creationId xmlns:a16="http://schemas.microsoft.com/office/drawing/2014/main" id="{79523E88-BBF6-4FEF-BDC2-776378B99657}"/>
            </a:ext>
          </a:extLst>
        </xdr:cNvPr>
        <xdr:cNvSpPr/>
      </xdr:nvSpPr>
      <xdr:spPr>
        <a:xfrm>
          <a:off x="9525000" y="3868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212</xdr:row>
      <xdr:rowOff>0</xdr:rowOff>
    </xdr:from>
    <xdr:to>
      <xdr:col>60</xdr:col>
      <xdr:colOff>83820</xdr:colOff>
      <xdr:row>212</xdr:row>
      <xdr:rowOff>114300</xdr:rowOff>
    </xdr:to>
    <xdr:sp macro="" textlink="">
      <xdr:nvSpPr>
        <xdr:cNvPr id="1608" name="Arrow: Down 1607">
          <a:extLst>
            <a:ext uri="{FF2B5EF4-FFF2-40B4-BE49-F238E27FC236}">
              <a16:creationId xmlns:a16="http://schemas.microsoft.com/office/drawing/2014/main" id="{64DAF5D9-BC8E-44D3-90B5-90A0806AAE6C}"/>
            </a:ext>
          </a:extLst>
        </xdr:cNvPr>
        <xdr:cNvSpPr/>
      </xdr:nvSpPr>
      <xdr:spPr>
        <a:xfrm rot="10800000">
          <a:off x="1613916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18" name="Arrow: Down 1617">
          <a:extLst>
            <a:ext uri="{FF2B5EF4-FFF2-40B4-BE49-F238E27FC236}">
              <a16:creationId xmlns:a16="http://schemas.microsoft.com/office/drawing/2014/main" id="{A881ED72-D5C3-4638-83BC-0FEF594FD5FD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19" name="Arrow: Down 1618">
          <a:extLst>
            <a:ext uri="{FF2B5EF4-FFF2-40B4-BE49-F238E27FC236}">
              <a16:creationId xmlns:a16="http://schemas.microsoft.com/office/drawing/2014/main" id="{C5B89BDC-FA6D-42EF-9CB8-DD56AC2978AA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213</xdr:row>
      <xdr:rowOff>0</xdr:rowOff>
    </xdr:from>
    <xdr:to>
      <xdr:col>71</xdr:col>
      <xdr:colOff>83820</xdr:colOff>
      <xdr:row>213</xdr:row>
      <xdr:rowOff>114300</xdr:rowOff>
    </xdr:to>
    <xdr:sp macro="" textlink="">
      <xdr:nvSpPr>
        <xdr:cNvPr id="1620" name="Arrow: Down 1619">
          <a:extLst>
            <a:ext uri="{FF2B5EF4-FFF2-40B4-BE49-F238E27FC236}">
              <a16:creationId xmlns:a16="http://schemas.microsoft.com/office/drawing/2014/main" id="{F451E384-F374-474D-B303-D73E1A64F2EC}"/>
            </a:ext>
          </a:extLst>
        </xdr:cNvPr>
        <xdr:cNvSpPr/>
      </xdr:nvSpPr>
      <xdr:spPr>
        <a:xfrm>
          <a:off x="184556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213</xdr:row>
      <xdr:rowOff>0</xdr:rowOff>
    </xdr:from>
    <xdr:to>
      <xdr:col>45</xdr:col>
      <xdr:colOff>83820</xdr:colOff>
      <xdr:row>213</xdr:row>
      <xdr:rowOff>114300</xdr:rowOff>
    </xdr:to>
    <xdr:sp macro="" textlink="">
      <xdr:nvSpPr>
        <xdr:cNvPr id="1621" name="Arrow: Down 1620">
          <a:extLst>
            <a:ext uri="{FF2B5EF4-FFF2-40B4-BE49-F238E27FC236}">
              <a16:creationId xmlns:a16="http://schemas.microsoft.com/office/drawing/2014/main" id="{2307EF3E-DBFB-481C-8806-0AF0766A02D0}"/>
            </a:ext>
          </a:extLst>
        </xdr:cNvPr>
        <xdr:cNvSpPr/>
      </xdr:nvSpPr>
      <xdr:spPr>
        <a:xfrm rot="10800000">
          <a:off x="11330940" y="3886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213</xdr:row>
      <xdr:rowOff>0</xdr:rowOff>
    </xdr:from>
    <xdr:to>
      <xdr:col>39</xdr:col>
      <xdr:colOff>83820</xdr:colOff>
      <xdr:row>213</xdr:row>
      <xdr:rowOff>114300</xdr:rowOff>
    </xdr:to>
    <xdr:sp macro="" textlink="">
      <xdr:nvSpPr>
        <xdr:cNvPr id="1625" name="Arrow: Down 1624">
          <a:extLst>
            <a:ext uri="{FF2B5EF4-FFF2-40B4-BE49-F238E27FC236}">
              <a16:creationId xmlns:a16="http://schemas.microsoft.com/office/drawing/2014/main" id="{9566A823-FF13-4DB5-9C50-90014452E5EC}"/>
            </a:ext>
          </a:extLst>
        </xdr:cNvPr>
        <xdr:cNvSpPr/>
      </xdr:nvSpPr>
      <xdr:spPr>
        <a:xfrm>
          <a:off x="9525000" y="3886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213</xdr:row>
      <xdr:rowOff>0</xdr:rowOff>
    </xdr:from>
    <xdr:to>
      <xdr:col>5</xdr:col>
      <xdr:colOff>83820</xdr:colOff>
      <xdr:row>213</xdr:row>
      <xdr:rowOff>114300</xdr:rowOff>
    </xdr:to>
    <xdr:sp macro="" textlink="">
      <xdr:nvSpPr>
        <xdr:cNvPr id="1627" name="Arrow: Down 1626">
          <a:extLst>
            <a:ext uri="{FF2B5EF4-FFF2-40B4-BE49-F238E27FC236}">
              <a16:creationId xmlns:a16="http://schemas.microsoft.com/office/drawing/2014/main" id="{8C676FE3-99AE-42C4-B782-6D1B5A03E642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213</xdr:row>
      <xdr:rowOff>0</xdr:rowOff>
    </xdr:from>
    <xdr:to>
      <xdr:col>11</xdr:col>
      <xdr:colOff>83820</xdr:colOff>
      <xdr:row>213</xdr:row>
      <xdr:rowOff>114300</xdr:rowOff>
    </xdr:to>
    <xdr:sp macro="" textlink="">
      <xdr:nvSpPr>
        <xdr:cNvPr id="1628" name="Arrow: Down 1627">
          <a:extLst>
            <a:ext uri="{FF2B5EF4-FFF2-40B4-BE49-F238E27FC236}">
              <a16:creationId xmlns:a16="http://schemas.microsoft.com/office/drawing/2014/main" id="{E1E6DCFA-E99C-4D53-AC87-DB5677769592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213</xdr:row>
      <xdr:rowOff>0</xdr:rowOff>
    </xdr:from>
    <xdr:to>
      <xdr:col>24</xdr:col>
      <xdr:colOff>83820</xdr:colOff>
      <xdr:row>213</xdr:row>
      <xdr:rowOff>114300</xdr:rowOff>
    </xdr:to>
    <xdr:sp macro="" textlink="">
      <xdr:nvSpPr>
        <xdr:cNvPr id="1630" name="Arrow: Down 1629">
          <a:extLst>
            <a:ext uri="{FF2B5EF4-FFF2-40B4-BE49-F238E27FC236}">
              <a16:creationId xmlns:a16="http://schemas.microsoft.com/office/drawing/2014/main" id="{3716B35E-C675-4FA9-BC62-6A39429B0ECC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213</xdr:row>
      <xdr:rowOff>0</xdr:rowOff>
    </xdr:from>
    <xdr:to>
      <xdr:col>60</xdr:col>
      <xdr:colOff>83820</xdr:colOff>
      <xdr:row>213</xdr:row>
      <xdr:rowOff>114300</xdr:rowOff>
    </xdr:to>
    <xdr:sp macro="" textlink="">
      <xdr:nvSpPr>
        <xdr:cNvPr id="1632" name="Arrow: Down 1631">
          <a:extLst>
            <a:ext uri="{FF2B5EF4-FFF2-40B4-BE49-F238E27FC236}">
              <a16:creationId xmlns:a16="http://schemas.microsoft.com/office/drawing/2014/main" id="{0602E895-52CB-4B1B-BD71-6D963C686C8A}"/>
            </a:ext>
          </a:extLst>
        </xdr:cNvPr>
        <xdr:cNvSpPr/>
      </xdr:nvSpPr>
      <xdr:spPr>
        <a:xfrm>
          <a:off x="161391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3" name="Arrow: Down 1632">
          <a:extLst>
            <a:ext uri="{FF2B5EF4-FFF2-40B4-BE49-F238E27FC236}">
              <a16:creationId xmlns:a16="http://schemas.microsoft.com/office/drawing/2014/main" id="{3639EDFD-3CA5-45F3-A23D-70E46F4A4669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4" name="Arrow: Down 1633">
          <a:extLst>
            <a:ext uri="{FF2B5EF4-FFF2-40B4-BE49-F238E27FC236}">
              <a16:creationId xmlns:a16="http://schemas.microsoft.com/office/drawing/2014/main" id="{4346E9DF-5556-4E92-9FE4-7E44C98FA192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214</xdr:row>
      <xdr:rowOff>0</xdr:rowOff>
    </xdr:from>
    <xdr:to>
      <xdr:col>71</xdr:col>
      <xdr:colOff>83820</xdr:colOff>
      <xdr:row>214</xdr:row>
      <xdr:rowOff>114300</xdr:rowOff>
    </xdr:to>
    <xdr:sp macro="" textlink="">
      <xdr:nvSpPr>
        <xdr:cNvPr id="1635" name="Arrow: Down 1634">
          <a:extLst>
            <a:ext uri="{FF2B5EF4-FFF2-40B4-BE49-F238E27FC236}">
              <a16:creationId xmlns:a16="http://schemas.microsoft.com/office/drawing/2014/main" id="{A514A329-C6BB-4E47-AC3D-26ECB6A40FE1}"/>
            </a:ext>
          </a:extLst>
        </xdr:cNvPr>
        <xdr:cNvSpPr/>
      </xdr:nvSpPr>
      <xdr:spPr>
        <a:xfrm>
          <a:off x="2244852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214</xdr:row>
      <xdr:rowOff>0</xdr:rowOff>
    </xdr:from>
    <xdr:to>
      <xdr:col>45</xdr:col>
      <xdr:colOff>83820</xdr:colOff>
      <xdr:row>214</xdr:row>
      <xdr:rowOff>114300</xdr:rowOff>
    </xdr:to>
    <xdr:sp macro="" textlink="">
      <xdr:nvSpPr>
        <xdr:cNvPr id="1636" name="Arrow: Down 1635">
          <a:extLst>
            <a:ext uri="{FF2B5EF4-FFF2-40B4-BE49-F238E27FC236}">
              <a16:creationId xmlns:a16="http://schemas.microsoft.com/office/drawing/2014/main" id="{6E228DE0-925E-4FB3-9C1C-CD4C7E49841B}"/>
            </a:ext>
          </a:extLst>
        </xdr:cNvPr>
        <xdr:cNvSpPr/>
      </xdr:nvSpPr>
      <xdr:spPr>
        <a:xfrm rot="10800000">
          <a:off x="1365504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214</xdr:row>
      <xdr:rowOff>0</xdr:rowOff>
    </xdr:from>
    <xdr:to>
      <xdr:col>5</xdr:col>
      <xdr:colOff>83820</xdr:colOff>
      <xdr:row>214</xdr:row>
      <xdr:rowOff>114300</xdr:rowOff>
    </xdr:to>
    <xdr:sp macro="" textlink="">
      <xdr:nvSpPr>
        <xdr:cNvPr id="1638" name="Arrow: Down 1637">
          <a:extLst>
            <a:ext uri="{FF2B5EF4-FFF2-40B4-BE49-F238E27FC236}">
              <a16:creationId xmlns:a16="http://schemas.microsoft.com/office/drawing/2014/main" id="{74448102-A034-407B-90AC-1CE9301F12B4}"/>
            </a:ext>
          </a:extLst>
        </xdr:cNvPr>
        <xdr:cNvSpPr/>
      </xdr:nvSpPr>
      <xdr:spPr>
        <a:xfrm>
          <a:off x="192786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214</xdr:row>
      <xdr:rowOff>0</xdr:rowOff>
    </xdr:from>
    <xdr:to>
      <xdr:col>11</xdr:col>
      <xdr:colOff>83820</xdr:colOff>
      <xdr:row>214</xdr:row>
      <xdr:rowOff>114300</xdr:rowOff>
    </xdr:to>
    <xdr:sp macro="" textlink="">
      <xdr:nvSpPr>
        <xdr:cNvPr id="1639" name="Arrow: Down 1638">
          <a:extLst>
            <a:ext uri="{FF2B5EF4-FFF2-40B4-BE49-F238E27FC236}">
              <a16:creationId xmlns:a16="http://schemas.microsoft.com/office/drawing/2014/main" id="{5FA8E31A-E0E1-4BD8-A8D0-AFB1ABB99C84}"/>
            </a:ext>
          </a:extLst>
        </xdr:cNvPr>
        <xdr:cNvSpPr/>
      </xdr:nvSpPr>
      <xdr:spPr>
        <a:xfrm>
          <a:off x="36195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214</xdr:row>
      <xdr:rowOff>0</xdr:rowOff>
    </xdr:from>
    <xdr:to>
      <xdr:col>24</xdr:col>
      <xdr:colOff>83820</xdr:colOff>
      <xdr:row>214</xdr:row>
      <xdr:rowOff>114300</xdr:rowOff>
    </xdr:to>
    <xdr:sp macro="" textlink="">
      <xdr:nvSpPr>
        <xdr:cNvPr id="1640" name="Arrow: Down 1639">
          <a:extLst>
            <a:ext uri="{FF2B5EF4-FFF2-40B4-BE49-F238E27FC236}">
              <a16:creationId xmlns:a16="http://schemas.microsoft.com/office/drawing/2014/main" id="{6A15328A-AD9B-4D2D-BBDC-81669C0DF96E}"/>
            </a:ext>
          </a:extLst>
        </xdr:cNvPr>
        <xdr:cNvSpPr/>
      </xdr:nvSpPr>
      <xdr:spPr>
        <a:xfrm>
          <a:off x="6362700" y="3905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214</xdr:row>
      <xdr:rowOff>0</xdr:rowOff>
    </xdr:from>
    <xdr:to>
      <xdr:col>39</xdr:col>
      <xdr:colOff>83820</xdr:colOff>
      <xdr:row>214</xdr:row>
      <xdr:rowOff>114300</xdr:rowOff>
    </xdr:to>
    <xdr:sp macro="" textlink="">
      <xdr:nvSpPr>
        <xdr:cNvPr id="1642" name="Arrow: Down 1641">
          <a:extLst>
            <a:ext uri="{FF2B5EF4-FFF2-40B4-BE49-F238E27FC236}">
              <a16:creationId xmlns:a16="http://schemas.microsoft.com/office/drawing/2014/main" id="{D461EF47-2315-45EB-ADF6-F04F3F82EFB2}"/>
            </a:ext>
          </a:extLst>
        </xdr:cNvPr>
        <xdr:cNvSpPr/>
      </xdr:nvSpPr>
      <xdr:spPr>
        <a:xfrm rot="10800000">
          <a:off x="118491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214</xdr:row>
      <xdr:rowOff>0</xdr:rowOff>
    </xdr:from>
    <xdr:to>
      <xdr:col>60</xdr:col>
      <xdr:colOff>83820</xdr:colOff>
      <xdr:row>214</xdr:row>
      <xdr:rowOff>114300</xdr:rowOff>
    </xdr:to>
    <xdr:sp macro="" textlink="">
      <xdr:nvSpPr>
        <xdr:cNvPr id="1644" name="Arrow: Down 1643">
          <a:extLst>
            <a:ext uri="{FF2B5EF4-FFF2-40B4-BE49-F238E27FC236}">
              <a16:creationId xmlns:a16="http://schemas.microsoft.com/office/drawing/2014/main" id="{C412BA3B-2114-4438-AF78-00E0CC36EFC8}"/>
            </a:ext>
          </a:extLst>
        </xdr:cNvPr>
        <xdr:cNvSpPr/>
      </xdr:nvSpPr>
      <xdr:spPr>
        <a:xfrm rot="10800000">
          <a:off x="18463260" y="3923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4" name="Arrow: Down 1653">
          <a:extLst>
            <a:ext uri="{FF2B5EF4-FFF2-40B4-BE49-F238E27FC236}">
              <a16:creationId xmlns:a16="http://schemas.microsoft.com/office/drawing/2014/main" id="{AA173FFA-E0E4-4E26-8C57-7D930595355D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5" name="Arrow: Down 1654">
          <a:extLst>
            <a:ext uri="{FF2B5EF4-FFF2-40B4-BE49-F238E27FC236}">
              <a16:creationId xmlns:a16="http://schemas.microsoft.com/office/drawing/2014/main" id="{1B721552-F62D-47AF-8A05-68297CA0A922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215</xdr:row>
      <xdr:rowOff>0</xdr:rowOff>
    </xdr:from>
    <xdr:to>
      <xdr:col>71</xdr:col>
      <xdr:colOff>83820</xdr:colOff>
      <xdr:row>215</xdr:row>
      <xdr:rowOff>114300</xdr:rowOff>
    </xdr:to>
    <xdr:sp macro="" textlink="">
      <xdr:nvSpPr>
        <xdr:cNvPr id="1656" name="Arrow: Down 1655">
          <a:extLst>
            <a:ext uri="{FF2B5EF4-FFF2-40B4-BE49-F238E27FC236}">
              <a16:creationId xmlns:a16="http://schemas.microsoft.com/office/drawing/2014/main" id="{12684ECE-631F-4D4F-9E8A-E7515C85FC4C}"/>
            </a:ext>
          </a:extLst>
        </xdr:cNvPr>
        <xdr:cNvSpPr/>
      </xdr:nvSpPr>
      <xdr:spPr>
        <a:xfrm>
          <a:off x="184556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215</xdr:row>
      <xdr:rowOff>0</xdr:rowOff>
    </xdr:from>
    <xdr:to>
      <xdr:col>45</xdr:col>
      <xdr:colOff>83820</xdr:colOff>
      <xdr:row>215</xdr:row>
      <xdr:rowOff>114300</xdr:rowOff>
    </xdr:to>
    <xdr:sp macro="" textlink="">
      <xdr:nvSpPr>
        <xdr:cNvPr id="1657" name="Arrow: Down 1656">
          <a:extLst>
            <a:ext uri="{FF2B5EF4-FFF2-40B4-BE49-F238E27FC236}">
              <a16:creationId xmlns:a16="http://schemas.microsoft.com/office/drawing/2014/main" id="{7E362C21-0D77-400E-BAA9-8FE64F416D6A}"/>
            </a:ext>
          </a:extLst>
        </xdr:cNvPr>
        <xdr:cNvSpPr/>
      </xdr:nvSpPr>
      <xdr:spPr>
        <a:xfrm rot="10800000">
          <a:off x="1133094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215</xdr:row>
      <xdr:rowOff>0</xdr:rowOff>
    </xdr:from>
    <xdr:to>
      <xdr:col>5</xdr:col>
      <xdr:colOff>83820</xdr:colOff>
      <xdr:row>215</xdr:row>
      <xdr:rowOff>114300</xdr:rowOff>
    </xdr:to>
    <xdr:sp macro="" textlink="">
      <xdr:nvSpPr>
        <xdr:cNvPr id="1658" name="Arrow: Down 1657">
          <a:extLst>
            <a:ext uri="{FF2B5EF4-FFF2-40B4-BE49-F238E27FC236}">
              <a16:creationId xmlns:a16="http://schemas.microsoft.com/office/drawing/2014/main" id="{F80B3F31-F174-4F55-9BED-87F63C9B7C82}"/>
            </a:ext>
          </a:extLst>
        </xdr:cNvPr>
        <xdr:cNvSpPr/>
      </xdr:nvSpPr>
      <xdr:spPr>
        <a:xfrm>
          <a:off x="192786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215</xdr:row>
      <xdr:rowOff>0</xdr:rowOff>
    </xdr:from>
    <xdr:to>
      <xdr:col>11</xdr:col>
      <xdr:colOff>83820</xdr:colOff>
      <xdr:row>215</xdr:row>
      <xdr:rowOff>114300</xdr:rowOff>
    </xdr:to>
    <xdr:sp macro="" textlink="">
      <xdr:nvSpPr>
        <xdr:cNvPr id="1659" name="Arrow: Down 1658">
          <a:extLst>
            <a:ext uri="{FF2B5EF4-FFF2-40B4-BE49-F238E27FC236}">
              <a16:creationId xmlns:a16="http://schemas.microsoft.com/office/drawing/2014/main" id="{2F667711-0C5F-49F2-BA68-B25AFF48381E}"/>
            </a:ext>
          </a:extLst>
        </xdr:cNvPr>
        <xdr:cNvSpPr/>
      </xdr:nvSpPr>
      <xdr:spPr>
        <a:xfrm>
          <a:off x="36195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215</xdr:row>
      <xdr:rowOff>0</xdr:rowOff>
    </xdr:from>
    <xdr:to>
      <xdr:col>24</xdr:col>
      <xdr:colOff>83820</xdr:colOff>
      <xdr:row>215</xdr:row>
      <xdr:rowOff>114300</xdr:rowOff>
    </xdr:to>
    <xdr:sp macro="" textlink="">
      <xdr:nvSpPr>
        <xdr:cNvPr id="1660" name="Arrow: Down 1659">
          <a:extLst>
            <a:ext uri="{FF2B5EF4-FFF2-40B4-BE49-F238E27FC236}">
              <a16:creationId xmlns:a16="http://schemas.microsoft.com/office/drawing/2014/main" id="{A9F3ABA9-9D49-4E78-94A4-501FD6E34672}"/>
            </a:ext>
          </a:extLst>
        </xdr:cNvPr>
        <xdr:cNvSpPr/>
      </xdr:nvSpPr>
      <xdr:spPr>
        <a:xfrm>
          <a:off x="63627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215</xdr:row>
      <xdr:rowOff>0</xdr:rowOff>
    </xdr:from>
    <xdr:to>
      <xdr:col>39</xdr:col>
      <xdr:colOff>83820</xdr:colOff>
      <xdr:row>215</xdr:row>
      <xdr:rowOff>114300</xdr:rowOff>
    </xdr:to>
    <xdr:sp macro="" textlink="">
      <xdr:nvSpPr>
        <xdr:cNvPr id="1661" name="Arrow: Down 1660">
          <a:extLst>
            <a:ext uri="{FF2B5EF4-FFF2-40B4-BE49-F238E27FC236}">
              <a16:creationId xmlns:a16="http://schemas.microsoft.com/office/drawing/2014/main" id="{2CDEFF6A-C1C5-4ED3-AACA-27C956EE4145}"/>
            </a:ext>
          </a:extLst>
        </xdr:cNvPr>
        <xdr:cNvSpPr/>
      </xdr:nvSpPr>
      <xdr:spPr>
        <a:xfrm rot="10800000">
          <a:off x="9525000" y="3923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215</xdr:row>
      <xdr:rowOff>0</xdr:rowOff>
    </xdr:from>
    <xdr:to>
      <xdr:col>60</xdr:col>
      <xdr:colOff>83820</xdr:colOff>
      <xdr:row>215</xdr:row>
      <xdr:rowOff>114300</xdr:rowOff>
    </xdr:to>
    <xdr:sp macro="" textlink="">
      <xdr:nvSpPr>
        <xdr:cNvPr id="1664" name="Arrow: Down 1663">
          <a:extLst>
            <a:ext uri="{FF2B5EF4-FFF2-40B4-BE49-F238E27FC236}">
              <a16:creationId xmlns:a16="http://schemas.microsoft.com/office/drawing/2014/main" id="{36740F99-6F3D-490B-A7BF-42831E080171}"/>
            </a:ext>
          </a:extLst>
        </xdr:cNvPr>
        <xdr:cNvSpPr/>
      </xdr:nvSpPr>
      <xdr:spPr>
        <a:xfrm>
          <a:off x="1676400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5" name="Arrow: Down 1594">
          <a:extLst>
            <a:ext uri="{FF2B5EF4-FFF2-40B4-BE49-F238E27FC236}">
              <a16:creationId xmlns:a16="http://schemas.microsoft.com/office/drawing/2014/main" id="{D1F695C8-108A-499A-9CE3-DCDEF8C27DF0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596" name="Arrow: Down 1595">
          <a:extLst>
            <a:ext uri="{FF2B5EF4-FFF2-40B4-BE49-F238E27FC236}">
              <a16:creationId xmlns:a16="http://schemas.microsoft.com/office/drawing/2014/main" id="{CAB9D78C-D6E8-4AF2-A3BA-F215676E555D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216</xdr:row>
      <xdr:rowOff>0</xdr:rowOff>
    </xdr:from>
    <xdr:to>
      <xdr:col>71</xdr:col>
      <xdr:colOff>83820</xdr:colOff>
      <xdr:row>216</xdr:row>
      <xdr:rowOff>114300</xdr:rowOff>
    </xdr:to>
    <xdr:sp macro="" textlink="">
      <xdr:nvSpPr>
        <xdr:cNvPr id="1597" name="Arrow: Down 1596">
          <a:extLst>
            <a:ext uri="{FF2B5EF4-FFF2-40B4-BE49-F238E27FC236}">
              <a16:creationId xmlns:a16="http://schemas.microsoft.com/office/drawing/2014/main" id="{1BFF3C02-0FA4-4394-A258-E4990E97BCD6}"/>
            </a:ext>
          </a:extLst>
        </xdr:cNvPr>
        <xdr:cNvSpPr/>
      </xdr:nvSpPr>
      <xdr:spPr>
        <a:xfrm>
          <a:off x="1908048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216</xdr:row>
      <xdr:rowOff>0</xdr:rowOff>
    </xdr:from>
    <xdr:to>
      <xdr:col>45</xdr:col>
      <xdr:colOff>83820</xdr:colOff>
      <xdr:row>216</xdr:row>
      <xdr:rowOff>114300</xdr:rowOff>
    </xdr:to>
    <xdr:sp macro="" textlink="">
      <xdr:nvSpPr>
        <xdr:cNvPr id="1607" name="Arrow: Down 1606">
          <a:extLst>
            <a:ext uri="{FF2B5EF4-FFF2-40B4-BE49-F238E27FC236}">
              <a16:creationId xmlns:a16="http://schemas.microsoft.com/office/drawing/2014/main" id="{EB4A6625-0408-4CD3-B922-716A26DA01DE}"/>
            </a:ext>
          </a:extLst>
        </xdr:cNvPr>
        <xdr:cNvSpPr/>
      </xdr:nvSpPr>
      <xdr:spPr>
        <a:xfrm rot="10800000">
          <a:off x="11445240" y="3941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216</xdr:row>
      <xdr:rowOff>0</xdr:rowOff>
    </xdr:from>
    <xdr:to>
      <xdr:col>5</xdr:col>
      <xdr:colOff>83820</xdr:colOff>
      <xdr:row>216</xdr:row>
      <xdr:rowOff>114300</xdr:rowOff>
    </xdr:to>
    <xdr:sp macro="" textlink="">
      <xdr:nvSpPr>
        <xdr:cNvPr id="1614" name="Arrow: Down 1613">
          <a:extLst>
            <a:ext uri="{FF2B5EF4-FFF2-40B4-BE49-F238E27FC236}">
              <a16:creationId xmlns:a16="http://schemas.microsoft.com/office/drawing/2014/main" id="{4E7B9F0D-66CF-4895-9FC9-ACBE05D2EA08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216</xdr:row>
      <xdr:rowOff>0</xdr:rowOff>
    </xdr:from>
    <xdr:to>
      <xdr:col>11</xdr:col>
      <xdr:colOff>83820</xdr:colOff>
      <xdr:row>216</xdr:row>
      <xdr:rowOff>114300</xdr:rowOff>
    </xdr:to>
    <xdr:sp macro="" textlink="">
      <xdr:nvSpPr>
        <xdr:cNvPr id="1615" name="Arrow: Down 1614">
          <a:extLst>
            <a:ext uri="{FF2B5EF4-FFF2-40B4-BE49-F238E27FC236}">
              <a16:creationId xmlns:a16="http://schemas.microsoft.com/office/drawing/2014/main" id="{A267EABA-0519-4AFA-A669-84DE59C32BFA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216</xdr:row>
      <xdr:rowOff>0</xdr:rowOff>
    </xdr:from>
    <xdr:to>
      <xdr:col>24</xdr:col>
      <xdr:colOff>83820</xdr:colOff>
      <xdr:row>216</xdr:row>
      <xdr:rowOff>114300</xdr:rowOff>
    </xdr:to>
    <xdr:sp macro="" textlink="">
      <xdr:nvSpPr>
        <xdr:cNvPr id="1616" name="Arrow: Down 1615">
          <a:extLst>
            <a:ext uri="{FF2B5EF4-FFF2-40B4-BE49-F238E27FC236}">
              <a16:creationId xmlns:a16="http://schemas.microsoft.com/office/drawing/2014/main" id="{30B348B8-B3BB-4B9D-A5D8-83A83D3A595B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216</xdr:row>
      <xdr:rowOff>0</xdr:rowOff>
    </xdr:from>
    <xdr:to>
      <xdr:col>60</xdr:col>
      <xdr:colOff>83820</xdr:colOff>
      <xdr:row>216</xdr:row>
      <xdr:rowOff>114300</xdr:rowOff>
    </xdr:to>
    <xdr:sp macro="" textlink="">
      <xdr:nvSpPr>
        <xdr:cNvPr id="1623" name="Arrow: Down 1622">
          <a:extLst>
            <a:ext uri="{FF2B5EF4-FFF2-40B4-BE49-F238E27FC236}">
              <a16:creationId xmlns:a16="http://schemas.microsoft.com/office/drawing/2014/main" id="{FBCE2B96-F5A9-4CF4-A7A7-2B599EC0F4AD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31" name="Arrow: Down 1630">
          <a:extLst>
            <a:ext uri="{FF2B5EF4-FFF2-40B4-BE49-F238E27FC236}">
              <a16:creationId xmlns:a16="http://schemas.microsoft.com/office/drawing/2014/main" id="{DD27F922-739E-4B32-ABAC-0B6D89FCCD8C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37" name="Arrow: Down 1636">
          <a:extLst>
            <a:ext uri="{FF2B5EF4-FFF2-40B4-BE49-F238E27FC236}">
              <a16:creationId xmlns:a16="http://schemas.microsoft.com/office/drawing/2014/main" id="{4FC9A48C-DA5F-44A4-A036-90A281CE2AE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217</xdr:row>
      <xdr:rowOff>0</xdr:rowOff>
    </xdr:from>
    <xdr:to>
      <xdr:col>71</xdr:col>
      <xdr:colOff>83820</xdr:colOff>
      <xdr:row>217</xdr:row>
      <xdr:rowOff>114300</xdr:rowOff>
    </xdr:to>
    <xdr:sp macro="" textlink="">
      <xdr:nvSpPr>
        <xdr:cNvPr id="1641" name="Arrow: Down 1640">
          <a:extLst>
            <a:ext uri="{FF2B5EF4-FFF2-40B4-BE49-F238E27FC236}">
              <a16:creationId xmlns:a16="http://schemas.microsoft.com/office/drawing/2014/main" id="{792DFE96-CEE9-4D3B-BBFC-9E3190E9AB70}"/>
            </a:ext>
          </a:extLst>
        </xdr:cNvPr>
        <xdr:cNvSpPr/>
      </xdr:nvSpPr>
      <xdr:spPr>
        <a:xfrm>
          <a:off x="1908048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217</xdr:row>
      <xdr:rowOff>0</xdr:rowOff>
    </xdr:from>
    <xdr:to>
      <xdr:col>45</xdr:col>
      <xdr:colOff>83820</xdr:colOff>
      <xdr:row>217</xdr:row>
      <xdr:rowOff>114300</xdr:rowOff>
    </xdr:to>
    <xdr:sp macro="" textlink="">
      <xdr:nvSpPr>
        <xdr:cNvPr id="1643" name="Arrow: Down 1642">
          <a:extLst>
            <a:ext uri="{FF2B5EF4-FFF2-40B4-BE49-F238E27FC236}">
              <a16:creationId xmlns:a16="http://schemas.microsoft.com/office/drawing/2014/main" id="{754F1555-B4A5-4576-BF37-59C3D3C66448}"/>
            </a:ext>
          </a:extLst>
        </xdr:cNvPr>
        <xdr:cNvSpPr/>
      </xdr:nvSpPr>
      <xdr:spPr>
        <a:xfrm rot="10800000">
          <a:off x="11445240" y="3960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217</xdr:row>
      <xdr:rowOff>0</xdr:rowOff>
    </xdr:from>
    <xdr:to>
      <xdr:col>5</xdr:col>
      <xdr:colOff>83820</xdr:colOff>
      <xdr:row>217</xdr:row>
      <xdr:rowOff>114300</xdr:rowOff>
    </xdr:to>
    <xdr:sp macro="" textlink="">
      <xdr:nvSpPr>
        <xdr:cNvPr id="1645" name="Arrow: Down 1644">
          <a:extLst>
            <a:ext uri="{FF2B5EF4-FFF2-40B4-BE49-F238E27FC236}">
              <a16:creationId xmlns:a16="http://schemas.microsoft.com/office/drawing/2014/main" id="{99240245-C35F-4B4A-9315-13051327050F}"/>
            </a:ext>
          </a:extLst>
        </xdr:cNvPr>
        <xdr:cNvSpPr/>
      </xdr:nvSpPr>
      <xdr:spPr>
        <a:xfrm rot="10800000">
          <a:off x="192786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217</xdr:row>
      <xdr:rowOff>0</xdr:rowOff>
    </xdr:from>
    <xdr:to>
      <xdr:col>11</xdr:col>
      <xdr:colOff>83820</xdr:colOff>
      <xdr:row>217</xdr:row>
      <xdr:rowOff>114300</xdr:rowOff>
    </xdr:to>
    <xdr:sp macro="" textlink="">
      <xdr:nvSpPr>
        <xdr:cNvPr id="1646" name="Arrow: Down 1645">
          <a:extLst>
            <a:ext uri="{FF2B5EF4-FFF2-40B4-BE49-F238E27FC236}">
              <a16:creationId xmlns:a16="http://schemas.microsoft.com/office/drawing/2014/main" id="{CC3D34DF-4CEF-4957-BA53-43126CA3652B}"/>
            </a:ext>
          </a:extLst>
        </xdr:cNvPr>
        <xdr:cNvSpPr/>
      </xdr:nvSpPr>
      <xdr:spPr>
        <a:xfrm rot="10800000">
          <a:off x="36195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217</xdr:row>
      <xdr:rowOff>0</xdr:rowOff>
    </xdr:from>
    <xdr:to>
      <xdr:col>24</xdr:col>
      <xdr:colOff>83820</xdr:colOff>
      <xdr:row>217</xdr:row>
      <xdr:rowOff>114300</xdr:rowOff>
    </xdr:to>
    <xdr:sp macro="" textlink="">
      <xdr:nvSpPr>
        <xdr:cNvPr id="1647" name="Arrow: Down 1646">
          <a:extLst>
            <a:ext uri="{FF2B5EF4-FFF2-40B4-BE49-F238E27FC236}">
              <a16:creationId xmlns:a16="http://schemas.microsoft.com/office/drawing/2014/main" id="{61187099-05F7-47B5-A7AB-9A03FE8095B6}"/>
            </a:ext>
          </a:extLst>
        </xdr:cNvPr>
        <xdr:cNvSpPr/>
      </xdr:nvSpPr>
      <xdr:spPr>
        <a:xfrm rot="10800000">
          <a:off x="6477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217</xdr:row>
      <xdr:rowOff>0</xdr:rowOff>
    </xdr:from>
    <xdr:to>
      <xdr:col>60</xdr:col>
      <xdr:colOff>83820</xdr:colOff>
      <xdr:row>217</xdr:row>
      <xdr:rowOff>114300</xdr:rowOff>
    </xdr:to>
    <xdr:sp macro="" textlink="">
      <xdr:nvSpPr>
        <xdr:cNvPr id="1649" name="Arrow: Down 1648">
          <a:extLst>
            <a:ext uri="{FF2B5EF4-FFF2-40B4-BE49-F238E27FC236}">
              <a16:creationId xmlns:a16="http://schemas.microsoft.com/office/drawing/2014/main" id="{C3DF03C8-21C5-40C4-A245-485B275A000F}"/>
            </a:ext>
          </a:extLst>
        </xdr:cNvPr>
        <xdr:cNvSpPr/>
      </xdr:nvSpPr>
      <xdr:spPr>
        <a:xfrm rot="10800000">
          <a:off x="167640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217</xdr:row>
      <xdr:rowOff>0</xdr:rowOff>
    </xdr:from>
    <xdr:to>
      <xdr:col>39</xdr:col>
      <xdr:colOff>83820</xdr:colOff>
      <xdr:row>217</xdr:row>
      <xdr:rowOff>114300</xdr:rowOff>
    </xdr:to>
    <xdr:sp macro="" textlink="">
      <xdr:nvSpPr>
        <xdr:cNvPr id="1650" name="Arrow: Down 1649">
          <a:extLst>
            <a:ext uri="{FF2B5EF4-FFF2-40B4-BE49-F238E27FC236}">
              <a16:creationId xmlns:a16="http://schemas.microsoft.com/office/drawing/2014/main" id="{76A368F5-F12A-410C-B0F6-80AABC3B3A60}"/>
            </a:ext>
          </a:extLst>
        </xdr:cNvPr>
        <xdr:cNvSpPr/>
      </xdr:nvSpPr>
      <xdr:spPr>
        <a:xfrm rot="10800000">
          <a:off x="963930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1" name="Arrow: Down 1650">
          <a:extLst>
            <a:ext uri="{FF2B5EF4-FFF2-40B4-BE49-F238E27FC236}">
              <a16:creationId xmlns:a16="http://schemas.microsoft.com/office/drawing/2014/main" id="{256D8F80-FD39-4334-85A9-073807F79160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52" name="Arrow: Down 1651">
          <a:extLst>
            <a:ext uri="{FF2B5EF4-FFF2-40B4-BE49-F238E27FC236}">
              <a16:creationId xmlns:a16="http://schemas.microsoft.com/office/drawing/2014/main" id="{B18B08E4-F5EC-43E3-915D-C525DEFD5E7B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218</xdr:row>
      <xdr:rowOff>0</xdr:rowOff>
    </xdr:from>
    <xdr:to>
      <xdr:col>71</xdr:col>
      <xdr:colOff>83820</xdr:colOff>
      <xdr:row>218</xdr:row>
      <xdr:rowOff>114300</xdr:rowOff>
    </xdr:to>
    <xdr:sp macro="" textlink="">
      <xdr:nvSpPr>
        <xdr:cNvPr id="1653" name="Arrow: Down 1652">
          <a:extLst>
            <a:ext uri="{FF2B5EF4-FFF2-40B4-BE49-F238E27FC236}">
              <a16:creationId xmlns:a16="http://schemas.microsoft.com/office/drawing/2014/main" id="{D5478CEC-CAC6-48AE-94E1-CA35CA1DE3E2}"/>
            </a:ext>
          </a:extLst>
        </xdr:cNvPr>
        <xdr:cNvSpPr/>
      </xdr:nvSpPr>
      <xdr:spPr>
        <a:xfrm>
          <a:off x="1908048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218</xdr:row>
      <xdr:rowOff>0</xdr:rowOff>
    </xdr:from>
    <xdr:to>
      <xdr:col>45</xdr:col>
      <xdr:colOff>83820</xdr:colOff>
      <xdr:row>218</xdr:row>
      <xdr:rowOff>114300</xdr:rowOff>
    </xdr:to>
    <xdr:sp macro="" textlink="">
      <xdr:nvSpPr>
        <xdr:cNvPr id="1662" name="Arrow: Down 1661">
          <a:extLst>
            <a:ext uri="{FF2B5EF4-FFF2-40B4-BE49-F238E27FC236}">
              <a16:creationId xmlns:a16="http://schemas.microsoft.com/office/drawing/2014/main" id="{28C950E8-0A2F-45F1-A2D9-A6DB46D8E0A1}"/>
            </a:ext>
          </a:extLst>
        </xdr:cNvPr>
        <xdr:cNvSpPr/>
      </xdr:nvSpPr>
      <xdr:spPr>
        <a:xfrm rot="10800000">
          <a:off x="11445240" y="39784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218</xdr:row>
      <xdr:rowOff>0</xdr:rowOff>
    </xdr:from>
    <xdr:to>
      <xdr:col>60</xdr:col>
      <xdr:colOff>83820</xdr:colOff>
      <xdr:row>218</xdr:row>
      <xdr:rowOff>114300</xdr:rowOff>
    </xdr:to>
    <xdr:sp macro="" textlink="">
      <xdr:nvSpPr>
        <xdr:cNvPr id="1667" name="Arrow: Down 1666">
          <a:extLst>
            <a:ext uri="{FF2B5EF4-FFF2-40B4-BE49-F238E27FC236}">
              <a16:creationId xmlns:a16="http://schemas.microsoft.com/office/drawing/2014/main" id="{9AD5F57E-D576-4D59-90A6-B4C5FFA31F4B}"/>
            </a:ext>
          </a:extLst>
        </xdr:cNvPr>
        <xdr:cNvSpPr/>
      </xdr:nvSpPr>
      <xdr:spPr>
        <a:xfrm rot="10800000">
          <a:off x="16764000" y="3978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218</xdr:row>
      <xdr:rowOff>0</xdr:rowOff>
    </xdr:from>
    <xdr:to>
      <xdr:col>11</xdr:col>
      <xdr:colOff>83820</xdr:colOff>
      <xdr:row>218</xdr:row>
      <xdr:rowOff>114300</xdr:rowOff>
    </xdr:to>
    <xdr:sp macro="" textlink="">
      <xdr:nvSpPr>
        <xdr:cNvPr id="1670" name="Arrow: Down 1669">
          <a:extLst>
            <a:ext uri="{FF2B5EF4-FFF2-40B4-BE49-F238E27FC236}">
              <a16:creationId xmlns:a16="http://schemas.microsoft.com/office/drawing/2014/main" id="{6A8EDFE6-3ECC-4B51-9222-7CEB8EF45ECF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218</xdr:row>
      <xdr:rowOff>0</xdr:rowOff>
    </xdr:from>
    <xdr:to>
      <xdr:col>5</xdr:col>
      <xdr:colOff>83820</xdr:colOff>
      <xdr:row>218</xdr:row>
      <xdr:rowOff>114300</xdr:rowOff>
    </xdr:to>
    <xdr:sp macro="" textlink="">
      <xdr:nvSpPr>
        <xdr:cNvPr id="1672" name="Arrow: Down 1671">
          <a:extLst>
            <a:ext uri="{FF2B5EF4-FFF2-40B4-BE49-F238E27FC236}">
              <a16:creationId xmlns:a16="http://schemas.microsoft.com/office/drawing/2014/main" id="{80E6EAED-7B61-4902-AC1E-7184C4208504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218</xdr:row>
      <xdr:rowOff>0</xdr:rowOff>
    </xdr:from>
    <xdr:to>
      <xdr:col>24</xdr:col>
      <xdr:colOff>83820</xdr:colOff>
      <xdr:row>218</xdr:row>
      <xdr:rowOff>114300</xdr:rowOff>
    </xdr:to>
    <xdr:sp macro="" textlink="">
      <xdr:nvSpPr>
        <xdr:cNvPr id="1610" name="Arrow: Down 1609">
          <a:extLst>
            <a:ext uri="{FF2B5EF4-FFF2-40B4-BE49-F238E27FC236}">
              <a16:creationId xmlns:a16="http://schemas.microsoft.com/office/drawing/2014/main" id="{F3456836-6B44-42F5-BF7F-C28F0E233A40}"/>
            </a:ext>
          </a:extLst>
        </xdr:cNvPr>
        <xdr:cNvSpPr/>
      </xdr:nvSpPr>
      <xdr:spPr>
        <a:xfrm>
          <a:off x="647700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5" name="Arrow: Down 1664">
          <a:extLst>
            <a:ext uri="{FF2B5EF4-FFF2-40B4-BE49-F238E27FC236}">
              <a16:creationId xmlns:a16="http://schemas.microsoft.com/office/drawing/2014/main" id="{E6159D73-7E58-40BE-85F8-77632D67CF1B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6" name="Arrow: Down 1665">
          <a:extLst>
            <a:ext uri="{FF2B5EF4-FFF2-40B4-BE49-F238E27FC236}">
              <a16:creationId xmlns:a16="http://schemas.microsoft.com/office/drawing/2014/main" id="{DEB299E9-7828-4C34-ACC0-76F9CCEE50A6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219</xdr:row>
      <xdr:rowOff>0</xdr:rowOff>
    </xdr:from>
    <xdr:to>
      <xdr:col>71</xdr:col>
      <xdr:colOff>83820</xdr:colOff>
      <xdr:row>219</xdr:row>
      <xdr:rowOff>114300</xdr:rowOff>
    </xdr:to>
    <xdr:sp macro="" textlink="">
      <xdr:nvSpPr>
        <xdr:cNvPr id="1668" name="Arrow: Down 1667">
          <a:extLst>
            <a:ext uri="{FF2B5EF4-FFF2-40B4-BE49-F238E27FC236}">
              <a16:creationId xmlns:a16="http://schemas.microsoft.com/office/drawing/2014/main" id="{6ADA1658-622C-4E97-8517-B974D3B12D83}"/>
            </a:ext>
          </a:extLst>
        </xdr:cNvPr>
        <xdr:cNvSpPr/>
      </xdr:nvSpPr>
      <xdr:spPr>
        <a:xfrm>
          <a:off x="1908048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219</xdr:row>
      <xdr:rowOff>0</xdr:rowOff>
    </xdr:from>
    <xdr:to>
      <xdr:col>45</xdr:col>
      <xdr:colOff>83820</xdr:colOff>
      <xdr:row>219</xdr:row>
      <xdr:rowOff>114300</xdr:rowOff>
    </xdr:to>
    <xdr:sp macro="" textlink="">
      <xdr:nvSpPr>
        <xdr:cNvPr id="1669" name="Arrow: Down 1668">
          <a:extLst>
            <a:ext uri="{FF2B5EF4-FFF2-40B4-BE49-F238E27FC236}">
              <a16:creationId xmlns:a16="http://schemas.microsoft.com/office/drawing/2014/main" id="{3AA0A2AF-5C75-47B4-AF67-82F354E562DC}"/>
            </a:ext>
          </a:extLst>
        </xdr:cNvPr>
        <xdr:cNvSpPr/>
      </xdr:nvSpPr>
      <xdr:spPr>
        <a:xfrm rot="10800000">
          <a:off x="11445240" y="39966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219</xdr:row>
      <xdr:rowOff>0</xdr:rowOff>
    </xdr:from>
    <xdr:to>
      <xdr:col>60</xdr:col>
      <xdr:colOff>83820</xdr:colOff>
      <xdr:row>219</xdr:row>
      <xdr:rowOff>114300</xdr:rowOff>
    </xdr:to>
    <xdr:sp macro="" textlink="">
      <xdr:nvSpPr>
        <xdr:cNvPr id="1671" name="Arrow: Down 1670">
          <a:extLst>
            <a:ext uri="{FF2B5EF4-FFF2-40B4-BE49-F238E27FC236}">
              <a16:creationId xmlns:a16="http://schemas.microsoft.com/office/drawing/2014/main" id="{BF22F34E-EA61-4C83-BB7A-888517B148B0}"/>
            </a:ext>
          </a:extLst>
        </xdr:cNvPr>
        <xdr:cNvSpPr/>
      </xdr:nvSpPr>
      <xdr:spPr>
        <a:xfrm rot="10800000">
          <a:off x="167640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219</xdr:row>
      <xdr:rowOff>0</xdr:rowOff>
    </xdr:from>
    <xdr:to>
      <xdr:col>11</xdr:col>
      <xdr:colOff>83820</xdr:colOff>
      <xdr:row>219</xdr:row>
      <xdr:rowOff>114300</xdr:rowOff>
    </xdr:to>
    <xdr:sp macro="" textlink="">
      <xdr:nvSpPr>
        <xdr:cNvPr id="1673" name="Arrow: Down 1672">
          <a:extLst>
            <a:ext uri="{FF2B5EF4-FFF2-40B4-BE49-F238E27FC236}">
              <a16:creationId xmlns:a16="http://schemas.microsoft.com/office/drawing/2014/main" id="{E2BAD884-54B4-4A59-B516-75884DB33BA1}"/>
            </a:ext>
          </a:extLst>
        </xdr:cNvPr>
        <xdr:cNvSpPr/>
      </xdr:nvSpPr>
      <xdr:spPr>
        <a:xfrm rot="10800000">
          <a:off x="36195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219</xdr:row>
      <xdr:rowOff>0</xdr:rowOff>
    </xdr:from>
    <xdr:to>
      <xdr:col>5</xdr:col>
      <xdr:colOff>83820</xdr:colOff>
      <xdr:row>219</xdr:row>
      <xdr:rowOff>114300</xdr:rowOff>
    </xdr:to>
    <xdr:sp macro="" textlink="">
      <xdr:nvSpPr>
        <xdr:cNvPr id="1674" name="Arrow: Down 1673">
          <a:extLst>
            <a:ext uri="{FF2B5EF4-FFF2-40B4-BE49-F238E27FC236}">
              <a16:creationId xmlns:a16="http://schemas.microsoft.com/office/drawing/2014/main" id="{B67ACA5D-494A-442B-88D1-EB22E0183151}"/>
            </a:ext>
          </a:extLst>
        </xdr:cNvPr>
        <xdr:cNvSpPr/>
      </xdr:nvSpPr>
      <xdr:spPr>
        <a:xfrm rot="10800000">
          <a:off x="192786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219</xdr:row>
      <xdr:rowOff>0</xdr:rowOff>
    </xdr:from>
    <xdr:to>
      <xdr:col>24</xdr:col>
      <xdr:colOff>83820</xdr:colOff>
      <xdr:row>219</xdr:row>
      <xdr:rowOff>114300</xdr:rowOff>
    </xdr:to>
    <xdr:sp macro="" textlink="">
      <xdr:nvSpPr>
        <xdr:cNvPr id="1679" name="Arrow: Down 1678">
          <a:extLst>
            <a:ext uri="{FF2B5EF4-FFF2-40B4-BE49-F238E27FC236}">
              <a16:creationId xmlns:a16="http://schemas.microsoft.com/office/drawing/2014/main" id="{0A667C71-A26F-40F1-A4B1-8C095DA0D1CA}"/>
            </a:ext>
          </a:extLst>
        </xdr:cNvPr>
        <xdr:cNvSpPr/>
      </xdr:nvSpPr>
      <xdr:spPr>
        <a:xfrm rot="10800000">
          <a:off x="6477000" y="40149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219</xdr:row>
      <xdr:rowOff>0</xdr:rowOff>
    </xdr:from>
    <xdr:to>
      <xdr:col>39</xdr:col>
      <xdr:colOff>83820</xdr:colOff>
      <xdr:row>219</xdr:row>
      <xdr:rowOff>114300</xdr:rowOff>
    </xdr:to>
    <xdr:sp macro="" textlink="">
      <xdr:nvSpPr>
        <xdr:cNvPr id="1682" name="Arrow: Down 1681">
          <a:extLst>
            <a:ext uri="{FF2B5EF4-FFF2-40B4-BE49-F238E27FC236}">
              <a16:creationId xmlns:a16="http://schemas.microsoft.com/office/drawing/2014/main" id="{06258B1D-3ED7-47BD-9D40-8DEF31BAC3B4}"/>
            </a:ext>
          </a:extLst>
        </xdr:cNvPr>
        <xdr:cNvSpPr/>
      </xdr:nvSpPr>
      <xdr:spPr>
        <a:xfrm rot="10800000">
          <a:off x="963930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4" name="Arrow: Down 1683">
          <a:extLst>
            <a:ext uri="{FF2B5EF4-FFF2-40B4-BE49-F238E27FC236}">
              <a16:creationId xmlns:a16="http://schemas.microsoft.com/office/drawing/2014/main" id="{E4E5A9A8-C5F7-4042-9DBE-69DD3FEB974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5" name="Arrow: Down 1684">
          <a:extLst>
            <a:ext uri="{FF2B5EF4-FFF2-40B4-BE49-F238E27FC236}">
              <a16:creationId xmlns:a16="http://schemas.microsoft.com/office/drawing/2014/main" id="{CABCD279-5F96-4108-8D06-10BAFCF32035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220</xdr:row>
      <xdr:rowOff>0</xdr:rowOff>
    </xdr:from>
    <xdr:to>
      <xdr:col>71</xdr:col>
      <xdr:colOff>83820</xdr:colOff>
      <xdr:row>220</xdr:row>
      <xdr:rowOff>114300</xdr:rowOff>
    </xdr:to>
    <xdr:sp macro="" textlink="">
      <xdr:nvSpPr>
        <xdr:cNvPr id="1686" name="Arrow: Down 1685">
          <a:extLst>
            <a:ext uri="{FF2B5EF4-FFF2-40B4-BE49-F238E27FC236}">
              <a16:creationId xmlns:a16="http://schemas.microsoft.com/office/drawing/2014/main" id="{E21C20FC-6732-423C-AC35-4D911BE533F8}"/>
            </a:ext>
          </a:extLst>
        </xdr:cNvPr>
        <xdr:cNvSpPr/>
      </xdr:nvSpPr>
      <xdr:spPr>
        <a:xfrm>
          <a:off x="1908048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220</xdr:row>
      <xdr:rowOff>0</xdr:rowOff>
    </xdr:from>
    <xdr:to>
      <xdr:col>45</xdr:col>
      <xdr:colOff>83820</xdr:colOff>
      <xdr:row>220</xdr:row>
      <xdr:rowOff>114300</xdr:rowOff>
    </xdr:to>
    <xdr:sp macro="" textlink="">
      <xdr:nvSpPr>
        <xdr:cNvPr id="1687" name="Arrow: Down 1686">
          <a:extLst>
            <a:ext uri="{FF2B5EF4-FFF2-40B4-BE49-F238E27FC236}">
              <a16:creationId xmlns:a16="http://schemas.microsoft.com/office/drawing/2014/main" id="{5D98F101-A299-44D1-8A1B-BE5F2D162DBE}"/>
            </a:ext>
          </a:extLst>
        </xdr:cNvPr>
        <xdr:cNvSpPr/>
      </xdr:nvSpPr>
      <xdr:spPr>
        <a:xfrm rot="10800000">
          <a:off x="11445240" y="40149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220</xdr:row>
      <xdr:rowOff>0</xdr:rowOff>
    </xdr:from>
    <xdr:to>
      <xdr:col>60</xdr:col>
      <xdr:colOff>83820</xdr:colOff>
      <xdr:row>220</xdr:row>
      <xdr:rowOff>114300</xdr:rowOff>
    </xdr:to>
    <xdr:sp macro="" textlink="">
      <xdr:nvSpPr>
        <xdr:cNvPr id="1693" name="Arrow: Down 1692">
          <a:extLst>
            <a:ext uri="{FF2B5EF4-FFF2-40B4-BE49-F238E27FC236}">
              <a16:creationId xmlns:a16="http://schemas.microsoft.com/office/drawing/2014/main" id="{54F24C70-775A-412C-A1ED-91C66D58F199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220</xdr:row>
      <xdr:rowOff>0</xdr:rowOff>
    </xdr:from>
    <xdr:to>
      <xdr:col>5</xdr:col>
      <xdr:colOff>83820</xdr:colOff>
      <xdr:row>220</xdr:row>
      <xdr:rowOff>114300</xdr:rowOff>
    </xdr:to>
    <xdr:sp macro="" textlink="">
      <xdr:nvSpPr>
        <xdr:cNvPr id="1695" name="Arrow: Down 1694">
          <a:extLst>
            <a:ext uri="{FF2B5EF4-FFF2-40B4-BE49-F238E27FC236}">
              <a16:creationId xmlns:a16="http://schemas.microsoft.com/office/drawing/2014/main" id="{47FD48A2-DCE8-446F-A45A-821A25338C2D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220</xdr:row>
      <xdr:rowOff>0</xdr:rowOff>
    </xdr:from>
    <xdr:to>
      <xdr:col>11</xdr:col>
      <xdr:colOff>83820</xdr:colOff>
      <xdr:row>220</xdr:row>
      <xdr:rowOff>114300</xdr:rowOff>
    </xdr:to>
    <xdr:sp macro="" textlink="">
      <xdr:nvSpPr>
        <xdr:cNvPr id="1696" name="Arrow: Down 1695">
          <a:extLst>
            <a:ext uri="{FF2B5EF4-FFF2-40B4-BE49-F238E27FC236}">
              <a16:creationId xmlns:a16="http://schemas.microsoft.com/office/drawing/2014/main" id="{9D3AA84E-8D06-4B80-B7B6-DB674CCD21E3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220</xdr:row>
      <xdr:rowOff>0</xdr:rowOff>
    </xdr:from>
    <xdr:to>
      <xdr:col>24</xdr:col>
      <xdr:colOff>83820</xdr:colOff>
      <xdr:row>220</xdr:row>
      <xdr:rowOff>114300</xdr:rowOff>
    </xdr:to>
    <xdr:sp macro="" textlink="">
      <xdr:nvSpPr>
        <xdr:cNvPr id="1698" name="Arrow: Down 1697">
          <a:extLst>
            <a:ext uri="{FF2B5EF4-FFF2-40B4-BE49-F238E27FC236}">
              <a16:creationId xmlns:a16="http://schemas.microsoft.com/office/drawing/2014/main" id="{99709934-F0A9-4711-9F5D-0DF69568695B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08" name="Arrow: Down 1707">
          <a:extLst>
            <a:ext uri="{FF2B5EF4-FFF2-40B4-BE49-F238E27FC236}">
              <a16:creationId xmlns:a16="http://schemas.microsoft.com/office/drawing/2014/main" id="{879B59C8-2E0F-4676-9CFF-EC0710BE6B6A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09" name="Arrow: Down 1708">
          <a:extLst>
            <a:ext uri="{FF2B5EF4-FFF2-40B4-BE49-F238E27FC236}">
              <a16:creationId xmlns:a16="http://schemas.microsoft.com/office/drawing/2014/main" id="{87F53449-127E-4657-A910-D2141D9BCCB0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221</xdr:row>
      <xdr:rowOff>0</xdr:rowOff>
    </xdr:from>
    <xdr:to>
      <xdr:col>71</xdr:col>
      <xdr:colOff>83820</xdr:colOff>
      <xdr:row>221</xdr:row>
      <xdr:rowOff>114300</xdr:rowOff>
    </xdr:to>
    <xdr:sp macro="" textlink="">
      <xdr:nvSpPr>
        <xdr:cNvPr id="1710" name="Arrow: Down 1709">
          <a:extLst>
            <a:ext uri="{FF2B5EF4-FFF2-40B4-BE49-F238E27FC236}">
              <a16:creationId xmlns:a16="http://schemas.microsoft.com/office/drawing/2014/main" id="{7A26E01E-1E57-492E-B9BD-085C1E153AAC}"/>
            </a:ext>
          </a:extLst>
        </xdr:cNvPr>
        <xdr:cNvSpPr/>
      </xdr:nvSpPr>
      <xdr:spPr>
        <a:xfrm>
          <a:off x="1908048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221</xdr:row>
      <xdr:rowOff>0</xdr:rowOff>
    </xdr:from>
    <xdr:to>
      <xdr:col>45</xdr:col>
      <xdr:colOff>83820</xdr:colOff>
      <xdr:row>221</xdr:row>
      <xdr:rowOff>114300</xdr:rowOff>
    </xdr:to>
    <xdr:sp macro="" textlink="">
      <xdr:nvSpPr>
        <xdr:cNvPr id="1711" name="Arrow: Down 1710">
          <a:extLst>
            <a:ext uri="{FF2B5EF4-FFF2-40B4-BE49-F238E27FC236}">
              <a16:creationId xmlns:a16="http://schemas.microsoft.com/office/drawing/2014/main" id="{80F918F0-F78B-41CC-AA5C-AE0D7CE10E51}"/>
            </a:ext>
          </a:extLst>
        </xdr:cNvPr>
        <xdr:cNvSpPr/>
      </xdr:nvSpPr>
      <xdr:spPr>
        <a:xfrm rot="10800000">
          <a:off x="1144524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221</xdr:row>
      <xdr:rowOff>0</xdr:rowOff>
    </xdr:from>
    <xdr:to>
      <xdr:col>60</xdr:col>
      <xdr:colOff>83820</xdr:colOff>
      <xdr:row>221</xdr:row>
      <xdr:rowOff>114300</xdr:rowOff>
    </xdr:to>
    <xdr:sp macro="" textlink="">
      <xdr:nvSpPr>
        <xdr:cNvPr id="1712" name="Arrow: Down 1711">
          <a:extLst>
            <a:ext uri="{FF2B5EF4-FFF2-40B4-BE49-F238E27FC236}">
              <a16:creationId xmlns:a16="http://schemas.microsoft.com/office/drawing/2014/main" id="{C2E211B5-7537-4AEE-9FBA-F0DF0E561564}"/>
            </a:ext>
          </a:extLst>
        </xdr:cNvPr>
        <xdr:cNvSpPr/>
      </xdr:nvSpPr>
      <xdr:spPr>
        <a:xfrm>
          <a:off x="16764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221</xdr:row>
      <xdr:rowOff>0</xdr:rowOff>
    </xdr:from>
    <xdr:to>
      <xdr:col>5</xdr:col>
      <xdr:colOff>83820</xdr:colOff>
      <xdr:row>221</xdr:row>
      <xdr:rowOff>114300</xdr:rowOff>
    </xdr:to>
    <xdr:sp macro="" textlink="">
      <xdr:nvSpPr>
        <xdr:cNvPr id="1714" name="Arrow: Down 1713">
          <a:extLst>
            <a:ext uri="{FF2B5EF4-FFF2-40B4-BE49-F238E27FC236}">
              <a16:creationId xmlns:a16="http://schemas.microsoft.com/office/drawing/2014/main" id="{E65E75AD-9CB0-4194-9316-02C0B35F8B51}"/>
            </a:ext>
          </a:extLst>
        </xdr:cNvPr>
        <xdr:cNvSpPr/>
      </xdr:nvSpPr>
      <xdr:spPr>
        <a:xfrm>
          <a:off x="192786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221</xdr:row>
      <xdr:rowOff>0</xdr:rowOff>
    </xdr:from>
    <xdr:to>
      <xdr:col>11</xdr:col>
      <xdr:colOff>83820</xdr:colOff>
      <xdr:row>221</xdr:row>
      <xdr:rowOff>114300</xdr:rowOff>
    </xdr:to>
    <xdr:sp macro="" textlink="">
      <xdr:nvSpPr>
        <xdr:cNvPr id="1715" name="Arrow: Down 1714">
          <a:extLst>
            <a:ext uri="{FF2B5EF4-FFF2-40B4-BE49-F238E27FC236}">
              <a16:creationId xmlns:a16="http://schemas.microsoft.com/office/drawing/2014/main" id="{B3F43D8B-F50D-4537-8AF3-A6BCA0B7B2EB}"/>
            </a:ext>
          </a:extLst>
        </xdr:cNvPr>
        <xdr:cNvSpPr/>
      </xdr:nvSpPr>
      <xdr:spPr>
        <a:xfrm>
          <a:off x="36195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221</xdr:row>
      <xdr:rowOff>0</xdr:rowOff>
    </xdr:from>
    <xdr:to>
      <xdr:col>24</xdr:col>
      <xdr:colOff>83820</xdr:colOff>
      <xdr:row>221</xdr:row>
      <xdr:rowOff>114300</xdr:rowOff>
    </xdr:to>
    <xdr:sp macro="" textlink="">
      <xdr:nvSpPr>
        <xdr:cNvPr id="1716" name="Arrow: Down 1715">
          <a:extLst>
            <a:ext uri="{FF2B5EF4-FFF2-40B4-BE49-F238E27FC236}">
              <a16:creationId xmlns:a16="http://schemas.microsoft.com/office/drawing/2014/main" id="{BD4EBB47-DA79-4F59-9F95-90EE601F07DA}"/>
            </a:ext>
          </a:extLst>
        </xdr:cNvPr>
        <xdr:cNvSpPr/>
      </xdr:nvSpPr>
      <xdr:spPr>
        <a:xfrm>
          <a:off x="6477000" y="4033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09" name="Arrow: Down 1608">
          <a:extLst>
            <a:ext uri="{FF2B5EF4-FFF2-40B4-BE49-F238E27FC236}">
              <a16:creationId xmlns:a16="http://schemas.microsoft.com/office/drawing/2014/main" id="{A362BD1C-BE7D-4287-8ACB-739D09EA2985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1" name="Arrow: Down 1610">
          <a:extLst>
            <a:ext uri="{FF2B5EF4-FFF2-40B4-BE49-F238E27FC236}">
              <a16:creationId xmlns:a16="http://schemas.microsoft.com/office/drawing/2014/main" id="{EA4E5EC7-D8CE-4176-871D-CDD6C450A4CB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222</xdr:row>
      <xdr:rowOff>0</xdr:rowOff>
    </xdr:from>
    <xdr:to>
      <xdr:col>71</xdr:col>
      <xdr:colOff>83820</xdr:colOff>
      <xdr:row>222</xdr:row>
      <xdr:rowOff>114300</xdr:rowOff>
    </xdr:to>
    <xdr:sp macro="" textlink="">
      <xdr:nvSpPr>
        <xdr:cNvPr id="1612" name="Arrow: Down 1611">
          <a:extLst>
            <a:ext uri="{FF2B5EF4-FFF2-40B4-BE49-F238E27FC236}">
              <a16:creationId xmlns:a16="http://schemas.microsoft.com/office/drawing/2014/main" id="{FE9E1EF7-1881-40D2-A4D6-8E15C8B5D618}"/>
            </a:ext>
          </a:extLst>
        </xdr:cNvPr>
        <xdr:cNvSpPr/>
      </xdr:nvSpPr>
      <xdr:spPr>
        <a:xfrm>
          <a:off x="2311146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222</xdr:row>
      <xdr:rowOff>0</xdr:rowOff>
    </xdr:from>
    <xdr:to>
      <xdr:col>45</xdr:col>
      <xdr:colOff>83820</xdr:colOff>
      <xdr:row>222</xdr:row>
      <xdr:rowOff>114300</xdr:rowOff>
    </xdr:to>
    <xdr:sp macro="" textlink="">
      <xdr:nvSpPr>
        <xdr:cNvPr id="1613" name="Arrow: Down 1612">
          <a:extLst>
            <a:ext uri="{FF2B5EF4-FFF2-40B4-BE49-F238E27FC236}">
              <a16:creationId xmlns:a16="http://schemas.microsoft.com/office/drawing/2014/main" id="{13609792-6169-42CA-A236-76BD0A3F7A30}"/>
            </a:ext>
          </a:extLst>
        </xdr:cNvPr>
        <xdr:cNvSpPr/>
      </xdr:nvSpPr>
      <xdr:spPr>
        <a:xfrm rot="10800000">
          <a:off x="1376934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222</xdr:row>
      <xdr:rowOff>0</xdr:rowOff>
    </xdr:from>
    <xdr:to>
      <xdr:col>60</xdr:col>
      <xdr:colOff>83820</xdr:colOff>
      <xdr:row>222</xdr:row>
      <xdr:rowOff>114300</xdr:rowOff>
    </xdr:to>
    <xdr:sp macro="" textlink="">
      <xdr:nvSpPr>
        <xdr:cNvPr id="1617" name="Arrow: Down 1616">
          <a:extLst>
            <a:ext uri="{FF2B5EF4-FFF2-40B4-BE49-F238E27FC236}">
              <a16:creationId xmlns:a16="http://schemas.microsoft.com/office/drawing/2014/main" id="{A2795E30-17CF-4954-86BE-376221E6B368}"/>
            </a:ext>
          </a:extLst>
        </xdr:cNvPr>
        <xdr:cNvSpPr/>
      </xdr:nvSpPr>
      <xdr:spPr>
        <a:xfrm>
          <a:off x="190881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222</xdr:row>
      <xdr:rowOff>0</xdr:rowOff>
    </xdr:from>
    <xdr:to>
      <xdr:col>24</xdr:col>
      <xdr:colOff>83820</xdr:colOff>
      <xdr:row>222</xdr:row>
      <xdr:rowOff>114300</xdr:rowOff>
    </xdr:to>
    <xdr:sp macro="" textlink="">
      <xdr:nvSpPr>
        <xdr:cNvPr id="1648" name="Arrow: Down 1647">
          <a:extLst>
            <a:ext uri="{FF2B5EF4-FFF2-40B4-BE49-F238E27FC236}">
              <a16:creationId xmlns:a16="http://schemas.microsoft.com/office/drawing/2014/main" id="{BF875A71-A1F8-4BD4-A47C-359F015F5C60}"/>
            </a:ext>
          </a:extLst>
        </xdr:cNvPr>
        <xdr:cNvSpPr/>
      </xdr:nvSpPr>
      <xdr:spPr>
        <a:xfrm>
          <a:off x="6477000" y="40515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222</xdr:row>
      <xdr:rowOff>0</xdr:rowOff>
    </xdr:from>
    <xdr:to>
      <xdr:col>5</xdr:col>
      <xdr:colOff>83820</xdr:colOff>
      <xdr:row>222</xdr:row>
      <xdr:rowOff>114300</xdr:rowOff>
    </xdr:to>
    <xdr:sp macro="" textlink="">
      <xdr:nvSpPr>
        <xdr:cNvPr id="1676" name="Arrow: Down 1675">
          <a:extLst>
            <a:ext uri="{FF2B5EF4-FFF2-40B4-BE49-F238E27FC236}">
              <a16:creationId xmlns:a16="http://schemas.microsoft.com/office/drawing/2014/main" id="{9EB2BD86-6334-4E19-9816-ABB7EE47FD2F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222</xdr:row>
      <xdr:rowOff>0</xdr:rowOff>
    </xdr:from>
    <xdr:to>
      <xdr:col>11</xdr:col>
      <xdr:colOff>83820</xdr:colOff>
      <xdr:row>222</xdr:row>
      <xdr:rowOff>114300</xdr:rowOff>
    </xdr:to>
    <xdr:sp macro="" textlink="">
      <xdr:nvSpPr>
        <xdr:cNvPr id="1677" name="Arrow: Down 1676">
          <a:extLst>
            <a:ext uri="{FF2B5EF4-FFF2-40B4-BE49-F238E27FC236}">
              <a16:creationId xmlns:a16="http://schemas.microsoft.com/office/drawing/2014/main" id="{4B5312C5-CFD2-4A6A-8E5F-3A8BBDFDC0FD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222</xdr:row>
      <xdr:rowOff>0</xdr:rowOff>
    </xdr:from>
    <xdr:to>
      <xdr:col>39</xdr:col>
      <xdr:colOff>83820</xdr:colOff>
      <xdr:row>222</xdr:row>
      <xdr:rowOff>114300</xdr:rowOff>
    </xdr:to>
    <xdr:sp macro="" textlink="">
      <xdr:nvSpPr>
        <xdr:cNvPr id="1680" name="Arrow: Down 1679">
          <a:extLst>
            <a:ext uri="{FF2B5EF4-FFF2-40B4-BE49-F238E27FC236}">
              <a16:creationId xmlns:a16="http://schemas.microsoft.com/office/drawing/2014/main" id="{DC27E7BD-6E1B-420B-9851-B4D8D2BCF05B}"/>
            </a:ext>
          </a:extLst>
        </xdr:cNvPr>
        <xdr:cNvSpPr/>
      </xdr:nvSpPr>
      <xdr:spPr>
        <a:xfrm rot="10800000">
          <a:off x="963930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1" name="Arrow: Down 1690">
          <a:extLst>
            <a:ext uri="{FF2B5EF4-FFF2-40B4-BE49-F238E27FC236}">
              <a16:creationId xmlns:a16="http://schemas.microsoft.com/office/drawing/2014/main" id="{BAB8F0C3-73EE-4CD9-B4B2-6F666043D72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223</xdr:row>
      <xdr:rowOff>0</xdr:rowOff>
    </xdr:from>
    <xdr:to>
      <xdr:col>45</xdr:col>
      <xdr:colOff>83820</xdr:colOff>
      <xdr:row>223</xdr:row>
      <xdr:rowOff>114300</xdr:rowOff>
    </xdr:to>
    <xdr:sp macro="" textlink="">
      <xdr:nvSpPr>
        <xdr:cNvPr id="1697" name="Arrow: Down 1696">
          <a:extLst>
            <a:ext uri="{FF2B5EF4-FFF2-40B4-BE49-F238E27FC236}">
              <a16:creationId xmlns:a16="http://schemas.microsoft.com/office/drawing/2014/main" id="{757706E4-02B5-45A3-9A01-58CE9918DCA8}"/>
            </a:ext>
          </a:extLst>
        </xdr:cNvPr>
        <xdr:cNvSpPr/>
      </xdr:nvSpPr>
      <xdr:spPr>
        <a:xfrm rot="10800000">
          <a:off x="11445240" y="40698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223</xdr:row>
      <xdr:rowOff>0</xdr:rowOff>
    </xdr:from>
    <xdr:to>
      <xdr:col>5</xdr:col>
      <xdr:colOff>83820</xdr:colOff>
      <xdr:row>223</xdr:row>
      <xdr:rowOff>114300</xdr:rowOff>
    </xdr:to>
    <xdr:sp macro="" textlink="">
      <xdr:nvSpPr>
        <xdr:cNvPr id="1701" name="Arrow: Down 1700">
          <a:extLst>
            <a:ext uri="{FF2B5EF4-FFF2-40B4-BE49-F238E27FC236}">
              <a16:creationId xmlns:a16="http://schemas.microsoft.com/office/drawing/2014/main" id="{1A63E624-4DDB-46B4-A17A-64FEED28BC1A}"/>
            </a:ext>
          </a:extLst>
        </xdr:cNvPr>
        <xdr:cNvSpPr/>
      </xdr:nvSpPr>
      <xdr:spPr>
        <a:xfrm rot="10800000">
          <a:off x="192786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223</xdr:row>
      <xdr:rowOff>0</xdr:rowOff>
    </xdr:from>
    <xdr:to>
      <xdr:col>11</xdr:col>
      <xdr:colOff>83820</xdr:colOff>
      <xdr:row>223</xdr:row>
      <xdr:rowOff>114300</xdr:rowOff>
    </xdr:to>
    <xdr:sp macro="" textlink="">
      <xdr:nvSpPr>
        <xdr:cNvPr id="1702" name="Arrow: Down 1701">
          <a:extLst>
            <a:ext uri="{FF2B5EF4-FFF2-40B4-BE49-F238E27FC236}">
              <a16:creationId xmlns:a16="http://schemas.microsoft.com/office/drawing/2014/main" id="{7DF6A6A8-99A6-4EE5-8C71-603B2B74329C}"/>
            </a:ext>
          </a:extLst>
        </xdr:cNvPr>
        <xdr:cNvSpPr/>
      </xdr:nvSpPr>
      <xdr:spPr>
        <a:xfrm rot="10800000">
          <a:off x="3619500" y="4069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223</xdr:row>
      <xdr:rowOff>0</xdr:rowOff>
    </xdr:from>
    <xdr:to>
      <xdr:col>24</xdr:col>
      <xdr:colOff>83820</xdr:colOff>
      <xdr:row>223</xdr:row>
      <xdr:rowOff>114300</xdr:rowOff>
    </xdr:to>
    <xdr:sp macro="" textlink="">
      <xdr:nvSpPr>
        <xdr:cNvPr id="1704" name="Arrow: Down 1703">
          <a:extLst>
            <a:ext uri="{FF2B5EF4-FFF2-40B4-BE49-F238E27FC236}">
              <a16:creationId xmlns:a16="http://schemas.microsoft.com/office/drawing/2014/main" id="{88E19B9E-E9FA-458B-AF15-028310BEB32D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223</xdr:row>
      <xdr:rowOff>0</xdr:rowOff>
    </xdr:from>
    <xdr:to>
      <xdr:col>60</xdr:col>
      <xdr:colOff>83820</xdr:colOff>
      <xdr:row>223</xdr:row>
      <xdr:rowOff>114300</xdr:rowOff>
    </xdr:to>
    <xdr:sp macro="" textlink="">
      <xdr:nvSpPr>
        <xdr:cNvPr id="1705" name="Arrow: Down 1704">
          <a:extLst>
            <a:ext uri="{FF2B5EF4-FFF2-40B4-BE49-F238E27FC236}">
              <a16:creationId xmlns:a16="http://schemas.microsoft.com/office/drawing/2014/main" id="{5B4AA0EE-C1E1-4C43-B681-A02E4DD25732}"/>
            </a:ext>
          </a:extLst>
        </xdr:cNvPr>
        <xdr:cNvSpPr/>
      </xdr:nvSpPr>
      <xdr:spPr>
        <a:xfrm rot="10800000">
          <a:off x="16764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223</xdr:row>
      <xdr:rowOff>0</xdr:rowOff>
    </xdr:from>
    <xdr:to>
      <xdr:col>71</xdr:col>
      <xdr:colOff>83820</xdr:colOff>
      <xdr:row>223</xdr:row>
      <xdr:rowOff>114300</xdr:rowOff>
    </xdr:to>
    <xdr:sp macro="" textlink="">
      <xdr:nvSpPr>
        <xdr:cNvPr id="1707" name="Arrow: Down 1706">
          <a:extLst>
            <a:ext uri="{FF2B5EF4-FFF2-40B4-BE49-F238E27FC236}">
              <a16:creationId xmlns:a16="http://schemas.microsoft.com/office/drawing/2014/main" id="{F2A0073B-0F75-47BD-9405-1CB42F8CA3C7}"/>
            </a:ext>
          </a:extLst>
        </xdr:cNvPr>
        <xdr:cNvSpPr/>
      </xdr:nvSpPr>
      <xdr:spPr>
        <a:xfrm rot="10800000">
          <a:off x="1911858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223</xdr:row>
      <xdr:rowOff>0</xdr:rowOff>
    </xdr:from>
    <xdr:to>
      <xdr:col>39</xdr:col>
      <xdr:colOff>83820</xdr:colOff>
      <xdr:row>223</xdr:row>
      <xdr:rowOff>114300</xdr:rowOff>
    </xdr:to>
    <xdr:sp macro="" textlink="">
      <xdr:nvSpPr>
        <xdr:cNvPr id="1717" name="Arrow: Down 1716">
          <a:extLst>
            <a:ext uri="{FF2B5EF4-FFF2-40B4-BE49-F238E27FC236}">
              <a16:creationId xmlns:a16="http://schemas.microsoft.com/office/drawing/2014/main" id="{8A94CAE5-561B-44BB-A4A4-E9E29583595D}"/>
            </a:ext>
          </a:extLst>
        </xdr:cNvPr>
        <xdr:cNvSpPr/>
      </xdr:nvSpPr>
      <xdr:spPr>
        <a:xfrm>
          <a:off x="96393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216</xdr:row>
      <xdr:rowOff>0</xdr:rowOff>
    </xdr:from>
    <xdr:to>
      <xdr:col>39</xdr:col>
      <xdr:colOff>83820</xdr:colOff>
      <xdr:row>216</xdr:row>
      <xdr:rowOff>114300</xdr:rowOff>
    </xdr:to>
    <xdr:sp macro="" textlink="">
      <xdr:nvSpPr>
        <xdr:cNvPr id="1718" name="Arrow: Down 1717">
          <a:extLst>
            <a:ext uri="{FF2B5EF4-FFF2-40B4-BE49-F238E27FC236}">
              <a16:creationId xmlns:a16="http://schemas.microsoft.com/office/drawing/2014/main" id="{DFEC5AE1-C643-4E54-A237-BC4831E77373}"/>
            </a:ext>
          </a:extLst>
        </xdr:cNvPr>
        <xdr:cNvSpPr/>
      </xdr:nvSpPr>
      <xdr:spPr>
        <a:xfrm>
          <a:off x="9639300" y="3960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221</xdr:row>
      <xdr:rowOff>0</xdr:rowOff>
    </xdr:from>
    <xdr:to>
      <xdr:col>39</xdr:col>
      <xdr:colOff>83820</xdr:colOff>
      <xdr:row>221</xdr:row>
      <xdr:rowOff>114300</xdr:rowOff>
    </xdr:to>
    <xdr:sp macro="" textlink="">
      <xdr:nvSpPr>
        <xdr:cNvPr id="1720" name="Arrow: Down 1719">
          <a:extLst>
            <a:ext uri="{FF2B5EF4-FFF2-40B4-BE49-F238E27FC236}">
              <a16:creationId xmlns:a16="http://schemas.microsoft.com/office/drawing/2014/main" id="{4F90140C-AFA6-471F-9944-AEDE56B55B76}"/>
            </a:ext>
          </a:extLst>
        </xdr:cNvPr>
        <xdr:cNvSpPr/>
      </xdr:nvSpPr>
      <xdr:spPr>
        <a:xfrm>
          <a:off x="9639300" y="40515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218</xdr:row>
      <xdr:rowOff>0</xdr:rowOff>
    </xdr:from>
    <xdr:to>
      <xdr:col>39</xdr:col>
      <xdr:colOff>83820</xdr:colOff>
      <xdr:row>218</xdr:row>
      <xdr:rowOff>114300</xdr:rowOff>
    </xdr:to>
    <xdr:sp macro="" textlink="">
      <xdr:nvSpPr>
        <xdr:cNvPr id="1721" name="Arrow: Down 1720">
          <a:extLst>
            <a:ext uri="{FF2B5EF4-FFF2-40B4-BE49-F238E27FC236}">
              <a16:creationId xmlns:a16="http://schemas.microsoft.com/office/drawing/2014/main" id="{E70C9FE6-5B68-42CD-AE5A-FC96C0A91B81}"/>
            </a:ext>
          </a:extLst>
        </xdr:cNvPr>
        <xdr:cNvSpPr/>
      </xdr:nvSpPr>
      <xdr:spPr>
        <a:xfrm>
          <a:off x="9639300" y="3996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220</xdr:row>
      <xdr:rowOff>0</xdr:rowOff>
    </xdr:from>
    <xdr:to>
      <xdr:col>39</xdr:col>
      <xdr:colOff>83820</xdr:colOff>
      <xdr:row>220</xdr:row>
      <xdr:rowOff>114300</xdr:rowOff>
    </xdr:to>
    <xdr:sp macro="" textlink="">
      <xdr:nvSpPr>
        <xdr:cNvPr id="1723" name="Arrow: Down 1722">
          <a:extLst>
            <a:ext uri="{FF2B5EF4-FFF2-40B4-BE49-F238E27FC236}">
              <a16:creationId xmlns:a16="http://schemas.microsoft.com/office/drawing/2014/main" id="{767924FE-7F41-4D17-97E7-C94BD9517BED}"/>
            </a:ext>
          </a:extLst>
        </xdr:cNvPr>
        <xdr:cNvSpPr/>
      </xdr:nvSpPr>
      <xdr:spPr>
        <a:xfrm>
          <a:off x="9639300" y="40332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2" name="Arrow: Down 1621">
          <a:extLst>
            <a:ext uri="{FF2B5EF4-FFF2-40B4-BE49-F238E27FC236}">
              <a16:creationId xmlns:a16="http://schemas.microsoft.com/office/drawing/2014/main" id="{CF39021A-EA6C-4251-951D-64B20DAA0E6E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224</xdr:row>
      <xdr:rowOff>0</xdr:rowOff>
    </xdr:from>
    <xdr:to>
      <xdr:col>45</xdr:col>
      <xdr:colOff>83820</xdr:colOff>
      <xdr:row>224</xdr:row>
      <xdr:rowOff>114300</xdr:rowOff>
    </xdr:to>
    <xdr:sp macro="" textlink="">
      <xdr:nvSpPr>
        <xdr:cNvPr id="1624" name="Arrow: Down 1623">
          <a:extLst>
            <a:ext uri="{FF2B5EF4-FFF2-40B4-BE49-F238E27FC236}">
              <a16:creationId xmlns:a16="http://schemas.microsoft.com/office/drawing/2014/main" id="{AF04DFF2-7C2F-4CC6-8BC8-3F8774A95BDC}"/>
            </a:ext>
          </a:extLst>
        </xdr:cNvPr>
        <xdr:cNvSpPr/>
      </xdr:nvSpPr>
      <xdr:spPr>
        <a:xfrm rot="10800000">
          <a:off x="11445240" y="40881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224</xdr:row>
      <xdr:rowOff>0</xdr:rowOff>
    </xdr:from>
    <xdr:to>
      <xdr:col>5</xdr:col>
      <xdr:colOff>83820</xdr:colOff>
      <xdr:row>224</xdr:row>
      <xdr:rowOff>114300</xdr:rowOff>
    </xdr:to>
    <xdr:sp macro="" textlink="">
      <xdr:nvSpPr>
        <xdr:cNvPr id="1626" name="Arrow: Down 1625">
          <a:extLst>
            <a:ext uri="{FF2B5EF4-FFF2-40B4-BE49-F238E27FC236}">
              <a16:creationId xmlns:a16="http://schemas.microsoft.com/office/drawing/2014/main" id="{371DDC9C-7686-4E75-BC62-AF8E73D97298}"/>
            </a:ext>
          </a:extLst>
        </xdr:cNvPr>
        <xdr:cNvSpPr/>
      </xdr:nvSpPr>
      <xdr:spPr>
        <a:xfrm rot="10800000">
          <a:off x="192786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224</xdr:row>
      <xdr:rowOff>0</xdr:rowOff>
    </xdr:from>
    <xdr:to>
      <xdr:col>11</xdr:col>
      <xdr:colOff>83820</xdr:colOff>
      <xdr:row>224</xdr:row>
      <xdr:rowOff>114300</xdr:rowOff>
    </xdr:to>
    <xdr:sp macro="" textlink="">
      <xdr:nvSpPr>
        <xdr:cNvPr id="1629" name="Arrow: Down 1628">
          <a:extLst>
            <a:ext uri="{FF2B5EF4-FFF2-40B4-BE49-F238E27FC236}">
              <a16:creationId xmlns:a16="http://schemas.microsoft.com/office/drawing/2014/main" id="{4765A3E9-462B-40E6-A488-39BD35881E1B}"/>
            </a:ext>
          </a:extLst>
        </xdr:cNvPr>
        <xdr:cNvSpPr/>
      </xdr:nvSpPr>
      <xdr:spPr>
        <a:xfrm rot="10800000">
          <a:off x="36195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224</xdr:row>
      <xdr:rowOff>0</xdr:rowOff>
    </xdr:from>
    <xdr:to>
      <xdr:col>24</xdr:col>
      <xdr:colOff>83820</xdr:colOff>
      <xdr:row>224</xdr:row>
      <xdr:rowOff>114300</xdr:rowOff>
    </xdr:to>
    <xdr:sp macro="" textlink="">
      <xdr:nvSpPr>
        <xdr:cNvPr id="1663" name="Arrow: Down 1662">
          <a:extLst>
            <a:ext uri="{FF2B5EF4-FFF2-40B4-BE49-F238E27FC236}">
              <a16:creationId xmlns:a16="http://schemas.microsoft.com/office/drawing/2014/main" id="{9947C4A0-BF53-410C-8FDC-71A3669FFE09}"/>
            </a:ext>
          </a:extLst>
        </xdr:cNvPr>
        <xdr:cNvSpPr/>
      </xdr:nvSpPr>
      <xdr:spPr>
        <a:xfrm rot="10800000">
          <a:off x="6477000" y="4088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224</xdr:row>
      <xdr:rowOff>0</xdr:rowOff>
    </xdr:from>
    <xdr:to>
      <xdr:col>71</xdr:col>
      <xdr:colOff>83820</xdr:colOff>
      <xdr:row>224</xdr:row>
      <xdr:rowOff>114300</xdr:rowOff>
    </xdr:to>
    <xdr:sp macro="" textlink="">
      <xdr:nvSpPr>
        <xdr:cNvPr id="1688" name="Arrow: Down 1687">
          <a:extLst>
            <a:ext uri="{FF2B5EF4-FFF2-40B4-BE49-F238E27FC236}">
              <a16:creationId xmlns:a16="http://schemas.microsoft.com/office/drawing/2014/main" id="{5A2F4682-6C06-45CB-9364-C530188841D2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224</xdr:row>
      <xdr:rowOff>0</xdr:rowOff>
    </xdr:from>
    <xdr:to>
      <xdr:col>60</xdr:col>
      <xdr:colOff>83820</xdr:colOff>
      <xdr:row>224</xdr:row>
      <xdr:rowOff>114300</xdr:rowOff>
    </xdr:to>
    <xdr:sp macro="" textlink="">
      <xdr:nvSpPr>
        <xdr:cNvPr id="1690" name="Arrow: Down 1689">
          <a:extLst>
            <a:ext uri="{FF2B5EF4-FFF2-40B4-BE49-F238E27FC236}">
              <a16:creationId xmlns:a16="http://schemas.microsoft.com/office/drawing/2014/main" id="{17ECCE19-9902-4C89-9E49-C14981C46474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224</xdr:row>
      <xdr:rowOff>0</xdr:rowOff>
    </xdr:from>
    <xdr:to>
      <xdr:col>39</xdr:col>
      <xdr:colOff>83820</xdr:colOff>
      <xdr:row>224</xdr:row>
      <xdr:rowOff>114300</xdr:rowOff>
    </xdr:to>
    <xdr:sp macro="" textlink="">
      <xdr:nvSpPr>
        <xdr:cNvPr id="1694" name="Arrow: Down 1693">
          <a:extLst>
            <a:ext uri="{FF2B5EF4-FFF2-40B4-BE49-F238E27FC236}">
              <a16:creationId xmlns:a16="http://schemas.microsoft.com/office/drawing/2014/main" id="{8C0B0112-DE3C-49D9-9EC2-68EB42542256}"/>
            </a:ext>
          </a:extLst>
        </xdr:cNvPr>
        <xdr:cNvSpPr/>
      </xdr:nvSpPr>
      <xdr:spPr>
        <a:xfrm rot="10800000">
          <a:off x="96393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3" name="Arrow: Down 1702">
          <a:extLst>
            <a:ext uri="{FF2B5EF4-FFF2-40B4-BE49-F238E27FC236}">
              <a16:creationId xmlns:a16="http://schemas.microsoft.com/office/drawing/2014/main" id="{95916736-9BCD-49D0-B281-6022064A517E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225</xdr:row>
      <xdr:rowOff>0</xdr:rowOff>
    </xdr:from>
    <xdr:to>
      <xdr:col>45</xdr:col>
      <xdr:colOff>83820</xdr:colOff>
      <xdr:row>225</xdr:row>
      <xdr:rowOff>114300</xdr:rowOff>
    </xdr:to>
    <xdr:sp macro="" textlink="">
      <xdr:nvSpPr>
        <xdr:cNvPr id="1706" name="Arrow: Down 1705">
          <a:extLst>
            <a:ext uri="{FF2B5EF4-FFF2-40B4-BE49-F238E27FC236}">
              <a16:creationId xmlns:a16="http://schemas.microsoft.com/office/drawing/2014/main" id="{10C61CB2-3047-4FCC-A42B-A01729231C4A}"/>
            </a:ext>
          </a:extLst>
        </xdr:cNvPr>
        <xdr:cNvSpPr/>
      </xdr:nvSpPr>
      <xdr:spPr>
        <a:xfrm rot="10800000">
          <a:off x="1144524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225</xdr:row>
      <xdr:rowOff>0</xdr:rowOff>
    </xdr:from>
    <xdr:to>
      <xdr:col>5</xdr:col>
      <xdr:colOff>83820</xdr:colOff>
      <xdr:row>225</xdr:row>
      <xdr:rowOff>114300</xdr:rowOff>
    </xdr:to>
    <xdr:sp macro="" textlink="">
      <xdr:nvSpPr>
        <xdr:cNvPr id="1713" name="Arrow: Down 1712">
          <a:extLst>
            <a:ext uri="{FF2B5EF4-FFF2-40B4-BE49-F238E27FC236}">
              <a16:creationId xmlns:a16="http://schemas.microsoft.com/office/drawing/2014/main" id="{7164DE47-A1D1-4F2B-90B9-0809F0EED75A}"/>
            </a:ext>
          </a:extLst>
        </xdr:cNvPr>
        <xdr:cNvSpPr/>
      </xdr:nvSpPr>
      <xdr:spPr>
        <a:xfrm rot="10800000">
          <a:off x="192786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225</xdr:row>
      <xdr:rowOff>0</xdr:rowOff>
    </xdr:from>
    <xdr:to>
      <xdr:col>11</xdr:col>
      <xdr:colOff>83820</xdr:colOff>
      <xdr:row>225</xdr:row>
      <xdr:rowOff>114300</xdr:rowOff>
    </xdr:to>
    <xdr:sp macro="" textlink="">
      <xdr:nvSpPr>
        <xdr:cNvPr id="1719" name="Arrow: Down 1718">
          <a:extLst>
            <a:ext uri="{FF2B5EF4-FFF2-40B4-BE49-F238E27FC236}">
              <a16:creationId xmlns:a16="http://schemas.microsoft.com/office/drawing/2014/main" id="{5EC5D610-A03B-489D-B033-BB45AF4E5048}"/>
            </a:ext>
          </a:extLst>
        </xdr:cNvPr>
        <xdr:cNvSpPr/>
      </xdr:nvSpPr>
      <xdr:spPr>
        <a:xfrm rot="10800000">
          <a:off x="3619500" y="4106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225</xdr:row>
      <xdr:rowOff>0</xdr:rowOff>
    </xdr:from>
    <xdr:to>
      <xdr:col>71</xdr:col>
      <xdr:colOff>83820</xdr:colOff>
      <xdr:row>225</xdr:row>
      <xdr:rowOff>114300</xdr:rowOff>
    </xdr:to>
    <xdr:sp macro="" textlink="">
      <xdr:nvSpPr>
        <xdr:cNvPr id="1724" name="Arrow: Down 1723">
          <a:extLst>
            <a:ext uri="{FF2B5EF4-FFF2-40B4-BE49-F238E27FC236}">
              <a16:creationId xmlns:a16="http://schemas.microsoft.com/office/drawing/2014/main" id="{09D61AA3-3F3C-4C0B-BCD8-E4DBB4CBAE2A}"/>
            </a:ext>
          </a:extLst>
        </xdr:cNvPr>
        <xdr:cNvSpPr/>
      </xdr:nvSpPr>
      <xdr:spPr>
        <a:xfrm>
          <a:off x="1911858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225</xdr:row>
      <xdr:rowOff>0</xdr:rowOff>
    </xdr:from>
    <xdr:to>
      <xdr:col>60</xdr:col>
      <xdr:colOff>83820</xdr:colOff>
      <xdr:row>225</xdr:row>
      <xdr:rowOff>114300</xdr:rowOff>
    </xdr:to>
    <xdr:sp macro="" textlink="">
      <xdr:nvSpPr>
        <xdr:cNvPr id="1725" name="Arrow: Down 1724">
          <a:extLst>
            <a:ext uri="{FF2B5EF4-FFF2-40B4-BE49-F238E27FC236}">
              <a16:creationId xmlns:a16="http://schemas.microsoft.com/office/drawing/2014/main" id="{AE7E2923-0411-4CB2-B48C-47BCD6B3771B}"/>
            </a:ext>
          </a:extLst>
        </xdr:cNvPr>
        <xdr:cNvSpPr/>
      </xdr:nvSpPr>
      <xdr:spPr>
        <a:xfrm>
          <a:off x="16764000" y="41064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225</xdr:row>
      <xdr:rowOff>0</xdr:rowOff>
    </xdr:from>
    <xdr:to>
      <xdr:col>39</xdr:col>
      <xdr:colOff>83820</xdr:colOff>
      <xdr:row>225</xdr:row>
      <xdr:rowOff>114300</xdr:rowOff>
    </xdr:to>
    <xdr:sp macro="" textlink="">
      <xdr:nvSpPr>
        <xdr:cNvPr id="1728" name="Arrow: Down 1727">
          <a:extLst>
            <a:ext uri="{FF2B5EF4-FFF2-40B4-BE49-F238E27FC236}">
              <a16:creationId xmlns:a16="http://schemas.microsoft.com/office/drawing/2014/main" id="{F3A5DADB-7601-4E21-A127-000CD32173B3}"/>
            </a:ext>
          </a:extLst>
        </xdr:cNvPr>
        <xdr:cNvSpPr/>
      </xdr:nvSpPr>
      <xdr:spPr>
        <a:xfrm>
          <a:off x="96393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226</xdr:row>
      <xdr:rowOff>0</xdr:rowOff>
    </xdr:from>
    <xdr:to>
      <xdr:col>5</xdr:col>
      <xdr:colOff>83820</xdr:colOff>
      <xdr:row>226</xdr:row>
      <xdr:rowOff>114300</xdr:rowOff>
    </xdr:to>
    <xdr:sp macro="" textlink="">
      <xdr:nvSpPr>
        <xdr:cNvPr id="1731" name="Arrow: Down 1730">
          <a:extLst>
            <a:ext uri="{FF2B5EF4-FFF2-40B4-BE49-F238E27FC236}">
              <a16:creationId xmlns:a16="http://schemas.microsoft.com/office/drawing/2014/main" id="{92206866-77FC-4466-821D-F8C49CD0952B}"/>
            </a:ext>
          </a:extLst>
        </xdr:cNvPr>
        <xdr:cNvSpPr/>
      </xdr:nvSpPr>
      <xdr:spPr>
        <a:xfrm rot="10800000">
          <a:off x="192786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226</xdr:row>
      <xdr:rowOff>0</xdr:rowOff>
    </xdr:from>
    <xdr:to>
      <xdr:col>11</xdr:col>
      <xdr:colOff>83820</xdr:colOff>
      <xdr:row>226</xdr:row>
      <xdr:rowOff>114300</xdr:rowOff>
    </xdr:to>
    <xdr:sp macro="" textlink="">
      <xdr:nvSpPr>
        <xdr:cNvPr id="1732" name="Arrow: Down 1731">
          <a:extLst>
            <a:ext uri="{FF2B5EF4-FFF2-40B4-BE49-F238E27FC236}">
              <a16:creationId xmlns:a16="http://schemas.microsoft.com/office/drawing/2014/main" id="{E511F272-4E6C-4BE1-8F31-F67A72DCA449}"/>
            </a:ext>
          </a:extLst>
        </xdr:cNvPr>
        <xdr:cNvSpPr/>
      </xdr:nvSpPr>
      <xdr:spPr>
        <a:xfrm rot="10800000">
          <a:off x="3619500" y="4124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226</xdr:row>
      <xdr:rowOff>0</xdr:rowOff>
    </xdr:from>
    <xdr:to>
      <xdr:col>60</xdr:col>
      <xdr:colOff>83820</xdr:colOff>
      <xdr:row>226</xdr:row>
      <xdr:rowOff>114300</xdr:rowOff>
    </xdr:to>
    <xdr:sp macro="" textlink="">
      <xdr:nvSpPr>
        <xdr:cNvPr id="1735" name="Arrow: Down 1734">
          <a:extLst>
            <a:ext uri="{FF2B5EF4-FFF2-40B4-BE49-F238E27FC236}">
              <a16:creationId xmlns:a16="http://schemas.microsoft.com/office/drawing/2014/main" id="{FCFA5F7B-0E61-4005-99DE-9F59F4BD9E24}"/>
            </a:ext>
          </a:extLst>
        </xdr:cNvPr>
        <xdr:cNvSpPr/>
      </xdr:nvSpPr>
      <xdr:spPr>
        <a:xfrm>
          <a:off x="16764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24</xdr:col>
      <xdr:colOff>83820</xdr:colOff>
      <xdr:row>225</xdr:row>
      <xdr:rowOff>114300</xdr:rowOff>
    </xdr:to>
    <xdr:sp macro="" textlink="">
      <xdr:nvSpPr>
        <xdr:cNvPr id="1737" name="Arrow: Down 1736">
          <a:extLst>
            <a:ext uri="{FF2B5EF4-FFF2-40B4-BE49-F238E27FC236}">
              <a16:creationId xmlns:a16="http://schemas.microsoft.com/office/drawing/2014/main" id="{20452302-CDF2-45C7-8753-D5BB426A8B2C}"/>
            </a:ext>
          </a:extLst>
        </xdr:cNvPr>
        <xdr:cNvSpPr/>
      </xdr:nvSpPr>
      <xdr:spPr>
        <a:xfrm>
          <a:off x="6477000" y="41247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226</xdr:row>
      <xdr:rowOff>0</xdr:rowOff>
    </xdr:from>
    <xdr:to>
      <xdr:col>24</xdr:col>
      <xdr:colOff>83820</xdr:colOff>
      <xdr:row>226</xdr:row>
      <xdr:rowOff>114300</xdr:rowOff>
    </xdr:to>
    <xdr:sp macro="" textlink="">
      <xdr:nvSpPr>
        <xdr:cNvPr id="1738" name="Arrow: Down 1737">
          <a:extLst>
            <a:ext uri="{FF2B5EF4-FFF2-40B4-BE49-F238E27FC236}">
              <a16:creationId xmlns:a16="http://schemas.microsoft.com/office/drawing/2014/main" id="{448CBB72-246B-4EF5-ABF8-30C98C836619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227</xdr:row>
      <xdr:rowOff>0</xdr:rowOff>
    </xdr:from>
    <xdr:to>
      <xdr:col>24</xdr:col>
      <xdr:colOff>83820</xdr:colOff>
      <xdr:row>227</xdr:row>
      <xdr:rowOff>114300</xdr:rowOff>
    </xdr:to>
    <xdr:sp macro="" textlink="">
      <xdr:nvSpPr>
        <xdr:cNvPr id="1754" name="Arrow: Down 1753">
          <a:extLst>
            <a:ext uri="{FF2B5EF4-FFF2-40B4-BE49-F238E27FC236}">
              <a16:creationId xmlns:a16="http://schemas.microsoft.com/office/drawing/2014/main" id="{454CD494-C2DE-40EC-BA01-E33B7801DABC}"/>
            </a:ext>
          </a:extLst>
        </xdr:cNvPr>
        <xdr:cNvSpPr/>
      </xdr:nvSpPr>
      <xdr:spPr>
        <a:xfrm>
          <a:off x="6477000" y="41429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227</xdr:row>
      <xdr:rowOff>0</xdr:rowOff>
    </xdr:from>
    <xdr:to>
      <xdr:col>60</xdr:col>
      <xdr:colOff>83820</xdr:colOff>
      <xdr:row>227</xdr:row>
      <xdr:rowOff>114300</xdr:rowOff>
    </xdr:to>
    <xdr:sp macro="" textlink="">
      <xdr:nvSpPr>
        <xdr:cNvPr id="1756" name="Arrow: Down 1755">
          <a:extLst>
            <a:ext uri="{FF2B5EF4-FFF2-40B4-BE49-F238E27FC236}">
              <a16:creationId xmlns:a16="http://schemas.microsoft.com/office/drawing/2014/main" id="{C8157AE4-A675-422E-A0E4-DF8B7E4A1385}"/>
            </a:ext>
          </a:extLst>
        </xdr:cNvPr>
        <xdr:cNvSpPr/>
      </xdr:nvSpPr>
      <xdr:spPr>
        <a:xfrm rot="10800000">
          <a:off x="1676400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227</xdr:row>
      <xdr:rowOff>0</xdr:rowOff>
    </xdr:from>
    <xdr:to>
      <xdr:col>71</xdr:col>
      <xdr:colOff>83820</xdr:colOff>
      <xdr:row>227</xdr:row>
      <xdr:rowOff>114300</xdr:rowOff>
    </xdr:to>
    <xdr:sp macro="" textlink="">
      <xdr:nvSpPr>
        <xdr:cNvPr id="1758" name="Arrow: Down 1757">
          <a:extLst>
            <a:ext uri="{FF2B5EF4-FFF2-40B4-BE49-F238E27FC236}">
              <a16:creationId xmlns:a16="http://schemas.microsoft.com/office/drawing/2014/main" id="{3A2ADDEF-440A-4B20-84C9-927E33D282A1}"/>
            </a:ext>
          </a:extLst>
        </xdr:cNvPr>
        <xdr:cNvSpPr/>
      </xdr:nvSpPr>
      <xdr:spPr>
        <a:xfrm rot="10800000">
          <a:off x="1911858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226</xdr:row>
      <xdr:rowOff>0</xdr:rowOff>
    </xdr:from>
    <xdr:to>
      <xdr:col>71</xdr:col>
      <xdr:colOff>83820</xdr:colOff>
      <xdr:row>226</xdr:row>
      <xdr:rowOff>114300</xdr:rowOff>
    </xdr:to>
    <xdr:sp macro="" textlink="">
      <xdr:nvSpPr>
        <xdr:cNvPr id="1759" name="Arrow: Down 1758">
          <a:extLst>
            <a:ext uri="{FF2B5EF4-FFF2-40B4-BE49-F238E27FC236}">
              <a16:creationId xmlns:a16="http://schemas.microsoft.com/office/drawing/2014/main" id="{2369A2B8-98A9-49A8-A88A-8F531F11A01F}"/>
            </a:ext>
          </a:extLst>
        </xdr:cNvPr>
        <xdr:cNvSpPr/>
      </xdr:nvSpPr>
      <xdr:spPr>
        <a:xfrm rot="10800000">
          <a:off x="1911858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227</xdr:row>
      <xdr:rowOff>0</xdr:rowOff>
    </xdr:from>
    <xdr:to>
      <xdr:col>5</xdr:col>
      <xdr:colOff>83820</xdr:colOff>
      <xdr:row>227</xdr:row>
      <xdr:rowOff>114300</xdr:rowOff>
    </xdr:to>
    <xdr:sp macro="" textlink="">
      <xdr:nvSpPr>
        <xdr:cNvPr id="1760" name="Arrow: Down 1759">
          <a:extLst>
            <a:ext uri="{FF2B5EF4-FFF2-40B4-BE49-F238E27FC236}">
              <a16:creationId xmlns:a16="http://schemas.microsoft.com/office/drawing/2014/main" id="{1EAC9574-9D79-44F8-A600-3717F5EDD3DC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227</xdr:row>
      <xdr:rowOff>0</xdr:rowOff>
    </xdr:from>
    <xdr:to>
      <xdr:col>11</xdr:col>
      <xdr:colOff>83820</xdr:colOff>
      <xdr:row>227</xdr:row>
      <xdr:rowOff>114300</xdr:rowOff>
    </xdr:to>
    <xdr:sp macro="" textlink="">
      <xdr:nvSpPr>
        <xdr:cNvPr id="1761" name="Arrow: Down 1760">
          <a:extLst>
            <a:ext uri="{FF2B5EF4-FFF2-40B4-BE49-F238E27FC236}">
              <a16:creationId xmlns:a16="http://schemas.microsoft.com/office/drawing/2014/main" id="{D40371BF-0F33-487F-A66C-348317F2164D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227</xdr:row>
      <xdr:rowOff>0</xdr:rowOff>
    </xdr:from>
    <xdr:to>
      <xdr:col>39</xdr:col>
      <xdr:colOff>83820</xdr:colOff>
      <xdr:row>227</xdr:row>
      <xdr:rowOff>114300</xdr:rowOff>
    </xdr:to>
    <xdr:sp macro="" textlink="">
      <xdr:nvSpPr>
        <xdr:cNvPr id="1763" name="Arrow: Down 1762">
          <a:extLst>
            <a:ext uri="{FF2B5EF4-FFF2-40B4-BE49-F238E27FC236}">
              <a16:creationId xmlns:a16="http://schemas.microsoft.com/office/drawing/2014/main" id="{F77A3161-959A-4E92-8ADF-003317B932B3}"/>
            </a:ext>
          </a:extLst>
        </xdr:cNvPr>
        <xdr:cNvSpPr/>
      </xdr:nvSpPr>
      <xdr:spPr>
        <a:xfrm rot="10800000">
          <a:off x="96393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228</xdr:row>
      <xdr:rowOff>0</xdr:rowOff>
    </xdr:from>
    <xdr:to>
      <xdr:col>24</xdr:col>
      <xdr:colOff>83820</xdr:colOff>
      <xdr:row>228</xdr:row>
      <xdr:rowOff>114300</xdr:rowOff>
    </xdr:to>
    <xdr:sp macro="" textlink="">
      <xdr:nvSpPr>
        <xdr:cNvPr id="1766" name="Arrow: Down 1765">
          <a:extLst>
            <a:ext uri="{FF2B5EF4-FFF2-40B4-BE49-F238E27FC236}">
              <a16:creationId xmlns:a16="http://schemas.microsoft.com/office/drawing/2014/main" id="{8FCEAB2B-8615-4D71-9916-D9185361E16B}"/>
            </a:ext>
          </a:extLst>
        </xdr:cNvPr>
        <xdr:cNvSpPr/>
      </xdr:nvSpPr>
      <xdr:spPr>
        <a:xfrm>
          <a:off x="64770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228</xdr:row>
      <xdr:rowOff>0</xdr:rowOff>
    </xdr:from>
    <xdr:to>
      <xdr:col>5</xdr:col>
      <xdr:colOff>83820</xdr:colOff>
      <xdr:row>228</xdr:row>
      <xdr:rowOff>114300</xdr:rowOff>
    </xdr:to>
    <xdr:sp macro="" textlink="">
      <xdr:nvSpPr>
        <xdr:cNvPr id="1769" name="Arrow: Down 1768">
          <a:extLst>
            <a:ext uri="{FF2B5EF4-FFF2-40B4-BE49-F238E27FC236}">
              <a16:creationId xmlns:a16="http://schemas.microsoft.com/office/drawing/2014/main" id="{8B23BD62-2794-4363-A353-E5A10B82EBE6}"/>
            </a:ext>
          </a:extLst>
        </xdr:cNvPr>
        <xdr:cNvSpPr/>
      </xdr:nvSpPr>
      <xdr:spPr>
        <a:xfrm>
          <a:off x="192786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228</xdr:row>
      <xdr:rowOff>0</xdr:rowOff>
    </xdr:from>
    <xdr:to>
      <xdr:col>11</xdr:col>
      <xdr:colOff>83820</xdr:colOff>
      <xdr:row>228</xdr:row>
      <xdr:rowOff>114300</xdr:rowOff>
    </xdr:to>
    <xdr:sp macro="" textlink="">
      <xdr:nvSpPr>
        <xdr:cNvPr id="1770" name="Arrow: Down 1769">
          <a:extLst>
            <a:ext uri="{FF2B5EF4-FFF2-40B4-BE49-F238E27FC236}">
              <a16:creationId xmlns:a16="http://schemas.microsoft.com/office/drawing/2014/main" id="{A890B02A-E939-43F4-A1D1-D110BFA92BE8}"/>
            </a:ext>
          </a:extLst>
        </xdr:cNvPr>
        <xdr:cNvSpPr/>
      </xdr:nvSpPr>
      <xdr:spPr>
        <a:xfrm>
          <a:off x="3619500" y="4161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228</xdr:row>
      <xdr:rowOff>0</xdr:rowOff>
    </xdr:from>
    <xdr:to>
      <xdr:col>60</xdr:col>
      <xdr:colOff>83820</xdr:colOff>
      <xdr:row>228</xdr:row>
      <xdr:rowOff>114300</xdr:rowOff>
    </xdr:to>
    <xdr:sp macro="" textlink="">
      <xdr:nvSpPr>
        <xdr:cNvPr id="1773" name="Arrow: Down 1772">
          <a:extLst>
            <a:ext uri="{FF2B5EF4-FFF2-40B4-BE49-F238E27FC236}">
              <a16:creationId xmlns:a16="http://schemas.microsoft.com/office/drawing/2014/main" id="{FB3449BF-3F8F-4897-B95C-365C86F2ECFE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228</xdr:row>
      <xdr:rowOff>0</xdr:rowOff>
    </xdr:from>
    <xdr:to>
      <xdr:col>71</xdr:col>
      <xdr:colOff>83820</xdr:colOff>
      <xdr:row>228</xdr:row>
      <xdr:rowOff>114300</xdr:rowOff>
    </xdr:to>
    <xdr:sp macro="" textlink="">
      <xdr:nvSpPr>
        <xdr:cNvPr id="1775" name="Arrow: Down 1774">
          <a:extLst>
            <a:ext uri="{FF2B5EF4-FFF2-40B4-BE49-F238E27FC236}">
              <a16:creationId xmlns:a16="http://schemas.microsoft.com/office/drawing/2014/main" id="{6C543EB3-D082-4382-BC4D-EA1B498FA0D1}"/>
            </a:ext>
          </a:extLst>
        </xdr:cNvPr>
        <xdr:cNvSpPr/>
      </xdr:nvSpPr>
      <xdr:spPr>
        <a:xfrm>
          <a:off x="1911858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226</xdr:row>
      <xdr:rowOff>0</xdr:rowOff>
    </xdr:from>
    <xdr:to>
      <xdr:col>39</xdr:col>
      <xdr:colOff>83820</xdr:colOff>
      <xdr:row>226</xdr:row>
      <xdr:rowOff>114300</xdr:rowOff>
    </xdr:to>
    <xdr:sp macro="" textlink="">
      <xdr:nvSpPr>
        <xdr:cNvPr id="1779" name="Arrow: Down 1778">
          <a:extLst>
            <a:ext uri="{FF2B5EF4-FFF2-40B4-BE49-F238E27FC236}">
              <a16:creationId xmlns:a16="http://schemas.microsoft.com/office/drawing/2014/main" id="{FBFB07FD-A522-4507-AFB3-C372E53A2FB0}"/>
            </a:ext>
          </a:extLst>
        </xdr:cNvPr>
        <xdr:cNvSpPr/>
      </xdr:nvSpPr>
      <xdr:spPr>
        <a:xfrm>
          <a:off x="963930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228</xdr:row>
      <xdr:rowOff>0</xdr:rowOff>
    </xdr:from>
    <xdr:to>
      <xdr:col>39</xdr:col>
      <xdr:colOff>83820</xdr:colOff>
      <xdr:row>228</xdr:row>
      <xdr:rowOff>114300</xdr:rowOff>
    </xdr:to>
    <xdr:sp macro="" textlink="">
      <xdr:nvSpPr>
        <xdr:cNvPr id="1780" name="Arrow: Down 1779">
          <a:extLst>
            <a:ext uri="{FF2B5EF4-FFF2-40B4-BE49-F238E27FC236}">
              <a16:creationId xmlns:a16="http://schemas.microsoft.com/office/drawing/2014/main" id="{129AD411-0416-4747-87DE-7AB5761CC824}"/>
            </a:ext>
          </a:extLst>
        </xdr:cNvPr>
        <xdr:cNvSpPr/>
      </xdr:nvSpPr>
      <xdr:spPr>
        <a:xfrm>
          <a:off x="963930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226</xdr:row>
      <xdr:rowOff>0</xdr:rowOff>
    </xdr:from>
    <xdr:to>
      <xdr:col>45</xdr:col>
      <xdr:colOff>83820</xdr:colOff>
      <xdr:row>226</xdr:row>
      <xdr:rowOff>114300</xdr:rowOff>
    </xdr:to>
    <xdr:sp macro="" textlink="">
      <xdr:nvSpPr>
        <xdr:cNvPr id="1781" name="Arrow: Down 1780">
          <a:extLst>
            <a:ext uri="{FF2B5EF4-FFF2-40B4-BE49-F238E27FC236}">
              <a16:creationId xmlns:a16="http://schemas.microsoft.com/office/drawing/2014/main" id="{69B4E806-AE22-4D1D-9D32-67817A256021}"/>
            </a:ext>
          </a:extLst>
        </xdr:cNvPr>
        <xdr:cNvSpPr/>
      </xdr:nvSpPr>
      <xdr:spPr>
        <a:xfrm>
          <a:off x="11445240" y="41429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227</xdr:row>
      <xdr:rowOff>0</xdr:rowOff>
    </xdr:from>
    <xdr:to>
      <xdr:col>45</xdr:col>
      <xdr:colOff>83820</xdr:colOff>
      <xdr:row>227</xdr:row>
      <xdr:rowOff>114300</xdr:rowOff>
    </xdr:to>
    <xdr:sp macro="" textlink="">
      <xdr:nvSpPr>
        <xdr:cNvPr id="1783" name="Arrow: Down 1782">
          <a:extLst>
            <a:ext uri="{FF2B5EF4-FFF2-40B4-BE49-F238E27FC236}">
              <a16:creationId xmlns:a16="http://schemas.microsoft.com/office/drawing/2014/main" id="{679F80B3-FE7F-4932-AE36-07C39994C29C}"/>
            </a:ext>
          </a:extLst>
        </xdr:cNvPr>
        <xdr:cNvSpPr/>
      </xdr:nvSpPr>
      <xdr:spPr>
        <a:xfrm>
          <a:off x="11445240" y="41612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228</xdr:row>
      <xdr:rowOff>0</xdr:rowOff>
    </xdr:from>
    <xdr:to>
      <xdr:col>45</xdr:col>
      <xdr:colOff>83820</xdr:colOff>
      <xdr:row>228</xdr:row>
      <xdr:rowOff>114300</xdr:rowOff>
    </xdr:to>
    <xdr:sp macro="" textlink="">
      <xdr:nvSpPr>
        <xdr:cNvPr id="1785" name="Arrow: Down 1784">
          <a:extLst>
            <a:ext uri="{FF2B5EF4-FFF2-40B4-BE49-F238E27FC236}">
              <a16:creationId xmlns:a16="http://schemas.microsoft.com/office/drawing/2014/main" id="{644186F7-05BE-4B66-8065-897B33D29502}"/>
            </a:ext>
          </a:extLst>
        </xdr:cNvPr>
        <xdr:cNvSpPr/>
      </xdr:nvSpPr>
      <xdr:spPr>
        <a:xfrm>
          <a:off x="11445240" y="41795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229</xdr:row>
      <xdr:rowOff>0</xdr:rowOff>
    </xdr:from>
    <xdr:to>
      <xdr:col>60</xdr:col>
      <xdr:colOff>83820</xdr:colOff>
      <xdr:row>229</xdr:row>
      <xdr:rowOff>114300</xdr:rowOff>
    </xdr:to>
    <xdr:sp macro="" textlink="">
      <xdr:nvSpPr>
        <xdr:cNvPr id="1683" name="Arrow: Down 1682">
          <a:extLst>
            <a:ext uri="{FF2B5EF4-FFF2-40B4-BE49-F238E27FC236}">
              <a16:creationId xmlns:a16="http://schemas.microsoft.com/office/drawing/2014/main" id="{F15B3C6E-2E98-4492-A4E1-4261FD8C1DE5}"/>
            </a:ext>
          </a:extLst>
        </xdr:cNvPr>
        <xdr:cNvSpPr/>
      </xdr:nvSpPr>
      <xdr:spPr>
        <a:xfrm>
          <a:off x="1676400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229</xdr:row>
      <xdr:rowOff>0</xdr:rowOff>
    </xdr:from>
    <xdr:to>
      <xdr:col>71</xdr:col>
      <xdr:colOff>83820</xdr:colOff>
      <xdr:row>229</xdr:row>
      <xdr:rowOff>114300</xdr:rowOff>
    </xdr:to>
    <xdr:sp macro="" textlink="">
      <xdr:nvSpPr>
        <xdr:cNvPr id="1689" name="Arrow: Down 1688">
          <a:extLst>
            <a:ext uri="{FF2B5EF4-FFF2-40B4-BE49-F238E27FC236}">
              <a16:creationId xmlns:a16="http://schemas.microsoft.com/office/drawing/2014/main" id="{41F9094E-C1D0-4141-94BE-EB7B56E6780E}"/>
            </a:ext>
          </a:extLst>
        </xdr:cNvPr>
        <xdr:cNvSpPr/>
      </xdr:nvSpPr>
      <xdr:spPr>
        <a:xfrm>
          <a:off x="20787360" y="41795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229</xdr:row>
      <xdr:rowOff>0</xdr:rowOff>
    </xdr:from>
    <xdr:to>
      <xdr:col>45</xdr:col>
      <xdr:colOff>83820</xdr:colOff>
      <xdr:row>229</xdr:row>
      <xdr:rowOff>114300</xdr:rowOff>
    </xdr:to>
    <xdr:sp macro="" textlink="">
      <xdr:nvSpPr>
        <xdr:cNvPr id="1700" name="Arrow: Down 1699">
          <a:extLst>
            <a:ext uri="{FF2B5EF4-FFF2-40B4-BE49-F238E27FC236}">
              <a16:creationId xmlns:a16="http://schemas.microsoft.com/office/drawing/2014/main" id="{AF56E1EB-155C-403D-904D-F5E54ECFEB32}"/>
            </a:ext>
          </a:extLst>
        </xdr:cNvPr>
        <xdr:cNvSpPr/>
      </xdr:nvSpPr>
      <xdr:spPr>
        <a:xfrm rot="10800000">
          <a:off x="1144524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229</xdr:row>
      <xdr:rowOff>0</xdr:rowOff>
    </xdr:from>
    <xdr:to>
      <xdr:col>39</xdr:col>
      <xdr:colOff>83820</xdr:colOff>
      <xdr:row>229</xdr:row>
      <xdr:rowOff>114300</xdr:rowOff>
    </xdr:to>
    <xdr:sp macro="" textlink="">
      <xdr:nvSpPr>
        <xdr:cNvPr id="1722" name="Arrow: Down 1721">
          <a:extLst>
            <a:ext uri="{FF2B5EF4-FFF2-40B4-BE49-F238E27FC236}">
              <a16:creationId xmlns:a16="http://schemas.microsoft.com/office/drawing/2014/main" id="{5FD4F350-2C5E-4E74-80E7-9F29D5DB34EC}"/>
            </a:ext>
          </a:extLst>
        </xdr:cNvPr>
        <xdr:cNvSpPr/>
      </xdr:nvSpPr>
      <xdr:spPr>
        <a:xfrm rot="10800000">
          <a:off x="9639300" y="41978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229</xdr:row>
      <xdr:rowOff>0</xdr:rowOff>
    </xdr:from>
    <xdr:to>
      <xdr:col>24</xdr:col>
      <xdr:colOff>83820</xdr:colOff>
      <xdr:row>229</xdr:row>
      <xdr:rowOff>114300</xdr:rowOff>
    </xdr:to>
    <xdr:sp macro="" textlink="">
      <xdr:nvSpPr>
        <xdr:cNvPr id="1726" name="Arrow: Down 1725">
          <a:extLst>
            <a:ext uri="{FF2B5EF4-FFF2-40B4-BE49-F238E27FC236}">
              <a16:creationId xmlns:a16="http://schemas.microsoft.com/office/drawing/2014/main" id="{17A33DE6-2359-4B7F-B470-FB7C570598EB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229</xdr:row>
      <xdr:rowOff>0</xdr:rowOff>
    </xdr:from>
    <xdr:to>
      <xdr:col>11</xdr:col>
      <xdr:colOff>83820</xdr:colOff>
      <xdr:row>229</xdr:row>
      <xdr:rowOff>114300</xdr:rowOff>
    </xdr:to>
    <xdr:sp macro="" textlink="">
      <xdr:nvSpPr>
        <xdr:cNvPr id="1729" name="Arrow: Down 1728">
          <a:extLst>
            <a:ext uri="{FF2B5EF4-FFF2-40B4-BE49-F238E27FC236}">
              <a16:creationId xmlns:a16="http://schemas.microsoft.com/office/drawing/2014/main" id="{0A42A0DB-D807-4440-921A-82DA089A2BAA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229</xdr:row>
      <xdr:rowOff>0</xdr:rowOff>
    </xdr:from>
    <xdr:to>
      <xdr:col>5</xdr:col>
      <xdr:colOff>83820</xdr:colOff>
      <xdr:row>229</xdr:row>
      <xdr:rowOff>114300</xdr:rowOff>
    </xdr:to>
    <xdr:sp macro="" textlink="">
      <xdr:nvSpPr>
        <xdr:cNvPr id="1733" name="Arrow: Down 1732">
          <a:extLst>
            <a:ext uri="{FF2B5EF4-FFF2-40B4-BE49-F238E27FC236}">
              <a16:creationId xmlns:a16="http://schemas.microsoft.com/office/drawing/2014/main" id="{99EEAABE-CFD5-47C3-A5D9-53BE3CCCDB40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230</xdr:row>
      <xdr:rowOff>0</xdr:rowOff>
    </xdr:from>
    <xdr:to>
      <xdr:col>24</xdr:col>
      <xdr:colOff>83820</xdr:colOff>
      <xdr:row>230</xdr:row>
      <xdr:rowOff>114300</xdr:rowOff>
    </xdr:to>
    <xdr:sp macro="" textlink="">
      <xdr:nvSpPr>
        <xdr:cNvPr id="1741" name="Arrow: Down 1740">
          <a:extLst>
            <a:ext uri="{FF2B5EF4-FFF2-40B4-BE49-F238E27FC236}">
              <a16:creationId xmlns:a16="http://schemas.microsoft.com/office/drawing/2014/main" id="{B99C91F4-5582-43B6-8A37-072A9840711C}"/>
            </a:ext>
          </a:extLst>
        </xdr:cNvPr>
        <xdr:cNvSpPr/>
      </xdr:nvSpPr>
      <xdr:spPr>
        <a:xfrm rot="10800000">
          <a:off x="64770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230</xdr:row>
      <xdr:rowOff>0</xdr:rowOff>
    </xdr:from>
    <xdr:to>
      <xdr:col>11</xdr:col>
      <xdr:colOff>83820</xdr:colOff>
      <xdr:row>230</xdr:row>
      <xdr:rowOff>114300</xdr:rowOff>
    </xdr:to>
    <xdr:sp macro="" textlink="">
      <xdr:nvSpPr>
        <xdr:cNvPr id="1742" name="Arrow: Down 1741">
          <a:extLst>
            <a:ext uri="{FF2B5EF4-FFF2-40B4-BE49-F238E27FC236}">
              <a16:creationId xmlns:a16="http://schemas.microsoft.com/office/drawing/2014/main" id="{56B4DB23-10CA-4F1E-AB77-483C48E70830}"/>
            </a:ext>
          </a:extLst>
        </xdr:cNvPr>
        <xdr:cNvSpPr/>
      </xdr:nvSpPr>
      <xdr:spPr>
        <a:xfrm rot="10800000">
          <a:off x="361950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230</xdr:row>
      <xdr:rowOff>0</xdr:rowOff>
    </xdr:from>
    <xdr:to>
      <xdr:col>5</xdr:col>
      <xdr:colOff>83820</xdr:colOff>
      <xdr:row>230</xdr:row>
      <xdr:rowOff>114300</xdr:rowOff>
    </xdr:to>
    <xdr:sp macro="" textlink="">
      <xdr:nvSpPr>
        <xdr:cNvPr id="1743" name="Arrow: Down 1742">
          <a:extLst>
            <a:ext uri="{FF2B5EF4-FFF2-40B4-BE49-F238E27FC236}">
              <a16:creationId xmlns:a16="http://schemas.microsoft.com/office/drawing/2014/main" id="{59C422A8-EFC6-4F39-B313-CB2E4E9AF86C}"/>
            </a:ext>
          </a:extLst>
        </xdr:cNvPr>
        <xdr:cNvSpPr/>
      </xdr:nvSpPr>
      <xdr:spPr>
        <a:xfrm rot="10800000">
          <a:off x="1927860" y="4197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230</xdr:row>
      <xdr:rowOff>0</xdr:rowOff>
    </xdr:from>
    <xdr:to>
      <xdr:col>39</xdr:col>
      <xdr:colOff>83820</xdr:colOff>
      <xdr:row>230</xdr:row>
      <xdr:rowOff>114300</xdr:rowOff>
    </xdr:to>
    <xdr:sp macro="" textlink="">
      <xdr:nvSpPr>
        <xdr:cNvPr id="1745" name="Arrow: Down 1744">
          <a:extLst>
            <a:ext uri="{FF2B5EF4-FFF2-40B4-BE49-F238E27FC236}">
              <a16:creationId xmlns:a16="http://schemas.microsoft.com/office/drawing/2014/main" id="{8060F17D-325E-48B3-B110-492FC8B6A50A}"/>
            </a:ext>
          </a:extLst>
        </xdr:cNvPr>
        <xdr:cNvSpPr/>
      </xdr:nvSpPr>
      <xdr:spPr>
        <a:xfrm>
          <a:off x="96393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230</xdr:row>
      <xdr:rowOff>0</xdr:rowOff>
    </xdr:from>
    <xdr:to>
      <xdr:col>71</xdr:col>
      <xdr:colOff>83820</xdr:colOff>
      <xdr:row>230</xdr:row>
      <xdr:rowOff>114300</xdr:rowOff>
    </xdr:to>
    <xdr:sp macro="" textlink="">
      <xdr:nvSpPr>
        <xdr:cNvPr id="1747" name="Arrow: Down 1746">
          <a:extLst>
            <a:ext uri="{FF2B5EF4-FFF2-40B4-BE49-F238E27FC236}">
              <a16:creationId xmlns:a16="http://schemas.microsoft.com/office/drawing/2014/main" id="{152D33C7-3FF4-4ED5-97CE-3FBE8439A768}"/>
            </a:ext>
          </a:extLst>
        </xdr:cNvPr>
        <xdr:cNvSpPr/>
      </xdr:nvSpPr>
      <xdr:spPr>
        <a:xfrm rot="10800000">
          <a:off x="1911858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230</xdr:row>
      <xdr:rowOff>0</xdr:rowOff>
    </xdr:from>
    <xdr:to>
      <xdr:col>60</xdr:col>
      <xdr:colOff>83820</xdr:colOff>
      <xdr:row>230</xdr:row>
      <xdr:rowOff>114300</xdr:rowOff>
    </xdr:to>
    <xdr:sp macro="" textlink="">
      <xdr:nvSpPr>
        <xdr:cNvPr id="1748" name="Arrow: Down 1747">
          <a:extLst>
            <a:ext uri="{FF2B5EF4-FFF2-40B4-BE49-F238E27FC236}">
              <a16:creationId xmlns:a16="http://schemas.microsoft.com/office/drawing/2014/main" id="{554AA228-C141-4C54-8AE2-AE078CCD5EBA}"/>
            </a:ext>
          </a:extLst>
        </xdr:cNvPr>
        <xdr:cNvSpPr/>
      </xdr:nvSpPr>
      <xdr:spPr>
        <a:xfrm rot="10800000">
          <a:off x="167640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230</xdr:row>
      <xdr:rowOff>0</xdr:rowOff>
    </xdr:from>
    <xdr:to>
      <xdr:col>45</xdr:col>
      <xdr:colOff>83820</xdr:colOff>
      <xdr:row>230</xdr:row>
      <xdr:rowOff>114300</xdr:rowOff>
    </xdr:to>
    <xdr:sp macro="" textlink="">
      <xdr:nvSpPr>
        <xdr:cNvPr id="1749" name="Arrow: Down 1748">
          <a:extLst>
            <a:ext uri="{FF2B5EF4-FFF2-40B4-BE49-F238E27FC236}">
              <a16:creationId xmlns:a16="http://schemas.microsoft.com/office/drawing/2014/main" id="{08C1C599-48C5-4491-9C15-CC0D684997EE}"/>
            </a:ext>
          </a:extLst>
        </xdr:cNvPr>
        <xdr:cNvSpPr/>
      </xdr:nvSpPr>
      <xdr:spPr>
        <a:xfrm>
          <a:off x="1144524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231</xdr:row>
      <xdr:rowOff>0</xdr:rowOff>
    </xdr:from>
    <xdr:to>
      <xdr:col>11</xdr:col>
      <xdr:colOff>83820</xdr:colOff>
      <xdr:row>231</xdr:row>
      <xdr:rowOff>114300</xdr:rowOff>
    </xdr:to>
    <xdr:sp macro="" textlink="">
      <xdr:nvSpPr>
        <xdr:cNvPr id="1751" name="Arrow: Down 1750">
          <a:extLst>
            <a:ext uri="{FF2B5EF4-FFF2-40B4-BE49-F238E27FC236}">
              <a16:creationId xmlns:a16="http://schemas.microsoft.com/office/drawing/2014/main" id="{7121D93E-D4A6-4FB4-897D-6278C9A0850C}"/>
            </a:ext>
          </a:extLst>
        </xdr:cNvPr>
        <xdr:cNvSpPr/>
      </xdr:nvSpPr>
      <xdr:spPr>
        <a:xfrm rot="10800000">
          <a:off x="361950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231</xdr:row>
      <xdr:rowOff>0</xdr:rowOff>
    </xdr:from>
    <xdr:to>
      <xdr:col>5</xdr:col>
      <xdr:colOff>83820</xdr:colOff>
      <xdr:row>231</xdr:row>
      <xdr:rowOff>114300</xdr:rowOff>
    </xdr:to>
    <xdr:sp macro="" textlink="">
      <xdr:nvSpPr>
        <xdr:cNvPr id="1752" name="Arrow: Down 1751">
          <a:extLst>
            <a:ext uri="{FF2B5EF4-FFF2-40B4-BE49-F238E27FC236}">
              <a16:creationId xmlns:a16="http://schemas.microsoft.com/office/drawing/2014/main" id="{0AA1E320-E2C5-4832-8211-56A11B47C79C}"/>
            </a:ext>
          </a:extLst>
        </xdr:cNvPr>
        <xdr:cNvSpPr/>
      </xdr:nvSpPr>
      <xdr:spPr>
        <a:xfrm rot="10800000">
          <a:off x="1927860" y="4216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231</xdr:row>
      <xdr:rowOff>0</xdr:rowOff>
    </xdr:from>
    <xdr:to>
      <xdr:col>60</xdr:col>
      <xdr:colOff>83820</xdr:colOff>
      <xdr:row>231</xdr:row>
      <xdr:rowOff>114300</xdr:rowOff>
    </xdr:to>
    <xdr:sp macro="" textlink="">
      <xdr:nvSpPr>
        <xdr:cNvPr id="1765" name="Arrow: Down 1764">
          <a:extLst>
            <a:ext uri="{FF2B5EF4-FFF2-40B4-BE49-F238E27FC236}">
              <a16:creationId xmlns:a16="http://schemas.microsoft.com/office/drawing/2014/main" id="{2BC00680-E663-4B8C-AC74-4295E334B266}"/>
            </a:ext>
          </a:extLst>
        </xdr:cNvPr>
        <xdr:cNvSpPr/>
      </xdr:nvSpPr>
      <xdr:spPr>
        <a:xfrm>
          <a:off x="16764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231</xdr:row>
      <xdr:rowOff>0</xdr:rowOff>
    </xdr:from>
    <xdr:to>
      <xdr:col>71</xdr:col>
      <xdr:colOff>83820</xdr:colOff>
      <xdr:row>231</xdr:row>
      <xdr:rowOff>114300</xdr:rowOff>
    </xdr:to>
    <xdr:sp macro="" textlink="">
      <xdr:nvSpPr>
        <xdr:cNvPr id="1768" name="Arrow: Down 1767">
          <a:extLst>
            <a:ext uri="{FF2B5EF4-FFF2-40B4-BE49-F238E27FC236}">
              <a16:creationId xmlns:a16="http://schemas.microsoft.com/office/drawing/2014/main" id="{20E70295-04AB-4FCA-9990-8FE32F974BE7}"/>
            </a:ext>
          </a:extLst>
        </xdr:cNvPr>
        <xdr:cNvSpPr/>
      </xdr:nvSpPr>
      <xdr:spPr>
        <a:xfrm>
          <a:off x="1911858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231</xdr:row>
      <xdr:rowOff>0</xdr:rowOff>
    </xdr:from>
    <xdr:to>
      <xdr:col>24</xdr:col>
      <xdr:colOff>83820</xdr:colOff>
      <xdr:row>231</xdr:row>
      <xdr:rowOff>114300</xdr:rowOff>
    </xdr:to>
    <xdr:sp macro="" textlink="">
      <xdr:nvSpPr>
        <xdr:cNvPr id="1772" name="Arrow: Down 1771">
          <a:extLst>
            <a:ext uri="{FF2B5EF4-FFF2-40B4-BE49-F238E27FC236}">
              <a16:creationId xmlns:a16="http://schemas.microsoft.com/office/drawing/2014/main" id="{AF313A95-4017-42FB-95F8-A56EDC2DB3B4}"/>
            </a:ext>
          </a:extLst>
        </xdr:cNvPr>
        <xdr:cNvSpPr/>
      </xdr:nvSpPr>
      <xdr:spPr>
        <a:xfrm>
          <a:off x="64770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231</xdr:row>
      <xdr:rowOff>0</xdr:rowOff>
    </xdr:from>
    <xdr:to>
      <xdr:col>39</xdr:col>
      <xdr:colOff>83820</xdr:colOff>
      <xdr:row>231</xdr:row>
      <xdr:rowOff>114300</xdr:rowOff>
    </xdr:to>
    <xdr:sp macro="" textlink="">
      <xdr:nvSpPr>
        <xdr:cNvPr id="1776" name="Arrow: Down 1775">
          <a:extLst>
            <a:ext uri="{FF2B5EF4-FFF2-40B4-BE49-F238E27FC236}">
              <a16:creationId xmlns:a16="http://schemas.microsoft.com/office/drawing/2014/main" id="{3BB8CDE5-A753-49FD-AE2A-A2D3840D9604}"/>
            </a:ext>
          </a:extLst>
        </xdr:cNvPr>
        <xdr:cNvSpPr/>
      </xdr:nvSpPr>
      <xdr:spPr>
        <a:xfrm rot="10800000">
          <a:off x="963930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231</xdr:row>
      <xdr:rowOff>0</xdr:rowOff>
    </xdr:from>
    <xdr:to>
      <xdr:col>45</xdr:col>
      <xdr:colOff>83820</xdr:colOff>
      <xdr:row>231</xdr:row>
      <xdr:rowOff>114300</xdr:rowOff>
    </xdr:to>
    <xdr:sp macro="" textlink="">
      <xdr:nvSpPr>
        <xdr:cNvPr id="1778" name="Arrow: Down 1777">
          <a:extLst>
            <a:ext uri="{FF2B5EF4-FFF2-40B4-BE49-F238E27FC236}">
              <a16:creationId xmlns:a16="http://schemas.microsoft.com/office/drawing/2014/main" id="{638A235D-C989-4A07-92B5-63545D5F4BEF}"/>
            </a:ext>
          </a:extLst>
        </xdr:cNvPr>
        <xdr:cNvSpPr/>
      </xdr:nvSpPr>
      <xdr:spPr>
        <a:xfrm rot="10800000">
          <a:off x="11445240" y="42344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232</xdr:row>
      <xdr:rowOff>0</xdr:rowOff>
    </xdr:from>
    <xdr:to>
      <xdr:col>11</xdr:col>
      <xdr:colOff>83820</xdr:colOff>
      <xdr:row>232</xdr:row>
      <xdr:rowOff>114300</xdr:rowOff>
    </xdr:to>
    <xdr:sp macro="" textlink="">
      <xdr:nvSpPr>
        <xdr:cNvPr id="1675" name="Arrow: Down 1674">
          <a:extLst>
            <a:ext uri="{FF2B5EF4-FFF2-40B4-BE49-F238E27FC236}">
              <a16:creationId xmlns:a16="http://schemas.microsoft.com/office/drawing/2014/main" id="{6D2454CB-E7D7-45CD-944F-62C5CBD5DDB9}"/>
            </a:ext>
          </a:extLst>
        </xdr:cNvPr>
        <xdr:cNvSpPr/>
      </xdr:nvSpPr>
      <xdr:spPr>
        <a:xfrm rot="10800000">
          <a:off x="361950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232</xdr:row>
      <xdr:rowOff>0</xdr:rowOff>
    </xdr:from>
    <xdr:to>
      <xdr:col>5</xdr:col>
      <xdr:colOff>83820</xdr:colOff>
      <xdr:row>232</xdr:row>
      <xdr:rowOff>114300</xdr:rowOff>
    </xdr:to>
    <xdr:sp macro="" textlink="">
      <xdr:nvSpPr>
        <xdr:cNvPr id="1678" name="Arrow: Down 1677">
          <a:extLst>
            <a:ext uri="{FF2B5EF4-FFF2-40B4-BE49-F238E27FC236}">
              <a16:creationId xmlns:a16="http://schemas.microsoft.com/office/drawing/2014/main" id="{5AA95851-2004-49B7-A1F9-820822F10C04}"/>
            </a:ext>
          </a:extLst>
        </xdr:cNvPr>
        <xdr:cNvSpPr/>
      </xdr:nvSpPr>
      <xdr:spPr>
        <a:xfrm rot="10800000">
          <a:off x="1927860" y="4234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232</xdr:row>
      <xdr:rowOff>0</xdr:rowOff>
    </xdr:from>
    <xdr:to>
      <xdr:col>24</xdr:col>
      <xdr:colOff>83820</xdr:colOff>
      <xdr:row>232</xdr:row>
      <xdr:rowOff>114300</xdr:rowOff>
    </xdr:to>
    <xdr:sp macro="" textlink="">
      <xdr:nvSpPr>
        <xdr:cNvPr id="1734" name="Arrow: Down 1733">
          <a:extLst>
            <a:ext uri="{FF2B5EF4-FFF2-40B4-BE49-F238E27FC236}">
              <a16:creationId xmlns:a16="http://schemas.microsoft.com/office/drawing/2014/main" id="{3366F5CD-D0D3-4748-9E34-44F5C41B41FF}"/>
            </a:ext>
          </a:extLst>
        </xdr:cNvPr>
        <xdr:cNvSpPr/>
      </xdr:nvSpPr>
      <xdr:spPr>
        <a:xfrm rot="10800000">
          <a:off x="6477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232</xdr:row>
      <xdr:rowOff>0</xdr:rowOff>
    </xdr:from>
    <xdr:to>
      <xdr:col>60</xdr:col>
      <xdr:colOff>83820</xdr:colOff>
      <xdr:row>232</xdr:row>
      <xdr:rowOff>114300</xdr:rowOff>
    </xdr:to>
    <xdr:sp macro="" textlink="">
      <xdr:nvSpPr>
        <xdr:cNvPr id="1736" name="Arrow: Down 1735">
          <a:extLst>
            <a:ext uri="{FF2B5EF4-FFF2-40B4-BE49-F238E27FC236}">
              <a16:creationId xmlns:a16="http://schemas.microsoft.com/office/drawing/2014/main" id="{2C8FD47E-9845-4A7B-90EC-A64C99574A58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232</xdr:row>
      <xdr:rowOff>0</xdr:rowOff>
    </xdr:from>
    <xdr:to>
      <xdr:col>71</xdr:col>
      <xdr:colOff>83820</xdr:colOff>
      <xdr:row>232</xdr:row>
      <xdr:rowOff>114300</xdr:rowOff>
    </xdr:to>
    <xdr:sp macro="" textlink="">
      <xdr:nvSpPr>
        <xdr:cNvPr id="1739" name="Arrow: Down 1738">
          <a:extLst>
            <a:ext uri="{FF2B5EF4-FFF2-40B4-BE49-F238E27FC236}">
              <a16:creationId xmlns:a16="http://schemas.microsoft.com/office/drawing/2014/main" id="{D38BB2CA-DC9D-4CF4-A5BB-EE9AD3E926AE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232</xdr:row>
      <xdr:rowOff>0</xdr:rowOff>
    </xdr:from>
    <xdr:to>
      <xdr:col>39</xdr:col>
      <xdr:colOff>83820</xdr:colOff>
      <xdr:row>232</xdr:row>
      <xdr:rowOff>114300</xdr:rowOff>
    </xdr:to>
    <xdr:sp macro="" textlink="">
      <xdr:nvSpPr>
        <xdr:cNvPr id="1744" name="Arrow: Down 1743">
          <a:extLst>
            <a:ext uri="{FF2B5EF4-FFF2-40B4-BE49-F238E27FC236}">
              <a16:creationId xmlns:a16="http://schemas.microsoft.com/office/drawing/2014/main" id="{E8B362AC-CEA3-480D-B020-92981BABD855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232</xdr:row>
      <xdr:rowOff>0</xdr:rowOff>
    </xdr:from>
    <xdr:to>
      <xdr:col>45</xdr:col>
      <xdr:colOff>83820</xdr:colOff>
      <xdr:row>232</xdr:row>
      <xdr:rowOff>114300</xdr:rowOff>
    </xdr:to>
    <xdr:sp macro="" textlink="">
      <xdr:nvSpPr>
        <xdr:cNvPr id="1750" name="Arrow: Down 1749">
          <a:extLst>
            <a:ext uri="{FF2B5EF4-FFF2-40B4-BE49-F238E27FC236}">
              <a16:creationId xmlns:a16="http://schemas.microsoft.com/office/drawing/2014/main" id="{584EEECF-8F22-47EB-9225-0156D76620D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233</xdr:row>
      <xdr:rowOff>0</xdr:rowOff>
    </xdr:from>
    <xdr:to>
      <xdr:col>11</xdr:col>
      <xdr:colOff>83820</xdr:colOff>
      <xdr:row>233</xdr:row>
      <xdr:rowOff>114300</xdr:rowOff>
    </xdr:to>
    <xdr:sp macro="" textlink="">
      <xdr:nvSpPr>
        <xdr:cNvPr id="1774" name="Arrow: Down 1773">
          <a:extLst>
            <a:ext uri="{FF2B5EF4-FFF2-40B4-BE49-F238E27FC236}">
              <a16:creationId xmlns:a16="http://schemas.microsoft.com/office/drawing/2014/main" id="{81B58E4C-A703-4E91-8EC9-B7C4ECEF53BA}"/>
            </a:ext>
          </a:extLst>
        </xdr:cNvPr>
        <xdr:cNvSpPr/>
      </xdr:nvSpPr>
      <xdr:spPr>
        <a:xfrm rot="10800000">
          <a:off x="36195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233</xdr:row>
      <xdr:rowOff>0</xdr:rowOff>
    </xdr:from>
    <xdr:to>
      <xdr:col>5</xdr:col>
      <xdr:colOff>83820</xdr:colOff>
      <xdr:row>233</xdr:row>
      <xdr:rowOff>114300</xdr:rowOff>
    </xdr:to>
    <xdr:sp macro="" textlink="">
      <xdr:nvSpPr>
        <xdr:cNvPr id="1777" name="Arrow: Down 1776">
          <a:extLst>
            <a:ext uri="{FF2B5EF4-FFF2-40B4-BE49-F238E27FC236}">
              <a16:creationId xmlns:a16="http://schemas.microsoft.com/office/drawing/2014/main" id="{DC78A207-9346-47D0-BFD4-4B2E2085F3CD}"/>
            </a:ext>
          </a:extLst>
        </xdr:cNvPr>
        <xdr:cNvSpPr/>
      </xdr:nvSpPr>
      <xdr:spPr>
        <a:xfrm rot="10800000">
          <a:off x="192786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233</xdr:row>
      <xdr:rowOff>0</xdr:rowOff>
    </xdr:from>
    <xdr:to>
      <xdr:col>60</xdr:col>
      <xdr:colOff>83820</xdr:colOff>
      <xdr:row>233</xdr:row>
      <xdr:rowOff>114300</xdr:rowOff>
    </xdr:to>
    <xdr:sp macro="" textlink="">
      <xdr:nvSpPr>
        <xdr:cNvPr id="1784" name="Arrow: Down 1783">
          <a:extLst>
            <a:ext uri="{FF2B5EF4-FFF2-40B4-BE49-F238E27FC236}">
              <a16:creationId xmlns:a16="http://schemas.microsoft.com/office/drawing/2014/main" id="{958D0DEA-27AD-405D-ACA7-FF74FB55C5E5}"/>
            </a:ext>
          </a:extLst>
        </xdr:cNvPr>
        <xdr:cNvSpPr/>
      </xdr:nvSpPr>
      <xdr:spPr>
        <a:xfrm rot="10800000">
          <a:off x="167640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233</xdr:row>
      <xdr:rowOff>0</xdr:rowOff>
    </xdr:from>
    <xdr:to>
      <xdr:col>71</xdr:col>
      <xdr:colOff>83820</xdr:colOff>
      <xdr:row>233</xdr:row>
      <xdr:rowOff>114300</xdr:rowOff>
    </xdr:to>
    <xdr:sp macro="" textlink="">
      <xdr:nvSpPr>
        <xdr:cNvPr id="1786" name="Arrow: Down 1785">
          <a:extLst>
            <a:ext uri="{FF2B5EF4-FFF2-40B4-BE49-F238E27FC236}">
              <a16:creationId xmlns:a16="http://schemas.microsoft.com/office/drawing/2014/main" id="{D3C17EA9-5886-44BB-85FE-23A41F7C51C4}"/>
            </a:ext>
          </a:extLst>
        </xdr:cNvPr>
        <xdr:cNvSpPr/>
      </xdr:nvSpPr>
      <xdr:spPr>
        <a:xfrm rot="10800000">
          <a:off x="1911858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233</xdr:row>
      <xdr:rowOff>0</xdr:rowOff>
    </xdr:from>
    <xdr:to>
      <xdr:col>39</xdr:col>
      <xdr:colOff>83820</xdr:colOff>
      <xdr:row>233</xdr:row>
      <xdr:rowOff>114300</xdr:rowOff>
    </xdr:to>
    <xdr:sp macro="" textlink="">
      <xdr:nvSpPr>
        <xdr:cNvPr id="1787" name="Arrow: Down 1786">
          <a:extLst>
            <a:ext uri="{FF2B5EF4-FFF2-40B4-BE49-F238E27FC236}">
              <a16:creationId xmlns:a16="http://schemas.microsoft.com/office/drawing/2014/main" id="{3B1671C1-DD66-457E-87D4-C7FB8B7CA87E}"/>
            </a:ext>
          </a:extLst>
        </xdr:cNvPr>
        <xdr:cNvSpPr/>
      </xdr:nvSpPr>
      <xdr:spPr>
        <a:xfrm>
          <a:off x="963930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233</xdr:row>
      <xdr:rowOff>0</xdr:rowOff>
    </xdr:from>
    <xdr:to>
      <xdr:col>45</xdr:col>
      <xdr:colOff>83820</xdr:colOff>
      <xdr:row>233</xdr:row>
      <xdr:rowOff>114300</xdr:rowOff>
    </xdr:to>
    <xdr:sp macro="" textlink="">
      <xdr:nvSpPr>
        <xdr:cNvPr id="1788" name="Arrow: Down 1787">
          <a:extLst>
            <a:ext uri="{FF2B5EF4-FFF2-40B4-BE49-F238E27FC236}">
              <a16:creationId xmlns:a16="http://schemas.microsoft.com/office/drawing/2014/main" id="{962ABF48-F23B-4C9B-ABCB-5B6D7D35DBA7}"/>
            </a:ext>
          </a:extLst>
        </xdr:cNvPr>
        <xdr:cNvSpPr/>
      </xdr:nvSpPr>
      <xdr:spPr>
        <a:xfrm>
          <a:off x="11445240" y="4252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233</xdr:row>
      <xdr:rowOff>0</xdr:rowOff>
    </xdr:from>
    <xdr:to>
      <xdr:col>24</xdr:col>
      <xdr:colOff>83820</xdr:colOff>
      <xdr:row>233</xdr:row>
      <xdr:rowOff>114300</xdr:rowOff>
    </xdr:to>
    <xdr:sp macro="" textlink="">
      <xdr:nvSpPr>
        <xdr:cNvPr id="1789" name="Arrow: Down 1788">
          <a:extLst>
            <a:ext uri="{FF2B5EF4-FFF2-40B4-BE49-F238E27FC236}">
              <a16:creationId xmlns:a16="http://schemas.microsoft.com/office/drawing/2014/main" id="{38919B54-9A77-4F39-AA9D-903B101E6DFF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234</xdr:row>
      <xdr:rowOff>0</xdr:rowOff>
    </xdr:from>
    <xdr:to>
      <xdr:col>39</xdr:col>
      <xdr:colOff>83820</xdr:colOff>
      <xdr:row>234</xdr:row>
      <xdr:rowOff>114300</xdr:rowOff>
    </xdr:to>
    <xdr:sp macro="" textlink="">
      <xdr:nvSpPr>
        <xdr:cNvPr id="1801" name="Arrow: Down 1800">
          <a:extLst>
            <a:ext uri="{FF2B5EF4-FFF2-40B4-BE49-F238E27FC236}">
              <a16:creationId xmlns:a16="http://schemas.microsoft.com/office/drawing/2014/main" id="{095BE8D4-F244-4197-9E32-B957049A8ADF}"/>
            </a:ext>
          </a:extLst>
        </xdr:cNvPr>
        <xdr:cNvSpPr/>
      </xdr:nvSpPr>
      <xdr:spPr>
        <a:xfrm>
          <a:off x="963930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234</xdr:row>
      <xdr:rowOff>0</xdr:rowOff>
    </xdr:from>
    <xdr:to>
      <xdr:col>45</xdr:col>
      <xdr:colOff>83820</xdr:colOff>
      <xdr:row>234</xdr:row>
      <xdr:rowOff>114300</xdr:rowOff>
    </xdr:to>
    <xdr:sp macro="" textlink="">
      <xdr:nvSpPr>
        <xdr:cNvPr id="1802" name="Arrow: Down 1801">
          <a:extLst>
            <a:ext uri="{FF2B5EF4-FFF2-40B4-BE49-F238E27FC236}">
              <a16:creationId xmlns:a16="http://schemas.microsoft.com/office/drawing/2014/main" id="{C2B23307-0B83-4ADF-9209-D1E3EB9CEDD3}"/>
            </a:ext>
          </a:extLst>
        </xdr:cNvPr>
        <xdr:cNvSpPr/>
      </xdr:nvSpPr>
      <xdr:spPr>
        <a:xfrm>
          <a:off x="11445240" y="42710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234</xdr:row>
      <xdr:rowOff>0</xdr:rowOff>
    </xdr:from>
    <xdr:to>
      <xdr:col>24</xdr:col>
      <xdr:colOff>83820</xdr:colOff>
      <xdr:row>234</xdr:row>
      <xdr:rowOff>114300</xdr:rowOff>
    </xdr:to>
    <xdr:sp macro="" textlink="">
      <xdr:nvSpPr>
        <xdr:cNvPr id="1803" name="Arrow: Down 1802">
          <a:extLst>
            <a:ext uri="{FF2B5EF4-FFF2-40B4-BE49-F238E27FC236}">
              <a16:creationId xmlns:a16="http://schemas.microsoft.com/office/drawing/2014/main" id="{8709CE10-D560-4D31-85E8-66F45A860210}"/>
            </a:ext>
          </a:extLst>
        </xdr:cNvPr>
        <xdr:cNvSpPr/>
      </xdr:nvSpPr>
      <xdr:spPr>
        <a:xfrm>
          <a:off x="6477000" y="42710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234</xdr:row>
      <xdr:rowOff>0</xdr:rowOff>
    </xdr:from>
    <xdr:to>
      <xdr:col>11</xdr:col>
      <xdr:colOff>83820</xdr:colOff>
      <xdr:row>234</xdr:row>
      <xdr:rowOff>114300</xdr:rowOff>
    </xdr:to>
    <xdr:sp macro="" textlink="">
      <xdr:nvSpPr>
        <xdr:cNvPr id="1804" name="Arrow: Down 1803">
          <a:extLst>
            <a:ext uri="{FF2B5EF4-FFF2-40B4-BE49-F238E27FC236}">
              <a16:creationId xmlns:a16="http://schemas.microsoft.com/office/drawing/2014/main" id="{5253005D-C618-47B9-A976-4DA5EFEA444A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234</xdr:row>
      <xdr:rowOff>0</xdr:rowOff>
    </xdr:from>
    <xdr:to>
      <xdr:col>5</xdr:col>
      <xdr:colOff>83820</xdr:colOff>
      <xdr:row>234</xdr:row>
      <xdr:rowOff>114300</xdr:rowOff>
    </xdr:to>
    <xdr:sp macro="" textlink="">
      <xdr:nvSpPr>
        <xdr:cNvPr id="1805" name="Arrow: Down 1804">
          <a:extLst>
            <a:ext uri="{FF2B5EF4-FFF2-40B4-BE49-F238E27FC236}">
              <a16:creationId xmlns:a16="http://schemas.microsoft.com/office/drawing/2014/main" id="{A76B99EC-210B-45EB-80E5-9282A414029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234</xdr:row>
      <xdr:rowOff>0</xdr:rowOff>
    </xdr:from>
    <xdr:to>
      <xdr:col>60</xdr:col>
      <xdr:colOff>83820</xdr:colOff>
      <xdr:row>234</xdr:row>
      <xdr:rowOff>114300</xdr:rowOff>
    </xdr:to>
    <xdr:sp macro="" textlink="">
      <xdr:nvSpPr>
        <xdr:cNvPr id="1806" name="Arrow: Down 1805">
          <a:extLst>
            <a:ext uri="{FF2B5EF4-FFF2-40B4-BE49-F238E27FC236}">
              <a16:creationId xmlns:a16="http://schemas.microsoft.com/office/drawing/2014/main" id="{5913157D-A5DF-4ED3-A8BF-2B4F0D9BA9F4}"/>
            </a:ext>
          </a:extLst>
        </xdr:cNvPr>
        <xdr:cNvSpPr/>
      </xdr:nvSpPr>
      <xdr:spPr>
        <a:xfrm>
          <a:off x="16764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234</xdr:row>
      <xdr:rowOff>0</xdr:rowOff>
    </xdr:from>
    <xdr:to>
      <xdr:col>71</xdr:col>
      <xdr:colOff>83820</xdr:colOff>
      <xdr:row>234</xdr:row>
      <xdr:rowOff>114300</xdr:rowOff>
    </xdr:to>
    <xdr:sp macro="" textlink="">
      <xdr:nvSpPr>
        <xdr:cNvPr id="1808" name="Arrow: Down 1807">
          <a:extLst>
            <a:ext uri="{FF2B5EF4-FFF2-40B4-BE49-F238E27FC236}">
              <a16:creationId xmlns:a16="http://schemas.microsoft.com/office/drawing/2014/main" id="{71685D1A-6F98-4745-A8EE-55479EBE3E66}"/>
            </a:ext>
          </a:extLst>
        </xdr:cNvPr>
        <xdr:cNvSpPr/>
      </xdr:nvSpPr>
      <xdr:spPr>
        <a:xfrm>
          <a:off x="1911858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0</xdr:colOff>
      <xdr:row>3</xdr:row>
      <xdr:rowOff>1</xdr:rowOff>
    </xdr:from>
    <xdr:to>
      <xdr:col>80</xdr:col>
      <xdr:colOff>243819</xdr:colOff>
      <xdr:row>5</xdr:row>
      <xdr:rowOff>7634</xdr:rowOff>
    </xdr:to>
    <xdr:cxnSp macro="">
      <xdr:nvCxnSpPr>
        <xdr:cNvPr id="1810" name="Straight Arrow Connector 1809">
          <a:extLst>
            <a:ext uri="{FF2B5EF4-FFF2-40B4-BE49-F238E27FC236}">
              <a16:creationId xmlns:a16="http://schemas.microsoft.com/office/drawing/2014/main" id="{39AB161D-5C99-42B6-9717-F8442CACDE8F}"/>
            </a:ext>
          </a:extLst>
        </xdr:cNvPr>
        <xdr:cNvCxnSpPr/>
      </xdr:nvCxnSpPr>
      <xdr:spPr>
        <a:xfrm flipV="1">
          <a:off x="22623780" y="601981"/>
          <a:ext cx="1005819" cy="396253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0</xdr:colOff>
      <xdr:row>235</xdr:row>
      <xdr:rowOff>0</xdr:rowOff>
    </xdr:from>
    <xdr:to>
      <xdr:col>45</xdr:col>
      <xdr:colOff>83820</xdr:colOff>
      <xdr:row>235</xdr:row>
      <xdr:rowOff>114300</xdr:rowOff>
    </xdr:to>
    <xdr:sp macro="" textlink="">
      <xdr:nvSpPr>
        <xdr:cNvPr id="1819" name="Arrow: Down 1818">
          <a:extLst>
            <a:ext uri="{FF2B5EF4-FFF2-40B4-BE49-F238E27FC236}">
              <a16:creationId xmlns:a16="http://schemas.microsoft.com/office/drawing/2014/main" id="{B81EE421-CFBA-4AAF-ADCA-6B190475DB59}"/>
            </a:ext>
          </a:extLst>
        </xdr:cNvPr>
        <xdr:cNvSpPr/>
      </xdr:nvSpPr>
      <xdr:spPr>
        <a:xfrm>
          <a:off x="11445240" y="42892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235</xdr:row>
      <xdr:rowOff>0</xdr:rowOff>
    </xdr:from>
    <xdr:to>
      <xdr:col>24</xdr:col>
      <xdr:colOff>83820</xdr:colOff>
      <xdr:row>235</xdr:row>
      <xdr:rowOff>114300</xdr:rowOff>
    </xdr:to>
    <xdr:sp macro="" textlink="">
      <xdr:nvSpPr>
        <xdr:cNvPr id="1820" name="Arrow: Down 1819">
          <a:extLst>
            <a:ext uri="{FF2B5EF4-FFF2-40B4-BE49-F238E27FC236}">
              <a16:creationId xmlns:a16="http://schemas.microsoft.com/office/drawing/2014/main" id="{6DE7CBA3-1CA1-46A3-8F9B-E0CA3D0FADF0}"/>
            </a:ext>
          </a:extLst>
        </xdr:cNvPr>
        <xdr:cNvSpPr/>
      </xdr:nvSpPr>
      <xdr:spPr>
        <a:xfrm>
          <a:off x="64770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235</xdr:row>
      <xdr:rowOff>0</xdr:rowOff>
    </xdr:from>
    <xdr:to>
      <xdr:col>11</xdr:col>
      <xdr:colOff>83820</xdr:colOff>
      <xdr:row>235</xdr:row>
      <xdr:rowOff>114300</xdr:rowOff>
    </xdr:to>
    <xdr:sp macro="" textlink="">
      <xdr:nvSpPr>
        <xdr:cNvPr id="1821" name="Arrow: Down 1820">
          <a:extLst>
            <a:ext uri="{FF2B5EF4-FFF2-40B4-BE49-F238E27FC236}">
              <a16:creationId xmlns:a16="http://schemas.microsoft.com/office/drawing/2014/main" id="{B4C3249E-6073-4AD7-AB17-1935C1798C31}"/>
            </a:ext>
          </a:extLst>
        </xdr:cNvPr>
        <xdr:cNvSpPr/>
      </xdr:nvSpPr>
      <xdr:spPr>
        <a:xfrm>
          <a:off x="361950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235</xdr:row>
      <xdr:rowOff>0</xdr:rowOff>
    </xdr:from>
    <xdr:to>
      <xdr:col>5</xdr:col>
      <xdr:colOff>83820</xdr:colOff>
      <xdr:row>235</xdr:row>
      <xdr:rowOff>114300</xdr:rowOff>
    </xdr:to>
    <xdr:sp macro="" textlink="">
      <xdr:nvSpPr>
        <xdr:cNvPr id="1822" name="Arrow: Down 1821">
          <a:extLst>
            <a:ext uri="{FF2B5EF4-FFF2-40B4-BE49-F238E27FC236}">
              <a16:creationId xmlns:a16="http://schemas.microsoft.com/office/drawing/2014/main" id="{88D308EC-C1F0-427E-9DEC-8EC928E8EBA6}"/>
            </a:ext>
          </a:extLst>
        </xdr:cNvPr>
        <xdr:cNvSpPr/>
      </xdr:nvSpPr>
      <xdr:spPr>
        <a:xfrm>
          <a:off x="1927860" y="4289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235</xdr:row>
      <xdr:rowOff>0</xdr:rowOff>
    </xdr:from>
    <xdr:to>
      <xdr:col>71</xdr:col>
      <xdr:colOff>83820</xdr:colOff>
      <xdr:row>235</xdr:row>
      <xdr:rowOff>114300</xdr:rowOff>
    </xdr:to>
    <xdr:sp macro="" textlink="">
      <xdr:nvSpPr>
        <xdr:cNvPr id="1826" name="Arrow: Down 1825">
          <a:extLst>
            <a:ext uri="{FF2B5EF4-FFF2-40B4-BE49-F238E27FC236}">
              <a16:creationId xmlns:a16="http://schemas.microsoft.com/office/drawing/2014/main" id="{BE94E832-7EAE-4E97-B1F0-D5B3B3639D10}"/>
            </a:ext>
          </a:extLst>
        </xdr:cNvPr>
        <xdr:cNvSpPr/>
      </xdr:nvSpPr>
      <xdr:spPr>
        <a:xfrm rot="10800000">
          <a:off x="2078736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235</xdr:row>
      <xdr:rowOff>0</xdr:rowOff>
    </xdr:from>
    <xdr:to>
      <xdr:col>60</xdr:col>
      <xdr:colOff>83820</xdr:colOff>
      <xdr:row>235</xdr:row>
      <xdr:rowOff>114300</xdr:rowOff>
    </xdr:to>
    <xdr:sp macro="" textlink="">
      <xdr:nvSpPr>
        <xdr:cNvPr id="1827" name="Arrow: Down 1826">
          <a:extLst>
            <a:ext uri="{FF2B5EF4-FFF2-40B4-BE49-F238E27FC236}">
              <a16:creationId xmlns:a16="http://schemas.microsoft.com/office/drawing/2014/main" id="{246572EC-C6DA-40A1-B7D3-01683144BF68}"/>
            </a:ext>
          </a:extLst>
        </xdr:cNvPr>
        <xdr:cNvSpPr/>
      </xdr:nvSpPr>
      <xdr:spPr>
        <a:xfrm rot="10800000">
          <a:off x="16764000" y="4307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235</xdr:row>
      <xdr:rowOff>0</xdr:rowOff>
    </xdr:from>
    <xdr:to>
      <xdr:col>39</xdr:col>
      <xdr:colOff>83820</xdr:colOff>
      <xdr:row>235</xdr:row>
      <xdr:rowOff>114300</xdr:rowOff>
    </xdr:to>
    <xdr:sp macro="" textlink="">
      <xdr:nvSpPr>
        <xdr:cNvPr id="1829" name="Arrow: Down 1828">
          <a:extLst>
            <a:ext uri="{FF2B5EF4-FFF2-40B4-BE49-F238E27FC236}">
              <a16:creationId xmlns:a16="http://schemas.microsoft.com/office/drawing/2014/main" id="{34690ED8-0423-4CF5-8EC2-7092D4D32F50}"/>
            </a:ext>
          </a:extLst>
        </xdr:cNvPr>
        <xdr:cNvSpPr/>
      </xdr:nvSpPr>
      <xdr:spPr>
        <a:xfrm rot="10800000">
          <a:off x="963930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236</xdr:row>
      <xdr:rowOff>0</xdr:rowOff>
    </xdr:from>
    <xdr:to>
      <xdr:col>39</xdr:col>
      <xdr:colOff>83820</xdr:colOff>
      <xdr:row>236</xdr:row>
      <xdr:rowOff>114300</xdr:rowOff>
    </xdr:to>
    <xdr:sp macro="" textlink="">
      <xdr:nvSpPr>
        <xdr:cNvPr id="1771" name="Arrow: Down 1770">
          <a:extLst>
            <a:ext uri="{FF2B5EF4-FFF2-40B4-BE49-F238E27FC236}">
              <a16:creationId xmlns:a16="http://schemas.microsoft.com/office/drawing/2014/main" id="{C479026C-EEAF-49B2-A882-591BAF7DFDD9}"/>
            </a:ext>
          </a:extLst>
        </xdr:cNvPr>
        <xdr:cNvSpPr/>
      </xdr:nvSpPr>
      <xdr:spPr>
        <a:xfrm rot="10800000">
          <a:off x="11300460" y="43075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236</xdr:row>
      <xdr:rowOff>0</xdr:rowOff>
    </xdr:from>
    <xdr:to>
      <xdr:col>60</xdr:col>
      <xdr:colOff>83820</xdr:colOff>
      <xdr:row>236</xdr:row>
      <xdr:rowOff>114300</xdr:rowOff>
    </xdr:to>
    <xdr:sp macro="" textlink="">
      <xdr:nvSpPr>
        <xdr:cNvPr id="1782" name="Arrow: Down 1781">
          <a:extLst>
            <a:ext uri="{FF2B5EF4-FFF2-40B4-BE49-F238E27FC236}">
              <a16:creationId xmlns:a16="http://schemas.microsoft.com/office/drawing/2014/main" id="{D80BDE62-7514-4A55-8832-E6ACEDB2286E}"/>
            </a:ext>
          </a:extLst>
        </xdr:cNvPr>
        <xdr:cNvSpPr/>
      </xdr:nvSpPr>
      <xdr:spPr>
        <a:xfrm>
          <a:off x="1842516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236</xdr:row>
      <xdr:rowOff>0</xdr:rowOff>
    </xdr:from>
    <xdr:to>
      <xdr:col>71</xdr:col>
      <xdr:colOff>83820</xdr:colOff>
      <xdr:row>236</xdr:row>
      <xdr:rowOff>114300</xdr:rowOff>
    </xdr:to>
    <xdr:sp macro="" textlink="">
      <xdr:nvSpPr>
        <xdr:cNvPr id="1791" name="Arrow: Down 1790">
          <a:extLst>
            <a:ext uri="{FF2B5EF4-FFF2-40B4-BE49-F238E27FC236}">
              <a16:creationId xmlns:a16="http://schemas.microsoft.com/office/drawing/2014/main" id="{88AF4E7F-3411-4925-8821-082B17E72F70}"/>
            </a:ext>
          </a:extLst>
        </xdr:cNvPr>
        <xdr:cNvSpPr/>
      </xdr:nvSpPr>
      <xdr:spPr>
        <a:xfrm rot="10800000">
          <a:off x="2077974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236</xdr:row>
      <xdr:rowOff>0</xdr:rowOff>
    </xdr:from>
    <xdr:to>
      <xdr:col>45</xdr:col>
      <xdr:colOff>83820</xdr:colOff>
      <xdr:row>236</xdr:row>
      <xdr:rowOff>114300</xdr:rowOff>
    </xdr:to>
    <xdr:sp macro="" textlink="">
      <xdr:nvSpPr>
        <xdr:cNvPr id="1793" name="Arrow: Down 1792">
          <a:extLst>
            <a:ext uri="{FF2B5EF4-FFF2-40B4-BE49-F238E27FC236}">
              <a16:creationId xmlns:a16="http://schemas.microsoft.com/office/drawing/2014/main" id="{FB0638AF-7F6C-44A0-8334-6E52BE85295D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236</xdr:row>
      <xdr:rowOff>0</xdr:rowOff>
    </xdr:from>
    <xdr:to>
      <xdr:col>24</xdr:col>
      <xdr:colOff>83820</xdr:colOff>
      <xdr:row>236</xdr:row>
      <xdr:rowOff>114300</xdr:rowOff>
    </xdr:to>
    <xdr:sp macro="" textlink="">
      <xdr:nvSpPr>
        <xdr:cNvPr id="1795" name="Arrow: Down 1794">
          <a:extLst>
            <a:ext uri="{FF2B5EF4-FFF2-40B4-BE49-F238E27FC236}">
              <a16:creationId xmlns:a16="http://schemas.microsoft.com/office/drawing/2014/main" id="{2B209776-7A2E-4EF5-B02E-BCEFA52D89BF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236</xdr:row>
      <xdr:rowOff>0</xdr:rowOff>
    </xdr:from>
    <xdr:to>
      <xdr:col>5</xdr:col>
      <xdr:colOff>83820</xdr:colOff>
      <xdr:row>236</xdr:row>
      <xdr:rowOff>114300</xdr:rowOff>
    </xdr:to>
    <xdr:sp macro="" textlink="">
      <xdr:nvSpPr>
        <xdr:cNvPr id="1796" name="Arrow: Down 1795">
          <a:extLst>
            <a:ext uri="{FF2B5EF4-FFF2-40B4-BE49-F238E27FC236}">
              <a16:creationId xmlns:a16="http://schemas.microsoft.com/office/drawing/2014/main" id="{EA04B637-9D7C-44CF-B54D-EA594FCAAFB5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237</xdr:row>
      <xdr:rowOff>0</xdr:rowOff>
    </xdr:from>
    <xdr:to>
      <xdr:col>45</xdr:col>
      <xdr:colOff>83820</xdr:colOff>
      <xdr:row>237</xdr:row>
      <xdr:rowOff>114300</xdr:rowOff>
    </xdr:to>
    <xdr:sp macro="" textlink="">
      <xdr:nvSpPr>
        <xdr:cNvPr id="1727" name="Arrow: Down 1726">
          <a:extLst>
            <a:ext uri="{FF2B5EF4-FFF2-40B4-BE49-F238E27FC236}">
              <a16:creationId xmlns:a16="http://schemas.microsoft.com/office/drawing/2014/main" id="{3018E3C3-E992-407A-925C-F39BD5F2744C}"/>
            </a:ext>
          </a:extLst>
        </xdr:cNvPr>
        <xdr:cNvSpPr/>
      </xdr:nvSpPr>
      <xdr:spPr>
        <a:xfrm rot="10800000">
          <a:off x="13106400" y="43258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237</xdr:row>
      <xdr:rowOff>0</xdr:rowOff>
    </xdr:from>
    <xdr:to>
      <xdr:col>24</xdr:col>
      <xdr:colOff>83820</xdr:colOff>
      <xdr:row>237</xdr:row>
      <xdr:rowOff>114300</xdr:rowOff>
    </xdr:to>
    <xdr:sp macro="" textlink="">
      <xdr:nvSpPr>
        <xdr:cNvPr id="1730" name="Arrow: Down 1729">
          <a:extLst>
            <a:ext uri="{FF2B5EF4-FFF2-40B4-BE49-F238E27FC236}">
              <a16:creationId xmlns:a16="http://schemas.microsoft.com/office/drawing/2014/main" id="{F29AF36C-B888-4A8D-982B-11D0D19E79D2}"/>
            </a:ext>
          </a:extLst>
        </xdr:cNvPr>
        <xdr:cNvSpPr/>
      </xdr:nvSpPr>
      <xdr:spPr>
        <a:xfrm rot="10800000">
          <a:off x="81381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237</xdr:row>
      <xdr:rowOff>0</xdr:rowOff>
    </xdr:from>
    <xdr:to>
      <xdr:col>5</xdr:col>
      <xdr:colOff>83820</xdr:colOff>
      <xdr:row>237</xdr:row>
      <xdr:rowOff>114300</xdr:rowOff>
    </xdr:to>
    <xdr:sp macro="" textlink="">
      <xdr:nvSpPr>
        <xdr:cNvPr id="1740" name="Arrow: Down 1739">
          <a:extLst>
            <a:ext uri="{FF2B5EF4-FFF2-40B4-BE49-F238E27FC236}">
              <a16:creationId xmlns:a16="http://schemas.microsoft.com/office/drawing/2014/main" id="{1EA86FEE-4B4A-4151-8B52-32103FB7D834}"/>
            </a:ext>
          </a:extLst>
        </xdr:cNvPr>
        <xdr:cNvSpPr/>
      </xdr:nvSpPr>
      <xdr:spPr>
        <a:xfrm rot="10800000">
          <a:off x="192786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237</xdr:row>
      <xdr:rowOff>0</xdr:rowOff>
    </xdr:from>
    <xdr:to>
      <xdr:col>11</xdr:col>
      <xdr:colOff>83820</xdr:colOff>
      <xdr:row>237</xdr:row>
      <xdr:rowOff>114300</xdr:rowOff>
    </xdr:to>
    <xdr:sp macro="" textlink="">
      <xdr:nvSpPr>
        <xdr:cNvPr id="1746" name="Arrow: Down 1745">
          <a:extLst>
            <a:ext uri="{FF2B5EF4-FFF2-40B4-BE49-F238E27FC236}">
              <a16:creationId xmlns:a16="http://schemas.microsoft.com/office/drawing/2014/main" id="{C067CDB5-92B2-48A8-9DA8-18876E4D519E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236</xdr:row>
      <xdr:rowOff>0</xdr:rowOff>
    </xdr:from>
    <xdr:to>
      <xdr:col>11</xdr:col>
      <xdr:colOff>83820</xdr:colOff>
      <xdr:row>236</xdr:row>
      <xdr:rowOff>114300</xdr:rowOff>
    </xdr:to>
    <xdr:sp macro="" textlink="">
      <xdr:nvSpPr>
        <xdr:cNvPr id="1753" name="Arrow: Down 1752">
          <a:extLst>
            <a:ext uri="{FF2B5EF4-FFF2-40B4-BE49-F238E27FC236}">
              <a16:creationId xmlns:a16="http://schemas.microsoft.com/office/drawing/2014/main" id="{7FD1DBD5-8CA8-4449-8017-B986B00653DD}"/>
            </a:ext>
          </a:extLst>
        </xdr:cNvPr>
        <xdr:cNvSpPr/>
      </xdr:nvSpPr>
      <xdr:spPr>
        <a:xfrm rot="10800000">
          <a:off x="3619500" y="4325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237</xdr:row>
      <xdr:rowOff>0</xdr:rowOff>
    </xdr:from>
    <xdr:to>
      <xdr:col>39</xdr:col>
      <xdr:colOff>83820</xdr:colOff>
      <xdr:row>237</xdr:row>
      <xdr:rowOff>114300</xdr:rowOff>
    </xdr:to>
    <xdr:sp macro="" textlink="">
      <xdr:nvSpPr>
        <xdr:cNvPr id="1755" name="Arrow: Down 1754">
          <a:extLst>
            <a:ext uri="{FF2B5EF4-FFF2-40B4-BE49-F238E27FC236}">
              <a16:creationId xmlns:a16="http://schemas.microsoft.com/office/drawing/2014/main" id="{2F7DBCBB-9AE8-413D-9411-F31D9E234E15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237</xdr:row>
      <xdr:rowOff>0</xdr:rowOff>
    </xdr:from>
    <xdr:to>
      <xdr:col>60</xdr:col>
      <xdr:colOff>83820</xdr:colOff>
      <xdr:row>237</xdr:row>
      <xdr:rowOff>114300</xdr:rowOff>
    </xdr:to>
    <xdr:sp macro="" textlink="">
      <xdr:nvSpPr>
        <xdr:cNvPr id="1757" name="Arrow: Down 1756">
          <a:extLst>
            <a:ext uri="{FF2B5EF4-FFF2-40B4-BE49-F238E27FC236}">
              <a16:creationId xmlns:a16="http://schemas.microsoft.com/office/drawing/2014/main" id="{482B0837-358D-4D44-8F29-5C8879C73156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237</xdr:row>
      <xdr:rowOff>0</xdr:rowOff>
    </xdr:from>
    <xdr:to>
      <xdr:col>71</xdr:col>
      <xdr:colOff>83820</xdr:colOff>
      <xdr:row>237</xdr:row>
      <xdr:rowOff>114300</xdr:rowOff>
    </xdr:to>
    <xdr:sp macro="" textlink="">
      <xdr:nvSpPr>
        <xdr:cNvPr id="1764" name="Arrow: Down 1763">
          <a:extLst>
            <a:ext uri="{FF2B5EF4-FFF2-40B4-BE49-F238E27FC236}">
              <a16:creationId xmlns:a16="http://schemas.microsoft.com/office/drawing/2014/main" id="{5F0FDAB7-EB57-4443-84FC-022268A239F6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238</xdr:row>
      <xdr:rowOff>0</xdr:rowOff>
    </xdr:from>
    <xdr:to>
      <xdr:col>45</xdr:col>
      <xdr:colOff>83820</xdr:colOff>
      <xdr:row>238</xdr:row>
      <xdr:rowOff>114300</xdr:rowOff>
    </xdr:to>
    <xdr:sp macro="" textlink="">
      <xdr:nvSpPr>
        <xdr:cNvPr id="1800" name="Arrow: Down 1799">
          <a:extLst>
            <a:ext uri="{FF2B5EF4-FFF2-40B4-BE49-F238E27FC236}">
              <a16:creationId xmlns:a16="http://schemas.microsoft.com/office/drawing/2014/main" id="{E9929E88-4DFC-4D2F-9242-B54A4200AA1C}"/>
            </a:ext>
          </a:extLst>
        </xdr:cNvPr>
        <xdr:cNvSpPr/>
      </xdr:nvSpPr>
      <xdr:spPr>
        <a:xfrm rot="10800000">
          <a:off x="13106400" y="43441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238</xdr:row>
      <xdr:rowOff>0</xdr:rowOff>
    </xdr:from>
    <xdr:to>
      <xdr:col>24</xdr:col>
      <xdr:colOff>83820</xdr:colOff>
      <xdr:row>238</xdr:row>
      <xdr:rowOff>114300</xdr:rowOff>
    </xdr:to>
    <xdr:sp macro="" textlink="">
      <xdr:nvSpPr>
        <xdr:cNvPr id="1807" name="Arrow: Down 1806">
          <a:extLst>
            <a:ext uri="{FF2B5EF4-FFF2-40B4-BE49-F238E27FC236}">
              <a16:creationId xmlns:a16="http://schemas.microsoft.com/office/drawing/2014/main" id="{37734F94-B4E5-49D4-86FE-07B085F3DF47}"/>
            </a:ext>
          </a:extLst>
        </xdr:cNvPr>
        <xdr:cNvSpPr/>
      </xdr:nvSpPr>
      <xdr:spPr>
        <a:xfrm rot="10800000">
          <a:off x="8138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238</xdr:row>
      <xdr:rowOff>0</xdr:rowOff>
    </xdr:from>
    <xdr:to>
      <xdr:col>5</xdr:col>
      <xdr:colOff>83820</xdr:colOff>
      <xdr:row>238</xdr:row>
      <xdr:rowOff>114300</xdr:rowOff>
    </xdr:to>
    <xdr:sp macro="" textlink="">
      <xdr:nvSpPr>
        <xdr:cNvPr id="1809" name="Arrow: Down 1808">
          <a:extLst>
            <a:ext uri="{FF2B5EF4-FFF2-40B4-BE49-F238E27FC236}">
              <a16:creationId xmlns:a16="http://schemas.microsoft.com/office/drawing/2014/main" id="{393B4726-6FCC-4E82-9403-8D9CF9BB57C8}"/>
            </a:ext>
          </a:extLst>
        </xdr:cNvPr>
        <xdr:cNvSpPr/>
      </xdr:nvSpPr>
      <xdr:spPr>
        <a:xfrm rot="10800000">
          <a:off x="19278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238</xdr:row>
      <xdr:rowOff>0</xdr:rowOff>
    </xdr:from>
    <xdr:to>
      <xdr:col>11</xdr:col>
      <xdr:colOff>83820</xdr:colOff>
      <xdr:row>238</xdr:row>
      <xdr:rowOff>114300</xdr:rowOff>
    </xdr:to>
    <xdr:sp macro="" textlink="">
      <xdr:nvSpPr>
        <xdr:cNvPr id="1811" name="Arrow: Down 1810">
          <a:extLst>
            <a:ext uri="{FF2B5EF4-FFF2-40B4-BE49-F238E27FC236}">
              <a16:creationId xmlns:a16="http://schemas.microsoft.com/office/drawing/2014/main" id="{69347B00-3624-467C-A35A-8DC9AAE1666C}"/>
            </a:ext>
          </a:extLst>
        </xdr:cNvPr>
        <xdr:cNvSpPr/>
      </xdr:nvSpPr>
      <xdr:spPr>
        <a:xfrm rot="10800000">
          <a:off x="361950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238</xdr:row>
      <xdr:rowOff>0</xdr:rowOff>
    </xdr:from>
    <xdr:to>
      <xdr:col>39</xdr:col>
      <xdr:colOff>83820</xdr:colOff>
      <xdr:row>238</xdr:row>
      <xdr:rowOff>114300</xdr:rowOff>
    </xdr:to>
    <xdr:sp macro="" textlink="">
      <xdr:nvSpPr>
        <xdr:cNvPr id="1812" name="Arrow: Down 1811">
          <a:extLst>
            <a:ext uri="{FF2B5EF4-FFF2-40B4-BE49-F238E27FC236}">
              <a16:creationId xmlns:a16="http://schemas.microsoft.com/office/drawing/2014/main" id="{231A3A8D-35C0-443E-A1BC-1D4E0DA5BE88}"/>
            </a:ext>
          </a:extLst>
        </xdr:cNvPr>
        <xdr:cNvSpPr/>
      </xdr:nvSpPr>
      <xdr:spPr>
        <a:xfrm>
          <a:off x="113004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238</xdr:row>
      <xdr:rowOff>0</xdr:rowOff>
    </xdr:from>
    <xdr:to>
      <xdr:col>60</xdr:col>
      <xdr:colOff>83820</xdr:colOff>
      <xdr:row>238</xdr:row>
      <xdr:rowOff>114300</xdr:rowOff>
    </xdr:to>
    <xdr:sp macro="" textlink="">
      <xdr:nvSpPr>
        <xdr:cNvPr id="1813" name="Arrow: Down 1812">
          <a:extLst>
            <a:ext uri="{FF2B5EF4-FFF2-40B4-BE49-F238E27FC236}">
              <a16:creationId xmlns:a16="http://schemas.microsoft.com/office/drawing/2014/main" id="{EC6772E5-FEDA-4327-814C-1ED5DC33A9DF}"/>
            </a:ext>
          </a:extLst>
        </xdr:cNvPr>
        <xdr:cNvSpPr/>
      </xdr:nvSpPr>
      <xdr:spPr>
        <a:xfrm rot="10800000">
          <a:off x="1842516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238</xdr:row>
      <xdr:rowOff>0</xdr:rowOff>
    </xdr:from>
    <xdr:to>
      <xdr:col>71</xdr:col>
      <xdr:colOff>83820</xdr:colOff>
      <xdr:row>238</xdr:row>
      <xdr:rowOff>114300</xdr:rowOff>
    </xdr:to>
    <xdr:sp macro="" textlink="">
      <xdr:nvSpPr>
        <xdr:cNvPr id="1814" name="Arrow: Down 1813">
          <a:extLst>
            <a:ext uri="{FF2B5EF4-FFF2-40B4-BE49-F238E27FC236}">
              <a16:creationId xmlns:a16="http://schemas.microsoft.com/office/drawing/2014/main" id="{39A432B1-7FA1-4607-86BF-696BAFA1AC82}"/>
            </a:ext>
          </a:extLst>
        </xdr:cNvPr>
        <xdr:cNvSpPr/>
      </xdr:nvSpPr>
      <xdr:spPr>
        <a:xfrm rot="10800000">
          <a:off x="20779740" y="4344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239</xdr:row>
      <xdr:rowOff>0</xdr:rowOff>
    </xdr:from>
    <xdr:to>
      <xdr:col>45</xdr:col>
      <xdr:colOff>83820</xdr:colOff>
      <xdr:row>239</xdr:row>
      <xdr:rowOff>114300</xdr:rowOff>
    </xdr:to>
    <xdr:sp macro="" textlink="">
      <xdr:nvSpPr>
        <xdr:cNvPr id="1815" name="Arrow: Down 1814">
          <a:extLst>
            <a:ext uri="{FF2B5EF4-FFF2-40B4-BE49-F238E27FC236}">
              <a16:creationId xmlns:a16="http://schemas.microsoft.com/office/drawing/2014/main" id="{86C42689-AC96-4818-9CB1-BF541F9C179F}"/>
            </a:ext>
          </a:extLst>
        </xdr:cNvPr>
        <xdr:cNvSpPr/>
      </xdr:nvSpPr>
      <xdr:spPr>
        <a:xfrm rot="10800000">
          <a:off x="11445240" y="43624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239</xdr:row>
      <xdr:rowOff>0</xdr:rowOff>
    </xdr:from>
    <xdr:to>
      <xdr:col>5</xdr:col>
      <xdr:colOff>83820</xdr:colOff>
      <xdr:row>239</xdr:row>
      <xdr:rowOff>114300</xdr:rowOff>
    </xdr:to>
    <xdr:sp macro="" textlink="">
      <xdr:nvSpPr>
        <xdr:cNvPr id="1817" name="Arrow: Down 1816">
          <a:extLst>
            <a:ext uri="{FF2B5EF4-FFF2-40B4-BE49-F238E27FC236}">
              <a16:creationId xmlns:a16="http://schemas.microsoft.com/office/drawing/2014/main" id="{57FEF373-929D-4356-B2A8-08CE03148716}"/>
            </a:ext>
          </a:extLst>
        </xdr:cNvPr>
        <xdr:cNvSpPr/>
      </xdr:nvSpPr>
      <xdr:spPr>
        <a:xfrm rot="10800000">
          <a:off x="192786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239</xdr:row>
      <xdr:rowOff>0</xdr:rowOff>
    </xdr:from>
    <xdr:to>
      <xdr:col>11</xdr:col>
      <xdr:colOff>83820</xdr:colOff>
      <xdr:row>239</xdr:row>
      <xdr:rowOff>114300</xdr:rowOff>
    </xdr:to>
    <xdr:sp macro="" textlink="">
      <xdr:nvSpPr>
        <xdr:cNvPr id="1818" name="Arrow: Down 1817">
          <a:extLst>
            <a:ext uri="{FF2B5EF4-FFF2-40B4-BE49-F238E27FC236}">
              <a16:creationId xmlns:a16="http://schemas.microsoft.com/office/drawing/2014/main" id="{86B164B2-CBE8-4F35-82CA-0486B4ED7E5C}"/>
            </a:ext>
          </a:extLst>
        </xdr:cNvPr>
        <xdr:cNvSpPr/>
      </xdr:nvSpPr>
      <xdr:spPr>
        <a:xfrm rot="10800000">
          <a:off x="36195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239</xdr:row>
      <xdr:rowOff>0</xdr:rowOff>
    </xdr:from>
    <xdr:to>
      <xdr:col>39</xdr:col>
      <xdr:colOff>83820</xdr:colOff>
      <xdr:row>239</xdr:row>
      <xdr:rowOff>114300</xdr:rowOff>
    </xdr:to>
    <xdr:sp macro="" textlink="">
      <xdr:nvSpPr>
        <xdr:cNvPr id="1823" name="Arrow: Down 1822">
          <a:extLst>
            <a:ext uri="{FF2B5EF4-FFF2-40B4-BE49-F238E27FC236}">
              <a16:creationId xmlns:a16="http://schemas.microsoft.com/office/drawing/2014/main" id="{95C5F6A1-010B-4AD1-8C31-1ED46A5C9147}"/>
            </a:ext>
          </a:extLst>
        </xdr:cNvPr>
        <xdr:cNvSpPr/>
      </xdr:nvSpPr>
      <xdr:spPr>
        <a:xfrm>
          <a:off x="963930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239</xdr:row>
      <xdr:rowOff>0</xdr:rowOff>
    </xdr:from>
    <xdr:to>
      <xdr:col>71</xdr:col>
      <xdr:colOff>83820</xdr:colOff>
      <xdr:row>239</xdr:row>
      <xdr:rowOff>114300</xdr:rowOff>
    </xdr:to>
    <xdr:sp macro="" textlink="">
      <xdr:nvSpPr>
        <xdr:cNvPr id="1825" name="Arrow: Down 1824">
          <a:extLst>
            <a:ext uri="{FF2B5EF4-FFF2-40B4-BE49-F238E27FC236}">
              <a16:creationId xmlns:a16="http://schemas.microsoft.com/office/drawing/2014/main" id="{394F53AF-B657-4E06-94AD-CBD96640448B}"/>
            </a:ext>
          </a:extLst>
        </xdr:cNvPr>
        <xdr:cNvSpPr/>
      </xdr:nvSpPr>
      <xdr:spPr>
        <a:xfrm rot="10800000">
          <a:off x="19118580" y="4362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239</xdr:row>
      <xdr:rowOff>0</xdr:rowOff>
    </xdr:from>
    <xdr:to>
      <xdr:col>24</xdr:col>
      <xdr:colOff>83820</xdr:colOff>
      <xdr:row>239</xdr:row>
      <xdr:rowOff>114300</xdr:rowOff>
    </xdr:to>
    <xdr:sp macro="" textlink="">
      <xdr:nvSpPr>
        <xdr:cNvPr id="1828" name="Arrow: Down 1827">
          <a:extLst>
            <a:ext uri="{FF2B5EF4-FFF2-40B4-BE49-F238E27FC236}">
              <a16:creationId xmlns:a16="http://schemas.microsoft.com/office/drawing/2014/main" id="{7BE00020-9472-4643-BFD3-670092BAEB93}"/>
            </a:ext>
          </a:extLst>
        </xdr:cNvPr>
        <xdr:cNvSpPr/>
      </xdr:nvSpPr>
      <xdr:spPr>
        <a:xfrm>
          <a:off x="6477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239</xdr:row>
      <xdr:rowOff>0</xdr:rowOff>
    </xdr:from>
    <xdr:to>
      <xdr:col>60</xdr:col>
      <xdr:colOff>83820</xdr:colOff>
      <xdr:row>239</xdr:row>
      <xdr:rowOff>114300</xdr:rowOff>
    </xdr:to>
    <xdr:sp macro="" textlink="">
      <xdr:nvSpPr>
        <xdr:cNvPr id="1830" name="Arrow: Down 1829">
          <a:extLst>
            <a:ext uri="{FF2B5EF4-FFF2-40B4-BE49-F238E27FC236}">
              <a16:creationId xmlns:a16="http://schemas.microsoft.com/office/drawing/2014/main" id="{F49A3C71-976D-471A-87DD-18810D81F572}"/>
            </a:ext>
          </a:extLst>
        </xdr:cNvPr>
        <xdr:cNvSpPr/>
      </xdr:nvSpPr>
      <xdr:spPr>
        <a:xfrm>
          <a:off x="16764000" y="4380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240</xdr:row>
      <xdr:rowOff>0</xdr:rowOff>
    </xdr:from>
    <xdr:to>
      <xdr:col>5</xdr:col>
      <xdr:colOff>83820</xdr:colOff>
      <xdr:row>240</xdr:row>
      <xdr:rowOff>114300</xdr:rowOff>
    </xdr:to>
    <xdr:sp macro="" textlink="">
      <xdr:nvSpPr>
        <xdr:cNvPr id="1762" name="Arrow: Down 1761">
          <a:extLst>
            <a:ext uri="{FF2B5EF4-FFF2-40B4-BE49-F238E27FC236}">
              <a16:creationId xmlns:a16="http://schemas.microsoft.com/office/drawing/2014/main" id="{BD4DCB3E-F600-40D6-B81C-3051C690C6E5}"/>
            </a:ext>
          </a:extLst>
        </xdr:cNvPr>
        <xdr:cNvSpPr/>
      </xdr:nvSpPr>
      <xdr:spPr>
        <a:xfrm rot="10800000">
          <a:off x="192786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240</xdr:row>
      <xdr:rowOff>0</xdr:rowOff>
    </xdr:from>
    <xdr:to>
      <xdr:col>11</xdr:col>
      <xdr:colOff>83820</xdr:colOff>
      <xdr:row>240</xdr:row>
      <xdr:rowOff>114300</xdr:rowOff>
    </xdr:to>
    <xdr:sp macro="" textlink="">
      <xdr:nvSpPr>
        <xdr:cNvPr id="1767" name="Arrow: Down 1766">
          <a:extLst>
            <a:ext uri="{FF2B5EF4-FFF2-40B4-BE49-F238E27FC236}">
              <a16:creationId xmlns:a16="http://schemas.microsoft.com/office/drawing/2014/main" id="{9FA7E2CA-90C7-436C-B753-3C6DD0078165}"/>
            </a:ext>
          </a:extLst>
        </xdr:cNvPr>
        <xdr:cNvSpPr/>
      </xdr:nvSpPr>
      <xdr:spPr>
        <a:xfrm rot="10800000">
          <a:off x="361950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240</xdr:row>
      <xdr:rowOff>0</xdr:rowOff>
    </xdr:from>
    <xdr:to>
      <xdr:col>71</xdr:col>
      <xdr:colOff>83820</xdr:colOff>
      <xdr:row>240</xdr:row>
      <xdr:rowOff>114300</xdr:rowOff>
    </xdr:to>
    <xdr:sp macro="" textlink="">
      <xdr:nvSpPr>
        <xdr:cNvPr id="1792" name="Arrow: Down 1791">
          <a:extLst>
            <a:ext uri="{FF2B5EF4-FFF2-40B4-BE49-F238E27FC236}">
              <a16:creationId xmlns:a16="http://schemas.microsoft.com/office/drawing/2014/main" id="{EB39FFCE-726D-46BE-AC8D-BB6E66984716}"/>
            </a:ext>
          </a:extLst>
        </xdr:cNvPr>
        <xdr:cNvSpPr/>
      </xdr:nvSpPr>
      <xdr:spPr>
        <a:xfrm rot="10800000">
          <a:off x="19118580" y="4380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240</xdr:row>
      <xdr:rowOff>0</xdr:rowOff>
    </xdr:from>
    <xdr:to>
      <xdr:col>24</xdr:col>
      <xdr:colOff>83820</xdr:colOff>
      <xdr:row>240</xdr:row>
      <xdr:rowOff>114300</xdr:rowOff>
    </xdr:to>
    <xdr:sp macro="" textlink="">
      <xdr:nvSpPr>
        <xdr:cNvPr id="1798" name="Arrow: Down 1797">
          <a:extLst>
            <a:ext uri="{FF2B5EF4-FFF2-40B4-BE49-F238E27FC236}">
              <a16:creationId xmlns:a16="http://schemas.microsoft.com/office/drawing/2014/main" id="{75C3C601-E228-4A68-9FDF-DE3F214BB31C}"/>
            </a:ext>
          </a:extLst>
        </xdr:cNvPr>
        <xdr:cNvSpPr/>
      </xdr:nvSpPr>
      <xdr:spPr>
        <a:xfrm rot="10800000">
          <a:off x="6477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240</xdr:row>
      <xdr:rowOff>0</xdr:rowOff>
    </xdr:from>
    <xdr:to>
      <xdr:col>60</xdr:col>
      <xdr:colOff>83820</xdr:colOff>
      <xdr:row>240</xdr:row>
      <xdr:rowOff>114300</xdr:rowOff>
    </xdr:to>
    <xdr:sp macro="" textlink="">
      <xdr:nvSpPr>
        <xdr:cNvPr id="1816" name="Arrow: Down 1815">
          <a:extLst>
            <a:ext uri="{FF2B5EF4-FFF2-40B4-BE49-F238E27FC236}">
              <a16:creationId xmlns:a16="http://schemas.microsoft.com/office/drawing/2014/main" id="{1FF30F71-4200-4D45-91F4-CC310EDCEBB4}"/>
            </a:ext>
          </a:extLst>
        </xdr:cNvPr>
        <xdr:cNvSpPr/>
      </xdr:nvSpPr>
      <xdr:spPr>
        <a:xfrm rot="10800000">
          <a:off x="167640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240</xdr:row>
      <xdr:rowOff>0</xdr:rowOff>
    </xdr:from>
    <xdr:to>
      <xdr:col>39</xdr:col>
      <xdr:colOff>83820</xdr:colOff>
      <xdr:row>240</xdr:row>
      <xdr:rowOff>114300</xdr:rowOff>
    </xdr:to>
    <xdr:sp macro="" textlink="">
      <xdr:nvSpPr>
        <xdr:cNvPr id="1824" name="Arrow: Down 1823">
          <a:extLst>
            <a:ext uri="{FF2B5EF4-FFF2-40B4-BE49-F238E27FC236}">
              <a16:creationId xmlns:a16="http://schemas.microsoft.com/office/drawing/2014/main" id="{6415636D-CA74-421D-9B0B-E8163C7E70DE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240</xdr:row>
      <xdr:rowOff>0</xdr:rowOff>
    </xdr:from>
    <xdr:to>
      <xdr:col>45</xdr:col>
      <xdr:colOff>83820</xdr:colOff>
      <xdr:row>240</xdr:row>
      <xdr:rowOff>114300</xdr:rowOff>
    </xdr:to>
    <xdr:sp macro="" textlink="">
      <xdr:nvSpPr>
        <xdr:cNvPr id="1831" name="Arrow: Down 1830">
          <a:extLst>
            <a:ext uri="{FF2B5EF4-FFF2-40B4-BE49-F238E27FC236}">
              <a16:creationId xmlns:a16="http://schemas.microsoft.com/office/drawing/2014/main" id="{65F68B06-24DE-4ADD-B9A5-3CABF64E8581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241</xdr:row>
      <xdr:rowOff>0</xdr:rowOff>
    </xdr:from>
    <xdr:to>
      <xdr:col>39</xdr:col>
      <xdr:colOff>83820</xdr:colOff>
      <xdr:row>241</xdr:row>
      <xdr:rowOff>114300</xdr:rowOff>
    </xdr:to>
    <xdr:sp macro="" textlink="">
      <xdr:nvSpPr>
        <xdr:cNvPr id="1837" name="Arrow: Down 1836">
          <a:extLst>
            <a:ext uri="{FF2B5EF4-FFF2-40B4-BE49-F238E27FC236}">
              <a16:creationId xmlns:a16="http://schemas.microsoft.com/office/drawing/2014/main" id="{F78E218F-1588-4506-B991-547B492DC65C}"/>
            </a:ext>
          </a:extLst>
        </xdr:cNvPr>
        <xdr:cNvSpPr/>
      </xdr:nvSpPr>
      <xdr:spPr>
        <a:xfrm>
          <a:off x="963930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241</xdr:row>
      <xdr:rowOff>0</xdr:rowOff>
    </xdr:from>
    <xdr:to>
      <xdr:col>45</xdr:col>
      <xdr:colOff>83820</xdr:colOff>
      <xdr:row>241</xdr:row>
      <xdr:rowOff>114300</xdr:rowOff>
    </xdr:to>
    <xdr:sp macro="" textlink="">
      <xdr:nvSpPr>
        <xdr:cNvPr id="1838" name="Arrow: Down 1837">
          <a:extLst>
            <a:ext uri="{FF2B5EF4-FFF2-40B4-BE49-F238E27FC236}">
              <a16:creationId xmlns:a16="http://schemas.microsoft.com/office/drawing/2014/main" id="{572510B5-337B-449B-BEF4-1D305D5D9485}"/>
            </a:ext>
          </a:extLst>
        </xdr:cNvPr>
        <xdr:cNvSpPr/>
      </xdr:nvSpPr>
      <xdr:spPr>
        <a:xfrm>
          <a:off x="11445240" y="43990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241</xdr:row>
      <xdr:rowOff>0</xdr:rowOff>
    </xdr:from>
    <xdr:to>
      <xdr:col>5</xdr:col>
      <xdr:colOff>83820</xdr:colOff>
      <xdr:row>241</xdr:row>
      <xdr:rowOff>114300</xdr:rowOff>
    </xdr:to>
    <xdr:sp macro="" textlink="">
      <xdr:nvSpPr>
        <xdr:cNvPr id="1839" name="Arrow: Down 1838">
          <a:extLst>
            <a:ext uri="{FF2B5EF4-FFF2-40B4-BE49-F238E27FC236}">
              <a16:creationId xmlns:a16="http://schemas.microsoft.com/office/drawing/2014/main" id="{4F1F5338-F6A9-423F-A32E-A431104C6ED9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241</xdr:row>
      <xdr:rowOff>0</xdr:rowOff>
    </xdr:from>
    <xdr:to>
      <xdr:col>11</xdr:col>
      <xdr:colOff>83820</xdr:colOff>
      <xdr:row>241</xdr:row>
      <xdr:rowOff>114300</xdr:rowOff>
    </xdr:to>
    <xdr:sp macro="" textlink="">
      <xdr:nvSpPr>
        <xdr:cNvPr id="1840" name="Arrow: Down 1839">
          <a:extLst>
            <a:ext uri="{FF2B5EF4-FFF2-40B4-BE49-F238E27FC236}">
              <a16:creationId xmlns:a16="http://schemas.microsoft.com/office/drawing/2014/main" id="{12016E84-32D6-4998-AD4B-20A09DFDC2A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241</xdr:row>
      <xdr:rowOff>0</xdr:rowOff>
    </xdr:from>
    <xdr:to>
      <xdr:col>24</xdr:col>
      <xdr:colOff>83820</xdr:colOff>
      <xdr:row>241</xdr:row>
      <xdr:rowOff>114300</xdr:rowOff>
    </xdr:to>
    <xdr:sp macro="" textlink="">
      <xdr:nvSpPr>
        <xdr:cNvPr id="1842" name="Arrow: Down 1841">
          <a:extLst>
            <a:ext uri="{FF2B5EF4-FFF2-40B4-BE49-F238E27FC236}">
              <a16:creationId xmlns:a16="http://schemas.microsoft.com/office/drawing/2014/main" id="{87F85826-2044-4A37-998F-30B8E0903418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241</xdr:row>
      <xdr:rowOff>0</xdr:rowOff>
    </xdr:from>
    <xdr:to>
      <xdr:col>60</xdr:col>
      <xdr:colOff>83820</xdr:colOff>
      <xdr:row>241</xdr:row>
      <xdr:rowOff>114300</xdr:rowOff>
    </xdr:to>
    <xdr:sp macro="" textlink="">
      <xdr:nvSpPr>
        <xdr:cNvPr id="1843" name="Arrow: Down 1842">
          <a:extLst>
            <a:ext uri="{FF2B5EF4-FFF2-40B4-BE49-F238E27FC236}">
              <a16:creationId xmlns:a16="http://schemas.microsoft.com/office/drawing/2014/main" id="{F503AA27-C619-4966-98B0-FFF957CE1EE0}"/>
            </a:ext>
          </a:extLst>
        </xdr:cNvPr>
        <xdr:cNvSpPr/>
      </xdr:nvSpPr>
      <xdr:spPr>
        <a:xfrm>
          <a:off x="16840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241</xdr:row>
      <xdr:rowOff>0</xdr:rowOff>
    </xdr:from>
    <xdr:to>
      <xdr:col>71</xdr:col>
      <xdr:colOff>83820</xdr:colOff>
      <xdr:row>241</xdr:row>
      <xdr:rowOff>114300</xdr:rowOff>
    </xdr:to>
    <xdr:sp macro="" textlink="">
      <xdr:nvSpPr>
        <xdr:cNvPr id="1844" name="Arrow: Down 1843">
          <a:extLst>
            <a:ext uri="{FF2B5EF4-FFF2-40B4-BE49-F238E27FC236}">
              <a16:creationId xmlns:a16="http://schemas.microsoft.com/office/drawing/2014/main" id="{D7350C0F-F3BB-492F-8ABC-0CFA145819AC}"/>
            </a:ext>
          </a:extLst>
        </xdr:cNvPr>
        <xdr:cNvSpPr/>
      </xdr:nvSpPr>
      <xdr:spPr>
        <a:xfrm>
          <a:off x="1919478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242</xdr:row>
      <xdr:rowOff>0</xdr:rowOff>
    </xdr:from>
    <xdr:to>
      <xdr:col>39</xdr:col>
      <xdr:colOff>83820</xdr:colOff>
      <xdr:row>242</xdr:row>
      <xdr:rowOff>114300</xdr:rowOff>
    </xdr:to>
    <xdr:sp macro="" textlink="">
      <xdr:nvSpPr>
        <xdr:cNvPr id="1847" name="Arrow: Down 1846">
          <a:extLst>
            <a:ext uri="{FF2B5EF4-FFF2-40B4-BE49-F238E27FC236}">
              <a16:creationId xmlns:a16="http://schemas.microsoft.com/office/drawing/2014/main" id="{1CBE982F-F787-4E10-8822-7C979D94F5D1}"/>
            </a:ext>
          </a:extLst>
        </xdr:cNvPr>
        <xdr:cNvSpPr/>
      </xdr:nvSpPr>
      <xdr:spPr>
        <a:xfrm>
          <a:off x="971550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242</xdr:row>
      <xdr:rowOff>0</xdr:rowOff>
    </xdr:from>
    <xdr:to>
      <xdr:col>45</xdr:col>
      <xdr:colOff>83820</xdr:colOff>
      <xdr:row>242</xdr:row>
      <xdr:rowOff>114300</xdr:rowOff>
    </xdr:to>
    <xdr:sp macro="" textlink="">
      <xdr:nvSpPr>
        <xdr:cNvPr id="1848" name="Arrow: Down 1847">
          <a:extLst>
            <a:ext uri="{FF2B5EF4-FFF2-40B4-BE49-F238E27FC236}">
              <a16:creationId xmlns:a16="http://schemas.microsoft.com/office/drawing/2014/main" id="{D6485ED3-D607-4E93-BD87-8F99DEC1D403}"/>
            </a:ext>
          </a:extLst>
        </xdr:cNvPr>
        <xdr:cNvSpPr/>
      </xdr:nvSpPr>
      <xdr:spPr>
        <a:xfrm>
          <a:off x="11521440" y="44173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242</xdr:row>
      <xdr:rowOff>0</xdr:rowOff>
    </xdr:from>
    <xdr:to>
      <xdr:col>5</xdr:col>
      <xdr:colOff>83820</xdr:colOff>
      <xdr:row>242</xdr:row>
      <xdr:rowOff>114300</xdr:rowOff>
    </xdr:to>
    <xdr:sp macro="" textlink="">
      <xdr:nvSpPr>
        <xdr:cNvPr id="1849" name="Arrow: Down 1848">
          <a:extLst>
            <a:ext uri="{FF2B5EF4-FFF2-40B4-BE49-F238E27FC236}">
              <a16:creationId xmlns:a16="http://schemas.microsoft.com/office/drawing/2014/main" id="{097247E4-BC53-46D6-8A80-C6FEAC64046E}"/>
            </a:ext>
          </a:extLst>
        </xdr:cNvPr>
        <xdr:cNvSpPr/>
      </xdr:nvSpPr>
      <xdr:spPr>
        <a:xfrm>
          <a:off x="192786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242</xdr:row>
      <xdr:rowOff>0</xdr:rowOff>
    </xdr:from>
    <xdr:to>
      <xdr:col>11</xdr:col>
      <xdr:colOff>83820</xdr:colOff>
      <xdr:row>242</xdr:row>
      <xdr:rowOff>114300</xdr:rowOff>
    </xdr:to>
    <xdr:sp macro="" textlink="">
      <xdr:nvSpPr>
        <xdr:cNvPr id="1850" name="Arrow: Down 1849">
          <a:extLst>
            <a:ext uri="{FF2B5EF4-FFF2-40B4-BE49-F238E27FC236}">
              <a16:creationId xmlns:a16="http://schemas.microsoft.com/office/drawing/2014/main" id="{16A8183D-5CD7-4203-AF2A-1E3298C35C8D}"/>
            </a:ext>
          </a:extLst>
        </xdr:cNvPr>
        <xdr:cNvSpPr/>
      </xdr:nvSpPr>
      <xdr:spPr>
        <a:xfrm>
          <a:off x="36957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242</xdr:row>
      <xdr:rowOff>0</xdr:rowOff>
    </xdr:from>
    <xdr:to>
      <xdr:col>24</xdr:col>
      <xdr:colOff>83820</xdr:colOff>
      <xdr:row>242</xdr:row>
      <xdr:rowOff>114300</xdr:rowOff>
    </xdr:to>
    <xdr:sp macro="" textlink="">
      <xdr:nvSpPr>
        <xdr:cNvPr id="1851" name="Arrow: Down 1850">
          <a:extLst>
            <a:ext uri="{FF2B5EF4-FFF2-40B4-BE49-F238E27FC236}">
              <a16:creationId xmlns:a16="http://schemas.microsoft.com/office/drawing/2014/main" id="{8C6912A5-7ECD-45F0-A4D4-ABBA58E5A046}"/>
            </a:ext>
          </a:extLst>
        </xdr:cNvPr>
        <xdr:cNvSpPr/>
      </xdr:nvSpPr>
      <xdr:spPr>
        <a:xfrm>
          <a:off x="6553200" y="4417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242</xdr:row>
      <xdr:rowOff>0</xdr:rowOff>
    </xdr:from>
    <xdr:to>
      <xdr:col>60</xdr:col>
      <xdr:colOff>83820</xdr:colOff>
      <xdr:row>242</xdr:row>
      <xdr:rowOff>114300</xdr:rowOff>
    </xdr:to>
    <xdr:sp macro="" textlink="">
      <xdr:nvSpPr>
        <xdr:cNvPr id="1854" name="Arrow: Down 1853">
          <a:extLst>
            <a:ext uri="{FF2B5EF4-FFF2-40B4-BE49-F238E27FC236}">
              <a16:creationId xmlns:a16="http://schemas.microsoft.com/office/drawing/2014/main" id="{ACD682A0-18DE-4D41-A1C8-FE4D9667E0FA}"/>
            </a:ext>
          </a:extLst>
        </xdr:cNvPr>
        <xdr:cNvSpPr/>
      </xdr:nvSpPr>
      <xdr:spPr>
        <a:xfrm rot="10800000">
          <a:off x="1684020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242</xdr:row>
      <xdr:rowOff>0</xdr:rowOff>
    </xdr:from>
    <xdr:to>
      <xdr:col>71</xdr:col>
      <xdr:colOff>83820</xdr:colOff>
      <xdr:row>242</xdr:row>
      <xdr:rowOff>114300</xdr:rowOff>
    </xdr:to>
    <xdr:sp macro="" textlink="">
      <xdr:nvSpPr>
        <xdr:cNvPr id="1856" name="Arrow: Down 1855">
          <a:extLst>
            <a:ext uri="{FF2B5EF4-FFF2-40B4-BE49-F238E27FC236}">
              <a16:creationId xmlns:a16="http://schemas.microsoft.com/office/drawing/2014/main" id="{4E682D0C-043B-4F0A-9FA8-424EE67E8807}"/>
            </a:ext>
          </a:extLst>
        </xdr:cNvPr>
        <xdr:cNvSpPr/>
      </xdr:nvSpPr>
      <xdr:spPr>
        <a:xfrm rot="10800000">
          <a:off x="2086356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243</xdr:row>
      <xdr:rowOff>0</xdr:rowOff>
    </xdr:from>
    <xdr:to>
      <xdr:col>45</xdr:col>
      <xdr:colOff>83820</xdr:colOff>
      <xdr:row>243</xdr:row>
      <xdr:rowOff>114300</xdr:rowOff>
    </xdr:to>
    <xdr:sp macro="" textlink="">
      <xdr:nvSpPr>
        <xdr:cNvPr id="1794" name="Arrow: Down 1793">
          <a:extLst>
            <a:ext uri="{FF2B5EF4-FFF2-40B4-BE49-F238E27FC236}">
              <a16:creationId xmlns:a16="http://schemas.microsoft.com/office/drawing/2014/main" id="{3CBE3DC0-DB94-4207-A932-63B66B3E9F1D}"/>
            </a:ext>
          </a:extLst>
        </xdr:cNvPr>
        <xdr:cNvSpPr/>
      </xdr:nvSpPr>
      <xdr:spPr>
        <a:xfrm>
          <a:off x="11521440" y="44356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243</xdr:row>
      <xdr:rowOff>0</xdr:rowOff>
    </xdr:from>
    <xdr:to>
      <xdr:col>5</xdr:col>
      <xdr:colOff>83820</xdr:colOff>
      <xdr:row>243</xdr:row>
      <xdr:rowOff>114300</xdr:rowOff>
    </xdr:to>
    <xdr:sp macro="" textlink="">
      <xdr:nvSpPr>
        <xdr:cNvPr id="1836" name="Arrow: Down 1835">
          <a:extLst>
            <a:ext uri="{FF2B5EF4-FFF2-40B4-BE49-F238E27FC236}">
              <a16:creationId xmlns:a16="http://schemas.microsoft.com/office/drawing/2014/main" id="{FB76DCEA-EA24-4E39-9555-E6B9151B54D6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243</xdr:row>
      <xdr:rowOff>0</xdr:rowOff>
    </xdr:from>
    <xdr:to>
      <xdr:col>11</xdr:col>
      <xdr:colOff>83820</xdr:colOff>
      <xdr:row>243</xdr:row>
      <xdr:rowOff>114300</xdr:rowOff>
    </xdr:to>
    <xdr:sp macro="" textlink="">
      <xdr:nvSpPr>
        <xdr:cNvPr id="1841" name="Arrow: Down 1840">
          <a:extLst>
            <a:ext uri="{FF2B5EF4-FFF2-40B4-BE49-F238E27FC236}">
              <a16:creationId xmlns:a16="http://schemas.microsoft.com/office/drawing/2014/main" id="{9662E5FD-5FDD-4BB9-ACC7-92395BC6B2BE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243</xdr:row>
      <xdr:rowOff>0</xdr:rowOff>
    </xdr:from>
    <xdr:to>
      <xdr:col>24</xdr:col>
      <xdr:colOff>83820</xdr:colOff>
      <xdr:row>243</xdr:row>
      <xdr:rowOff>114300</xdr:rowOff>
    </xdr:to>
    <xdr:sp macro="" textlink="">
      <xdr:nvSpPr>
        <xdr:cNvPr id="1845" name="Arrow: Down 1844">
          <a:extLst>
            <a:ext uri="{FF2B5EF4-FFF2-40B4-BE49-F238E27FC236}">
              <a16:creationId xmlns:a16="http://schemas.microsoft.com/office/drawing/2014/main" id="{0708A1CF-1194-4251-8E60-E329FFE2FE24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243</xdr:row>
      <xdr:rowOff>0</xdr:rowOff>
    </xdr:from>
    <xdr:to>
      <xdr:col>39</xdr:col>
      <xdr:colOff>83820</xdr:colOff>
      <xdr:row>243</xdr:row>
      <xdr:rowOff>114300</xdr:rowOff>
    </xdr:to>
    <xdr:sp macro="" textlink="">
      <xdr:nvSpPr>
        <xdr:cNvPr id="1852" name="Arrow: Down 1851">
          <a:extLst>
            <a:ext uri="{FF2B5EF4-FFF2-40B4-BE49-F238E27FC236}">
              <a16:creationId xmlns:a16="http://schemas.microsoft.com/office/drawing/2014/main" id="{21A5F523-2069-4CAC-A116-4F9499A4A61B}"/>
            </a:ext>
          </a:extLst>
        </xdr:cNvPr>
        <xdr:cNvSpPr/>
      </xdr:nvSpPr>
      <xdr:spPr>
        <a:xfrm rot="10800000">
          <a:off x="97155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243</xdr:row>
      <xdr:rowOff>0</xdr:rowOff>
    </xdr:from>
    <xdr:to>
      <xdr:col>60</xdr:col>
      <xdr:colOff>83820</xdr:colOff>
      <xdr:row>243</xdr:row>
      <xdr:rowOff>114300</xdr:rowOff>
    </xdr:to>
    <xdr:sp macro="" textlink="">
      <xdr:nvSpPr>
        <xdr:cNvPr id="1853" name="Arrow: Down 1852">
          <a:extLst>
            <a:ext uri="{FF2B5EF4-FFF2-40B4-BE49-F238E27FC236}">
              <a16:creationId xmlns:a16="http://schemas.microsoft.com/office/drawing/2014/main" id="{3D0A40C0-D88B-496B-89C2-6B801C3FB94E}"/>
            </a:ext>
          </a:extLst>
        </xdr:cNvPr>
        <xdr:cNvSpPr/>
      </xdr:nvSpPr>
      <xdr:spPr>
        <a:xfrm>
          <a:off x="1684020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243</xdr:row>
      <xdr:rowOff>0</xdr:rowOff>
    </xdr:from>
    <xdr:to>
      <xdr:col>71</xdr:col>
      <xdr:colOff>83820</xdr:colOff>
      <xdr:row>243</xdr:row>
      <xdr:rowOff>114300</xdr:rowOff>
    </xdr:to>
    <xdr:sp macro="" textlink="">
      <xdr:nvSpPr>
        <xdr:cNvPr id="1855" name="Arrow: Down 1854">
          <a:extLst>
            <a:ext uri="{FF2B5EF4-FFF2-40B4-BE49-F238E27FC236}">
              <a16:creationId xmlns:a16="http://schemas.microsoft.com/office/drawing/2014/main" id="{CD9703EB-EDC9-49D9-8B3D-25ECE670C01E}"/>
            </a:ext>
          </a:extLst>
        </xdr:cNvPr>
        <xdr:cNvSpPr/>
      </xdr:nvSpPr>
      <xdr:spPr>
        <a:xfrm>
          <a:off x="19194780" y="44538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244</xdr:row>
      <xdr:rowOff>0</xdr:rowOff>
    </xdr:from>
    <xdr:to>
      <xdr:col>45</xdr:col>
      <xdr:colOff>83820</xdr:colOff>
      <xdr:row>244</xdr:row>
      <xdr:rowOff>114300</xdr:rowOff>
    </xdr:to>
    <xdr:sp macro="" textlink="">
      <xdr:nvSpPr>
        <xdr:cNvPr id="1790" name="Arrow: Down 1789">
          <a:extLst>
            <a:ext uri="{FF2B5EF4-FFF2-40B4-BE49-F238E27FC236}">
              <a16:creationId xmlns:a16="http://schemas.microsoft.com/office/drawing/2014/main" id="{C0A2498E-A063-423B-932B-6754FDB3EED0}"/>
            </a:ext>
          </a:extLst>
        </xdr:cNvPr>
        <xdr:cNvSpPr/>
      </xdr:nvSpPr>
      <xdr:spPr>
        <a:xfrm>
          <a:off x="1152144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244</xdr:row>
      <xdr:rowOff>0</xdr:rowOff>
    </xdr:from>
    <xdr:to>
      <xdr:col>5</xdr:col>
      <xdr:colOff>83820</xdr:colOff>
      <xdr:row>244</xdr:row>
      <xdr:rowOff>114300</xdr:rowOff>
    </xdr:to>
    <xdr:sp macro="" textlink="">
      <xdr:nvSpPr>
        <xdr:cNvPr id="1797" name="Arrow: Down 1796">
          <a:extLst>
            <a:ext uri="{FF2B5EF4-FFF2-40B4-BE49-F238E27FC236}">
              <a16:creationId xmlns:a16="http://schemas.microsoft.com/office/drawing/2014/main" id="{1A1C6A54-174C-4DF0-8FA3-5D1AE9B7A368}"/>
            </a:ext>
          </a:extLst>
        </xdr:cNvPr>
        <xdr:cNvSpPr/>
      </xdr:nvSpPr>
      <xdr:spPr>
        <a:xfrm rot="10800000">
          <a:off x="192786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244</xdr:row>
      <xdr:rowOff>0</xdr:rowOff>
    </xdr:from>
    <xdr:to>
      <xdr:col>11</xdr:col>
      <xdr:colOff>83820</xdr:colOff>
      <xdr:row>244</xdr:row>
      <xdr:rowOff>114300</xdr:rowOff>
    </xdr:to>
    <xdr:sp macro="" textlink="">
      <xdr:nvSpPr>
        <xdr:cNvPr id="1799" name="Arrow: Down 1798">
          <a:extLst>
            <a:ext uri="{FF2B5EF4-FFF2-40B4-BE49-F238E27FC236}">
              <a16:creationId xmlns:a16="http://schemas.microsoft.com/office/drawing/2014/main" id="{36494D2D-E098-4A30-964E-95AC022214AB}"/>
            </a:ext>
          </a:extLst>
        </xdr:cNvPr>
        <xdr:cNvSpPr/>
      </xdr:nvSpPr>
      <xdr:spPr>
        <a:xfrm rot="10800000">
          <a:off x="36957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244</xdr:row>
      <xdr:rowOff>0</xdr:rowOff>
    </xdr:from>
    <xdr:to>
      <xdr:col>24</xdr:col>
      <xdr:colOff>83820</xdr:colOff>
      <xdr:row>244</xdr:row>
      <xdr:rowOff>114300</xdr:rowOff>
    </xdr:to>
    <xdr:sp macro="" textlink="">
      <xdr:nvSpPr>
        <xdr:cNvPr id="1832" name="Arrow: Down 1831">
          <a:extLst>
            <a:ext uri="{FF2B5EF4-FFF2-40B4-BE49-F238E27FC236}">
              <a16:creationId xmlns:a16="http://schemas.microsoft.com/office/drawing/2014/main" id="{732AF896-1358-406B-8D3C-280B2BB597F2}"/>
            </a:ext>
          </a:extLst>
        </xdr:cNvPr>
        <xdr:cNvSpPr/>
      </xdr:nvSpPr>
      <xdr:spPr>
        <a:xfrm rot="10800000">
          <a:off x="6553200" y="44538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244</xdr:row>
      <xdr:rowOff>0</xdr:rowOff>
    </xdr:from>
    <xdr:to>
      <xdr:col>39</xdr:col>
      <xdr:colOff>83820</xdr:colOff>
      <xdr:row>244</xdr:row>
      <xdr:rowOff>114300</xdr:rowOff>
    </xdr:to>
    <xdr:sp macro="" textlink="">
      <xdr:nvSpPr>
        <xdr:cNvPr id="1857" name="Arrow: Down 1856">
          <a:extLst>
            <a:ext uri="{FF2B5EF4-FFF2-40B4-BE49-F238E27FC236}">
              <a16:creationId xmlns:a16="http://schemas.microsoft.com/office/drawing/2014/main" id="{0C422F86-A415-4AD8-B72C-70DEC16551A6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244</xdr:row>
      <xdr:rowOff>0</xdr:rowOff>
    </xdr:from>
    <xdr:to>
      <xdr:col>71</xdr:col>
      <xdr:colOff>83820</xdr:colOff>
      <xdr:row>244</xdr:row>
      <xdr:rowOff>114300</xdr:rowOff>
    </xdr:to>
    <xdr:sp macro="" textlink="">
      <xdr:nvSpPr>
        <xdr:cNvPr id="1859" name="Arrow: Down 1858">
          <a:extLst>
            <a:ext uri="{FF2B5EF4-FFF2-40B4-BE49-F238E27FC236}">
              <a16:creationId xmlns:a16="http://schemas.microsoft.com/office/drawing/2014/main" id="{22ED1FE4-CD30-4129-9F4D-08238BD93179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244</xdr:row>
      <xdr:rowOff>0</xdr:rowOff>
    </xdr:from>
    <xdr:to>
      <xdr:col>60</xdr:col>
      <xdr:colOff>83820</xdr:colOff>
      <xdr:row>244</xdr:row>
      <xdr:rowOff>114300</xdr:rowOff>
    </xdr:to>
    <xdr:sp macro="" textlink="">
      <xdr:nvSpPr>
        <xdr:cNvPr id="1860" name="Arrow: Down 1859">
          <a:extLst>
            <a:ext uri="{FF2B5EF4-FFF2-40B4-BE49-F238E27FC236}">
              <a16:creationId xmlns:a16="http://schemas.microsoft.com/office/drawing/2014/main" id="{48A97788-CD51-4524-9123-9D5ED361D44E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245</xdr:row>
      <xdr:rowOff>0</xdr:rowOff>
    </xdr:from>
    <xdr:to>
      <xdr:col>45</xdr:col>
      <xdr:colOff>83820</xdr:colOff>
      <xdr:row>245</xdr:row>
      <xdr:rowOff>114300</xdr:rowOff>
    </xdr:to>
    <xdr:sp macro="" textlink="">
      <xdr:nvSpPr>
        <xdr:cNvPr id="1868" name="Arrow: Down 1867">
          <a:extLst>
            <a:ext uri="{FF2B5EF4-FFF2-40B4-BE49-F238E27FC236}">
              <a16:creationId xmlns:a16="http://schemas.microsoft.com/office/drawing/2014/main" id="{1307CE5A-2E5B-476B-B3C9-E77828E77C06}"/>
            </a:ext>
          </a:extLst>
        </xdr:cNvPr>
        <xdr:cNvSpPr/>
      </xdr:nvSpPr>
      <xdr:spPr>
        <a:xfrm>
          <a:off x="1152144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245</xdr:row>
      <xdr:rowOff>0</xdr:rowOff>
    </xdr:from>
    <xdr:to>
      <xdr:col>5</xdr:col>
      <xdr:colOff>83820</xdr:colOff>
      <xdr:row>245</xdr:row>
      <xdr:rowOff>114300</xdr:rowOff>
    </xdr:to>
    <xdr:sp macro="" textlink="">
      <xdr:nvSpPr>
        <xdr:cNvPr id="1869" name="Arrow: Down 1868">
          <a:extLst>
            <a:ext uri="{FF2B5EF4-FFF2-40B4-BE49-F238E27FC236}">
              <a16:creationId xmlns:a16="http://schemas.microsoft.com/office/drawing/2014/main" id="{979B95E6-95E3-4CF8-AB08-A61CEF799331}"/>
            </a:ext>
          </a:extLst>
        </xdr:cNvPr>
        <xdr:cNvSpPr/>
      </xdr:nvSpPr>
      <xdr:spPr>
        <a:xfrm rot="10800000">
          <a:off x="192786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245</xdr:row>
      <xdr:rowOff>0</xdr:rowOff>
    </xdr:from>
    <xdr:to>
      <xdr:col>11</xdr:col>
      <xdr:colOff>83820</xdr:colOff>
      <xdr:row>245</xdr:row>
      <xdr:rowOff>114300</xdr:rowOff>
    </xdr:to>
    <xdr:sp macro="" textlink="">
      <xdr:nvSpPr>
        <xdr:cNvPr id="1870" name="Arrow: Down 1869">
          <a:extLst>
            <a:ext uri="{FF2B5EF4-FFF2-40B4-BE49-F238E27FC236}">
              <a16:creationId xmlns:a16="http://schemas.microsoft.com/office/drawing/2014/main" id="{FBAB0E68-F8BD-46E9-8140-65FBADE3EE64}"/>
            </a:ext>
          </a:extLst>
        </xdr:cNvPr>
        <xdr:cNvSpPr/>
      </xdr:nvSpPr>
      <xdr:spPr>
        <a:xfrm rot="10800000">
          <a:off x="36957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245</xdr:row>
      <xdr:rowOff>0</xdr:rowOff>
    </xdr:from>
    <xdr:to>
      <xdr:col>24</xdr:col>
      <xdr:colOff>83820</xdr:colOff>
      <xdr:row>245</xdr:row>
      <xdr:rowOff>114300</xdr:rowOff>
    </xdr:to>
    <xdr:sp macro="" textlink="">
      <xdr:nvSpPr>
        <xdr:cNvPr id="1871" name="Arrow: Down 1870">
          <a:extLst>
            <a:ext uri="{FF2B5EF4-FFF2-40B4-BE49-F238E27FC236}">
              <a16:creationId xmlns:a16="http://schemas.microsoft.com/office/drawing/2014/main" id="{FF44D461-1B1F-4A24-B520-53629BA02ACB}"/>
            </a:ext>
          </a:extLst>
        </xdr:cNvPr>
        <xdr:cNvSpPr/>
      </xdr:nvSpPr>
      <xdr:spPr>
        <a:xfrm rot="10800000">
          <a:off x="6553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245</xdr:row>
      <xdr:rowOff>0</xdr:rowOff>
    </xdr:from>
    <xdr:to>
      <xdr:col>39</xdr:col>
      <xdr:colOff>83820</xdr:colOff>
      <xdr:row>245</xdr:row>
      <xdr:rowOff>114300</xdr:rowOff>
    </xdr:to>
    <xdr:sp macro="" textlink="">
      <xdr:nvSpPr>
        <xdr:cNvPr id="1872" name="Arrow: Down 1871">
          <a:extLst>
            <a:ext uri="{FF2B5EF4-FFF2-40B4-BE49-F238E27FC236}">
              <a16:creationId xmlns:a16="http://schemas.microsoft.com/office/drawing/2014/main" id="{7625F254-D9C7-4C5A-BC0B-7169444222EA}"/>
            </a:ext>
          </a:extLst>
        </xdr:cNvPr>
        <xdr:cNvSpPr/>
      </xdr:nvSpPr>
      <xdr:spPr>
        <a:xfrm>
          <a:off x="97155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245</xdr:row>
      <xdr:rowOff>0</xdr:rowOff>
    </xdr:from>
    <xdr:to>
      <xdr:col>71</xdr:col>
      <xdr:colOff>83820</xdr:colOff>
      <xdr:row>245</xdr:row>
      <xdr:rowOff>114300</xdr:rowOff>
    </xdr:to>
    <xdr:sp macro="" textlink="">
      <xdr:nvSpPr>
        <xdr:cNvPr id="1873" name="Arrow: Down 1872">
          <a:extLst>
            <a:ext uri="{FF2B5EF4-FFF2-40B4-BE49-F238E27FC236}">
              <a16:creationId xmlns:a16="http://schemas.microsoft.com/office/drawing/2014/main" id="{DC80DEEE-4F16-40B8-8B30-EC3BC4EE944E}"/>
            </a:ext>
          </a:extLst>
        </xdr:cNvPr>
        <xdr:cNvSpPr/>
      </xdr:nvSpPr>
      <xdr:spPr>
        <a:xfrm rot="10800000">
          <a:off x="1927098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245</xdr:row>
      <xdr:rowOff>0</xdr:rowOff>
    </xdr:from>
    <xdr:to>
      <xdr:col>60</xdr:col>
      <xdr:colOff>83820</xdr:colOff>
      <xdr:row>245</xdr:row>
      <xdr:rowOff>114300</xdr:rowOff>
    </xdr:to>
    <xdr:sp macro="" textlink="">
      <xdr:nvSpPr>
        <xdr:cNvPr id="1874" name="Arrow: Down 1873">
          <a:extLst>
            <a:ext uri="{FF2B5EF4-FFF2-40B4-BE49-F238E27FC236}">
              <a16:creationId xmlns:a16="http://schemas.microsoft.com/office/drawing/2014/main" id="{A39A1401-60FF-4AC2-A3F8-3C1B4406EBBD}"/>
            </a:ext>
          </a:extLst>
        </xdr:cNvPr>
        <xdr:cNvSpPr/>
      </xdr:nvSpPr>
      <xdr:spPr>
        <a:xfrm rot="10800000">
          <a:off x="16840200" y="44721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246</xdr:row>
      <xdr:rowOff>0</xdr:rowOff>
    </xdr:from>
    <xdr:to>
      <xdr:col>45</xdr:col>
      <xdr:colOff>83820</xdr:colOff>
      <xdr:row>246</xdr:row>
      <xdr:rowOff>114300</xdr:rowOff>
    </xdr:to>
    <xdr:sp macro="" textlink="">
      <xdr:nvSpPr>
        <xdr:cNvPr id="1833" name="Arrow: Down 1832">
          <a:extLst>
            <a:ext uri="{FF2B5EF4-FFF2-40B4-BE49-F238E27FC236}">
              <a16:creationId xmlns:a16="http://schemas.microsoft.com/office/drawing/2014/main" id="{C6C0F90E-DD22-458B-9720-90AE893640A9}"/>
            </a:ext>
          </a:extLst>
        </xdr:cNvPr>
        <xdr:cNvSpPr/>
      </xdr:nvSpPr>
      <xdr:spPr>
        <a:xfrm>
          <a:off x="1152144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246</xdr:row>
      <xdr:rowOff>0</xdr:rowOff>
    </xdr:from>
    <xdr:to>
      <xdr:col>5</xdr:col>
      <xdr:colOff>83820</xdr:colOff>
      <xdr:row>246</xdr:row>
      <xdr:rowOff>114300</xdr:rowOff>
    </xdr:to>
    <xdr:sp macro="" textlink="">
      <xdr:nvSpPr>
        <xdr:cNvPr id="1834" name="Arrow: Down 1833">
          <a:extLst>
            <a:ext uri="{FF2B5EF4-FFF2-40B4-BE49-F238E27FC236}">
              <a16:creationId xmlns:a16="http://schemas.microsoft.com/office/drawing/2014/main" id="{6E4638D4-0BC6-4919-BCDF-825D5FA24C05}"/>
            </a:ext>
          </a:extLst>
        </xdr:cNvPr>
        <xdr:cNvSpPr/>
      </xdr:nvSpPr>
      <xdr:spPr>
        <a:xfrm rot="10800000">
          <a:off x="192786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246</xdr:row>
      <xdr:rowOff>0</xdr:rowOff>
    </xdr:from>
    <xdr:to>
      <xdr:col>11</xdr:col>
      <xdr:colOff>83820</xdr:colOff>
      <xdr:row>246</xdr:row>
      <xdr:rowOff>114300</xdr:rowOff>
    </xdr:to>
    <xdr:sp macro="" textlink="">
      <xdr:nvSpPr>
        <xdr:cNvPr id="1835" name="Arrow: Down 1834">
          <a:extLst>
            <a:ext uri="{FF2B5EF4-FFF2-40B4-BE49-F238E27FC236}">
              <a16:creationId xmlns:a16="http://schemas.microsoft.com/office/drawing/2014/main" id="{1377CF96-95B6-4D65-8114-C1F36F0B1618}"/>
            </a:ext>
          </a:extLst>
        </xdr:cNvPr>
        <xdr:cNvSpPr/>
      </xdr:nvSpPr>
      <xdr:spPr>
        <a:xfrm rot="10800000">
          <a:off x="36957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246</xdr:row>
      <xdr:rowOff>0</xdr:rowOff>
    </xdr:from>
    <xdr:to>
      <xdr:col>71</xdr:col>
      <xdr:colOff>83820</xdr:colOff>
      <xdr:row>246</xdr:row>
      <xdr:rowOff>114300</xdr:rowOff>
    </xdr:to>
    <xdr:sp macro="" textlink="">
      <xdr:nvSpPr>
        <xdr:cNvPr id="1861" name="Arrow: Down 1860">
          <a:extLst>
            <a:ext uri="{FF2B5EF4-FFF2-40B4-BE49-F238E27FC236}">
              <a16:creationId xmlns:a16="http://schemas.microsoft.com/office/drawing/2014/main" id="{EC30A322-4671-40D3-B30A-596BD82D02B7}"/>
            </a:ext>
          </a:extLst>
        </xdr:cNvPr>
        <xdr:cNvSpPr/>
      </xdr:nvSpPr>
      <xdr:spPr>
        <a:xfrm rot="10800000">
          <a:off x="1927098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246</xdr:row>
      <xdr:rowOff>0</xdr:rowOff>
    </xdr:from>
    <xdr:to>
      <xdr:col>60</xdr:col>
      <xdr:colOff>83820</xdr:colOff>
      <xdr:row>246</xdr:row>
      <xdr:rowOff>114300</xdr:rowOff>
    </xdr:to>
    <xdr:sp macro="" textlink="">
      <xdr:nvSpPr>
        <xdr:cNvPr id="1862" name="Arrow: Down 1861">
          <a:extLst>
            <a:ext uri="{FF2B5EF4-FFF2-40B4-BE49-F238E27FC236}">
              <a16:creationId xmlns:a16="http://schemas.microsoft.com/office/drawing/2014/main" id="{10F8233C-2663-47C5-B6A9-B3851D1AC495}"/>
            </a:ext>
          </a:extLst>
        </xdr:cNvPr>
        <xdr:cNvSpPr/>
      </xdr:nvSpPr>
      <xdr:spPr>
        <a:xfrm rot="10800000">
          <a:off x="16840200" y="44904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246</xdr:row>
      <xdr:rowOff>0</xdr:rowOff>
    </xdr:from>
    <xdr:to>
      <xdr:col>24</xdr:col>
      <xdr:colOff>83820</xdr:colOff>
      <xdr:row>246</xdr:row>
      <xdr:rowOff>114300</xdr:rowOff>
    </xdr:to>
    <xdr:sp macro="" textlink="">
      <xdr:nvSpPr>
        <xdr:cNvPr id="1864" name="Arrow: Down 1863">
          <a:extLst>
            <a:ext uri="{FF2B5EF4-FFF2-40B4-BE49-F238E27FC236}">
              <a16:creationId xmlns:a16="http://schemas.microsoft.com/office/drawing/2014/main" id="{6697C1E0-AF4F-4E62-9A1C-E4A93A4C4F7F}"/>
            </a:ext>
          </a:extLst>
        </xdr:cNvPr>
        <xdr:cNvSpPr/>
      </xdr:nvSpPr>
      <xdr:spPr>
        <a:xfrm>
          <a:off x="65532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246</xdr:row>
      <xdr:rowOff>0</xdr:rowOff>
    </xdr:from>
    <xdr:to>
      <xdr:col>39</xdr:col>
      <xdr:colOff>83820</xdr:colOff>
      <xdr:row>246</xdr:row>
      <xdr:rowOff>114300</xdr:rowOff>
    </xdr:to>
    <xdr:sp macro="" textlink="">
      <xdr:nvSpPr>
        <xdr:cNvPr id="1865" name="Arrow: Down 1864">
          <a:extLst>
            <a:ext uri="{FF2B5EF4-FFF2-40B4-BE49-F238E27FC236}">
              <a16:creationId xmlns:a16="http://schemas.microsoft.com/office/drawing/2014/main" id="{6FC58B0F-B148-49A5-8F7C-D80887697201}"/>
            </a:ext>
          </a:extLst>
        </xdr:cNvPr>
        <xdr:cNvSpPr/>
      </xdr:nvSpPr>
      <xdr:spPr>
        <a:xfrm rot="10800000">
          <a:off x="9715500" y="45087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247</xdr:row>
      <xdr:rowOff>0</xdr:rowOff>
    </xdr:from>
    <xdr:to>
      <xdr:col>45</xdr:col>
      <xdr:colOff>83820</xdr:colOff>
      <xdr:row>247</xdr:row>
      <xdr:rowOff>114300</xdr:rowOff>
    </xdr:to>
    <xdr:sp macro="" textlink="">
      <xdr:nvSpPr>
        <xdr:cNvPr id="1880" name="Arrow: Down 1879">
          <a:extLst>
            <a:ext uri="{FF2B5EF4-FFF2-40B4-BE49-F238E27FC236}">
              <a16:creationId xmlns:a16="http://schemas.microsoft.com/office/drawing/2014/main" id="{7F1CA4C8-C00B-4768-823F-90932700D012}"/>
            </a:ext>
          </a:extLst>
        </xdr:cNvPr>
        <xdr:cNvSpPr/>
      </xdr:nvSpPr>
      <xdr:spPr>
        <a:xfrm>
          <a:off x="1152144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247</xdr:row>
      <xdr:rowOff>0</xdr:rowOff>
    </xdr:from>
    <xdr:to>
      <xdr:col>5</xdr:col>
      <xdr:colOff>83820</xdr:colOff>
      <xdr:row>247</xdr:row>
      <xdr:rowOff>114300</xdr:rowOff>
    </xdr:to>
    <xdr:sp macro="" textlink="">
      <xdr:nvSpPr>
        <xdr:cNvPr id="1881" name="Arrow: Down 1880">
          <a:extLst>
            <a:ext uri="{FF2B5EF4-FFF2-40B4-BE49-F238E27FC236}">
              <a16:creationId xmlns:a16="http://schemas.microsoft.com/office/drawing/2014/main" id="{01670269-13A7-4E32-B061-E2EAA17D62C0}"/>
            </a:ext>
          </a:extLst>
        </xdr:cNvPr>
        <xdr:cNvSpPr/>
      </xdr:nvSpPr>
      <xdr:spPr>
        <a:xfrm rot="10800000">
          <a:off x="19278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247</xdr:row>
      <xdr:rowOff>0</xdr:rowOff>
    </xdr:from>
    <xdr:to>
      <xdr:col>11</xdr:col>
      <xdr:colOff>83820</xdr:colOff>
      <xdr:row>247</xdr:row>
      <xdr:rowOff>114300</xdr:rowOff>
    </xdr:to>
    <xdr:sp macro="" textlink="">
      <xdr:nvSpPr>
        <xdr:cNvPr id="1882" name="Arrow: Down 1881">
          <a:extLst>
            <a:ext uri="{FF2B5EF4-FFF2-40B4-BE49-F238E27FC236}">
              <a16:creationId xmlns:a16="http://schemas.microsoft.com/office/drawing/2014/main" id="{31B2A26D-4A8D-4CC8-A234-244B31C767F7}"/>
            </a:ext>
          </a:extLst>
        </xdr:cNvPr>
        <xdr:cNvSpPr/>
      </xdr:nvSpPr>
      <xdr:spPr>
        <a:xfrm rot="10800000">
          <a:off x="36957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247</xdr:row>
      <xdr:rowOff>0</xdr:rowOff>
    </xdr:from>
    <xdr:to>
      <xdr:col>71</xdr:col>
      <xdr:colOff>83820</xdr:colOff>
      <xdr:row>247</xdr:row>
      <xdr:rowOff>114300</xdr:rowOff>
    </xdr:to>
    <xdr:sp macro="" textlink="">
      <xdr:nvSpPr>
        <xdr:cNvPr id="1883" name="Arrow: Down 1882">
          <a:extLst>
            <a:ext uri="{FF2B5EF4-FFF2-40B4-BE49-F238E27FC236}">
              <a16:creationId xmlns:a16="http://schemas.microsoft.com/office/drawing/2014/main" id="{B5039255-1EA7-4EA2-B51A-028A4B6ECD5F}"/>
            </a:ext>
          </a:extLst>
        </xdr:cNvPr>
        <xdr:cNvSpPr/>
      </xdr:nvSpPr>
      <xdr:spPr>
        <a:xfrm rot="10800000">
          <a:off x="2093976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247</xdr:row>
      <xdr:rowOff>0</xdr:rowOff>
    </xdr:from>
    <xdr:to>
      <xdr:col>60</xdr:col>
      <xdr:colOff>83820</xdr:colOff>
      <xdr:row>247</xdr:row>
      <xdr:rowOff>114300</xdr:rowOff>
    </xdr:to>
    <xdr:sp macro="" textlink="">
      <xdr:nvSpPr>
        <xdr:cNvPr id="1884" name="Arrow: Down 1883">
          <a:extLst>
            <a:ext uri="{FF2B5EF4-FFF2-40B4-BE49-F238E27FC236}">
              <a16:creationId xmlns:a16="http://schemas.microsoft.com/office/drawing/2014/main" id="{AB766D5F-595F-48B0-875A-BD7CBCC58359}"/>
            </a:ext>
          </a:extLst>
        </xdr:cNvPr>
        <xdr:cNvSpPr/>
      </xdr:nvSpPr>
      <xdr:spPr>
        <a:xfrm rot="10800000">
          <a:off x="16840200" y="45087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247</xdr:row>
      <xdr:rowOff>0</xdr:rowOff>
    </xdr:from>
    <xdr:to>
      <xdr:col>24</xdr:col>
      <xdr:colOff>83820</xdr:colOff>
      <xdr:row>247</xdr:row>
      <xdr:rowOff>114300</xdr:rowOff>
    </xdr:to>
    <xdr:sp macro="" textlink="">
      <xdr:nvSpPr>
        <xdr:cNvPr id="1887" name="Arrow: Down 1886">
          <a:extLst>
            <a:ext uri="{FF2B5EF4-FFF2-40B4-BE49-F238E27FC236}">
              <a16:creationId xmlns:a16="http://schemas.microsoft.com/office/drawing/2014/main" id="{C77EDD1F-7337-49F8-BCDC-6F6A68E169C0}"/>
            </a:ext>
          </a:extLst>
        </xdr:cNvPr>
        <xdr:cNvSpPr/>
      </xdr:nvSpPr>
      <xdr:spPr>
        <a:xfrm rot="10800000">
          <a:off x="65532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247</xdr:row>
      <xdr:rowOff>0</xdr:rowOff>
    </xdr:from>
    <xdr:to>
      <xdr:col>39</xdr:col>
      <xdr:colOff>83820</xdr:colOff>
      <xdr:row>247</xdr:row>
      <xdr:rowOff>114300</xdr:rowOff>
    </xdr:to>
    <xdr:sp macro="" textlink="">
      <xdr:nvSpPr>
        <xdr:cNvPr id="1889" name="Arrow: Down 1888">
          <a:extLst>
            <a:ext uri="{FF2B5EF4-FFF2-40B4-BE49-F238E27FC236}">
              <a16:creationId xmlns:a16="http://schemas.microsoft.com/office/drawing/2014/main" id="{82723541-1899-49C5-8C63-AEA9022E2D4F}"/>
            </a:ext>
          </a:extLst>
        </xdr:cNvPr>
        <xdr:cNvSpPr/>
      </xdr:nvSpPr>
      <xdr:spPr>
        <a:xfrm>
          <a:off x="9715500" y="45270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248</xdr:row>
      <xdr:rowOff>0</xdr:rowOff>
    </xdr:from>
    <xdr:to>
      <xdr:col>5</xdr:col>
      <xdr:colOff>83820</xdr:colOff>
      <xdr:row>248</xdr:row>
      <xdr:rowOff>114300</xdr:rowOff>
    </xdr:to>
    <xdr:sp macro="" textlink="">
      <xdr:nvSpPr>
        <xdr:cNvPr id="1897" name="Arrow: Down 1896">
          <a:extLst>
            <a:ext uri="{FF2B5EF4-FFF2-40B4-BE49-F238E27FC236}">
              <a16:creationId xmlns:a16="http://schemas.microsoft.com/office/drawing/2014/main" id="{36BD6A44-1B9F-45CE-B1D2-0D0014B08F4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248</xdr:row>
      <xdr:rowOff>0</xdr:rowOff>
    </xdr:from>
    <xdr:to>
      <xdr:col>11</xdr:col>
      <xdr:colOff>83820</xdr:colOff>
      <xdr:row>248</xdr:row>
      <xdr:rowOff>114300</xdr:rowOff>
    </xdr:to>
    <xdr:sp macro="" textlink="">
      <xdr:nvSpPr>
        <xdr:cNvPr id="1899" name="Arrow: Down 1898">
          <a:extLst>
            <a:ext uri="{FF2B5EF4-FFF2-40B4-BE49-F238E27FC236}">
              <a16:creationId xmlns:a16="http://schemas.microsoft.com/office/drawing/2014/main" id="{65658A5E-1F07-48AC-A71F-E075E532737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248</xdr:row>
      <xdr:rowOff>0</xdr:rowOff>
    </xdr:from>
    <xdr:to>
      <xdr:col>24</xdr:col>
      <xdr:colOff>83820</xdr:colOff>
      <xdr:row>248</xdr:row>
      <xdr:rowOff>114300</xdr:rowOff>
    </xdr:to>
    <xdr:sp macro="" textlink="">
      <xdr:nvSpPr>
        <xdr:cNvPr id="1900" name="Arrow: Down 1899">
          <a:extLst>
            <a:ext uri="{FF2B5EF4-FFF2-40B4-BE49-F238E27FC236}">
              <a16:creationId xmlns:a16="http://schemas.microsoft.com/office/drawing/2014/main" id="{3155FA88-63A7-4F01-B638-DF060CE71F33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248</xdr:row>
      <xdr:rowOff>0</xdr:rowOff>
    </xdr:from>
    <xdr:to>
      <xdr:col>39</xdr:col>
      <xdr:colOff>83820</xdr:colOff>
      <xdr:row>248</xdr:row>
      <xdr:rowOff>114300</xdr:rowOff>
    </xdr:to>
    <xdr:sp macro="" textlink="">
      <xdr:nvSpPr>
        <xdr:cNvPr id="1901" name="Arrow: Down 1900">
          <a:extLst>
            <a:ext uri="{FF2B5EF4-FFF2-40B4-BE49-F238E27FC236}">
              <a16:creationId xmlns:a16="http://schemas.microsoft.com/office/drawing/2014/main" id="{2E5AA7B8-68DF-4CEA-AA85-3E83F0FFAE79}"/>
            </a:ext>
          </a:extLst>
        </xdr:cNvPr>
        <xdr:cNvSpPr/>
      </xdr:nvSpPr>
      <xdr:spPr>
        <a:xfrm rot="10800000">
          <a:off x="97155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248</xdr:row>
      <xdr:rowOff>0</xdr:rowOff>
    </xdr:from>
    <xdr:to>
      <xdr:col>45</xdr:col>
      <xdr:colOff>83820</xdr:colOff>
      <xdr:row>248</xdr:row>
      <xdr:rowOff>114300</xdr:rowOff>
    </xdr:to>
    <xdr:sp macro="" textlink="">
      <xdr:nvSpPr>
        <xdr:cNvPr id="1903" name="Arrow: Down 1902">
          <a:extLst>
            <a:ext uri="{FF2B5EF4-FFF2-40B4-BE49-F238E27FC236}">
              <a16:creationId xmlns:a16="http://schemas.microsoft.com/office/drawing/2014/main" id="{0F8D1C0B-1136-482A-BC44-6F6FB36C115D}"/>
            </a:ext>
          </a:extLst>
        </xdr:cNvPr>
        <xdr:cNvSpPr/>
      </xdr:nvSpPr>
      <xdr:spPr>
        <a:xfrm rot="10800000">
          <a:off x="1152144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248</xdr:row>
      <xdr:rowOff>0</xdr:rowOff>
    </xdr:from>
    <xdr:to>
      <xdr:col>60</xdr:col>
      <xdr:colOff>83820</xdr:colOff>
      <xdr:row>248</xdr:row>
      <xdr:rowOff>114300</xdr:rowOff>
    </xdr:to>
    <xdr:sp macro="" textlink="">
      <xdr:nvSpPr>
        <xdr:cNvPr id="1904" name="Arrow: Down 1903">
          <a:extLst>
            <a:ext uri="{FF2B5EF4-FFF2-40B4-BE49-F238E27FC236}">
              <a16:creationId xmlns:a16="http://schemas.microsoft.com/office/drawing/2014/main" id="{80FC1DD5-9235-447D-9AC7-C08DB61CFBC5}"/>
            </a:ext>
          </a:extLst>
        </xdr:cNvPr>
        <xdr:cNvSpPr/>
      </xdr:nvSpPr>
      <xdr:spPr>
        <a:xfrm>
          <a:off x="16840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249</xdr:row>
      <xdr:rowOff>0</xdr:rowOff>
    </xdr:from>
    <xdr:to>
      <xdr:col>5</xdr:col>
      <xdr:colOff>83820</xdr:colOff>
      <xdr:row>249</xdr:row>
      <xdr:rowOff>114300</xdr:rowOff>
    </xdr:to>
    <xdr:sp macro="" textlink="">
      <xdr:nvSpPr>
        <xdr:cNvPr id="1906" name="Arrow: Down 1905">
          <a:extLst>
            <a:ext uri="{FF2B5EF4-FFF2-40B4-BE49-F238E27FC236}">
              <a16:creationId xmlns:a16="http://schemas.microsoft.com/office/drawing/2014/main" id="{2908CAF9-2F03-46C4-AA46-59756FD0D0B3}"/>
            </a:ext>
          </a:extLst>
        </xdr:cNvPr>
        <xdr:cNvSpPr/>
      </xdr:nvSpPr>
      <xdr:spPr>
        <a:xfrm>
          <a:off x="192786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249</xdr:row>
      <xdr:rowOff>0</xdr:rowOff>
    </xdr:from>
    <xdr:to>
      <xdr:col>11</xdr:col>
      <xdr:colOff>83820</xdr:colOff>
      <xdr:row>249</xdr:row>
      <xdr:rowOff>114300</xdr:rowOff>
    </xdr:to>
    <xdr:sp macro="" textlink="">
      <xdr:nvSpPr>
        <xdr:cNvPr id="1907" name="Arrow: Down 1906">
          <a:extLst>
            <a:ext uri="{FF2B5EF4-FFF2-40B4-BE49-F238E27FC236}">
              <a16:creationId xmlns:a16="http://schemas.microsoft.com/office/drawing/2014/main" id="{FC3AC8D1-B626-45E3-8380-92E85495B7BD}"/>
            </a:ext>
          </a:extLst>
        </xdr:cNvPr>
        <xdr:cNvSpPr/>
      </xdr:nvSpPr>
      <xdr:spPr>
        <a:xfrm>
          <a:off x="36957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249</xdr:row>
      <xdr:rowOff>0</xdr:rowOff>
    </xdr:from>
    <xdr:to>
      <xdr:col>24</xdr:col>
      <xdr:colOff>83820</xdr:colOff>
      <xdr:row>249</xdr:row>
      <xdr:rowOff>114300</xdr:rowOff>
    </xdr:to>
    <xdr:sp macro="" textlink="">
      <xdr:nvSpPr>
        <xdr:cNvPr id="1908" name="Arrow: Down 1907">
          <a:extLst>
            <a:ext uri="{FF2B5EF4-FFF2-40B4-BE49-F238E27FC236}">
              <a16:creationId xmlns:a16="http://schemas.microsoft.com/office/drawing/2014/main" id="{D2C2C637-B192-4420-BEF4-06EA1F14718C}"/>
            </a:ext>
          </a:extLst>
        </xdr:cNvPr>
        <xdr:cNvSpPr/>
      </xdr:nvSpPr>
      <xdr:spPr>
        <a:xfrm>
          <a:off x="6553200" y="45453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249</xdr:row>
      <xdr:rowOff>0</xdr:rowOff>
    </xdr:from>
    <xdr:to>
      <xdr:col>39</xdr:col>
      <xdr:colOff>83820</xdr:colOff>
      <xdr:row>249</xdr:row>
      <xdr:rowOff>114300</xdr:rowOff>
    </xdr:to>
    <xdr:sp macro="" textlink="">
      <xdr:nvSpPr>
        <xdr:cNvPr id="1913" name="Arrow: Down 1912">
          <a:extLst>
            <a:ext uri="{FF2B5EF4-FFF2-40B4-BE49-F238E27FC236}">
              <a16:creationId xmlns:a16="http://schemas.microsoft.com/office/drawing/2014/main" id="{3AC5DFE9-F76D-4B97-9CC2-97E5C201DBD1}"/>
            </a:ext>
          </a:extLst>
        </xdr:cNvPr>
        <xdr:cNvSpPr/>
      </xdr:nvSpPr>
      <xdr:spPr>
        <a:xfrm>
          <a:off x="97155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249</xdr:row>
      <xdr:rowOff>0</xdr:rowOff>
    </xdr:from>
    <xdr:to>
      <xdr:col>71</xdr:col>
      <xdr:colOff>83820</xdr:colOff>
      <xdr:row>249</xdr:row>
      <xdr:rowOff>114300</xdr:rowOff>
    </xdr:to>
    <xdr:sp macro="" textlink="">
      <xdr:nvSpPr>
        <xdr:cNvPr id="1914" name="Arrow: Down 1913">
          <a:extLst>
            <a:ext uri="{FF2B5EF4-FFF2-40B4-BE49-F238E27FC236}">
              <a16:creationId xmlns:a16="http://schemas.microsoft.com/office/drawing/2014/main" id="{77D9609B-EC49-429D-9FA9-19DB5938BD8D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248</xdr:row>
      <xdr:rowOff>0</xdr:rowOff>
    </xdr:from>
    <xdr:to>
      <xdr:col>71</xdr:col>
      <xdr:colOff>83820</xdr:colOff>
      <xdr:row>248</xdr:row>
      <xdr:rowOff>114300</xdr:rowOff>
    </xdr:to>
    <xdr:sp macro="" textlink="">
      <xdr:nvSpPr>
        <xdr:cNvPr id="1915" name="Arrow: Down 1914">
          <a:extLst>
            <a:ext uri="{FF2B5EF4-FFF2-40B4-BE49-F238E27FC236}">
              <a16:creationId xmlns:a16="http://schemas.microsoft.com/office/drawing/2014/main" id="{8F4BCB6F-489B-40F2-BC84-D74A1A8CB321}"/>
            </a:ext>
          </a:extLst>
        </xdr:cNvPr>
        <xdr:cNvSpPr/>
      </xdr:nvSpPr>
      <xdr:spPr>
        <a:xfrm rot="10800000">
          <a:off x="20939760" y="45453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249</xdr:row>
      <xdr:rowOff>0</xdr:rowOff>
    </xdr:from>
    <xdr:to>
      <xdr:col>60</xdr:col>
      <xdr:colOff>83820</xdr:colOff>
      <xdr:row>249</xdr:row>
      <xdr:rowOff>114300</xdr:rowOff>
    </xdr:to>
    <xdr:sp macro="" textlink="">
      <xdr:nvSpPr>
        <xdr:cNvPr id="1917" name="Arrow: Down 1916">
          <a:extLst>
            <a:ext uri="{FF2B5EF4-FFF2-40B4-BE49-F238E27FC236}">
              <a16:creationId xmlns:a16="http://schemas.microsoft.com/office/drawing/2014/main" id="{C6392860-89D7-4378-8312-BDB751ED0736}"/>
            </a:ext>
          </a:extLst>
        </xdr:cNvPr>
        <xdr:cNvSpPr/>
      </xdr:nvSpPr>
      <xdr:spPr>
        <a:xfrm rot="10800000">
          <a:off x="1684020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249</xdr:row>
      <xdr:rowOff>0</xdr:rowOff>
    </xdr:from>
    <xdr:to>
      <xdr:col>45</xdr:col>
      <xdr:colOff>83820</xdr:colOff>
      <xdr:row>249</xdr:row>
      <xdr:rowOff>114300</xdr:rowOff>
    </xdr:to>
    <xdr:sp macro="" textlink="">
      <xdr:nvSpPr>
        <xdr:cNvPr id="1918" name="Arrow: Down 1917">
          <a:extLst>
            <a:ext uri="{FF2B5EF4-FFF2-40B4-BE49-F238E27FC236}">
              <a16:creationId xmlns:a16="http://schemas.microsoft.com/office/drawing/2014/main" id="{56C3AEB5-71C3-4F99-B129-815AB80B63F4}"/>
            </a:ext>
          </a:extLst>
        </xdr:cNvPr>
        <xdr:cNvSpPr/>
      </xdr:nvSpPr>
      <xdr:spPr>
        <a:xfrm>
          <a:off x="1152144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250</xdr:row>
      <xdr:rowOff>0</xdr:rowOff>
    </xdr:from>
    <xdr:to>
      <xdr:col>71</xdr:col>
      <xdr:colOff>83820</xdr:colOff>
      <xdr:row>250</xdr:row>
      <xdr:rowOff>114300</xdr:rowOff>
    </xdr:to>
    <xdr:sp macro="" textlink="">
      <xdr:nvSpPr>
        <xdr:cNvPr id="1930" name="Arrow: Down 1929">
          <a:extLst>
            <a:ext uri="{FF2B5EF4-FFF2-40B4-BE49-F238E27FC236}">
              <a16:creationId xmlns:a16="http://schemas.microsoft.com/office/drawing/2014/main" id="{254448DF-C157-49EE-A131-6C5A72EC34F8}"/>
            </a:ext>
          </a:extLst>
        </xdr:cNvPr>
        <xdr:cNvSpPr/>
      </xdr:nvSpPr>
      <xdr:spPr>
        <a:xfrm rot="10800000">
          <a:off x="20939760" y="45636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250</xdr:row>
      <xdr:rowOff>0</xdr:rowOff>
    </xdr:from>
    <xdr:to>
      <xdr:col>11</xdr:col>
      <xdr:colOff>83820</xdr:colOff>
      <xdr:row>250</xdr:row>
      <xdr:rowOff>114300</xdr:rowOff>
    </xdr:to>
    <xdr:sp macro="" textlink="">
      <xdr:nvSpPr>
        <xdr:cNvPr id="1934" name="Arrow: Down 1933">
          <a:extLst>
            <a:ext uri="{FF2B5EF4-FFF2-40B4-BE49-F238E27FC236}">
              <a16:creationId xmlns:a16="http://schemas.microsoft.com/office/drawing/2014/main" id="{A93148A9-1A21-4EEF-A35D-F628AAE730A6}"/>
            </a:ext>
          </a:extLst>
        </xdr:cNvPr>
        <xdr:cNvSpPr/>
      </xdr:nvSpPr>
      <xdr:spPr>
        <a:xfrm rot="10800000">
          <a:off x="36957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250</xdr:row>
      <xdr:rowOff>0</xdr:rowOff>
    </xdr:from>
    <xdr:to>
      <xdr:col>5</xdr:col>
      <xdr:colOff>83820</xdr:colOff>
      <xdr:row>250</xdr:row>
      <xdr:rowOff>114300</xdr:rowOff>
    </xdr:to>
    <xdr:sp macro="" textlink="">
      <xdr:nvSpPr>
        <xdr:cNvPr id="1935" name="Arrow: Down 1934">
          <a:extLst>
            <a:ext uri="{FF2B5EF4-FFF2-40B4-BE49-F238E27FC236}">
              <a16:creationId xmlns:a16="http://schemas.microsoft.com/office/drawing/2014/main" id="{4373D05B-B3EE-4997-8610-F5536EF7C617}"/>
            </a:ext>
          </a:extLst>
        </xdr:cNvPr>
        <xdr:cNvSpPr/>
      </xdr:nvSpPr>
      <xdr:spPr>
        <a:xfrm rot="10800000">
          <a:off x="19278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250</xdr:row>
      <xdr:rowOff>0</xdr:rowOff>
    </xdr:from>
    <xdr:to>
      <xdr:col>39</xdr:col>
      <xdr:colOff>83820</xdr:colOff>
      <xdr:row>250</xdr:row>
      <xdr:rowOff>114300</xdr:rowOff>
    </xdr:to>
    <xdr:sp macro="" textlink="">
      <xdr:nvSpPr>
        <xdr:cNvPr id="1937" name="Arrow: Down 1936">
          <a:extLst>
            <a:ext uri="{FF2B5EF4-FFF2-40B4-BE49-F238E27FC236}">
              <a16:creationId xmlns:a16="http://schemas.microsoft.com/office/drawing/2014/main" id="{E8CF4972-4CF3-4006-9C90-2BB4AEC49BAF}"/>
            </a:ext>
          </a:extLst>
        </xdr:cNvPr>
        <xdr:cNvSpPr/>
      </xdr:nvSpPr>
      <xdr:spPr>
        <a:xfrm rot="10800000">
          <a:off x="97155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250</xdr:row>
      <xdr:rowOff>0</xdr:rowOff>
    </xdr:from>
    <xdr:to>
      <xdr:col>45</xdr:col>
      <xdr:colOff>83820</xdr:colOff>
      <xdr:row>250</xdr:row>
      <xdr:rowOff>114300</xdr:rowOff>
    </xdr:to>
    <xdr:sp macro="" textlink="">
      <xdr:nvSpPr>
        <xdr:cNvPr id="1939" name="Arrow: Down 1938">
          <a:extLst>
            <a:ext uri="{FF2B5EF4-FFF2-40B4-BE49-F238E27FC236}">
              <a16:creationId xmlns:a16="http://schemas.microsoft.com/office/drawing/2014/main" id="{F9C71995-F3CF-4D66-8EF8-DAE618BDC930}"/>
            </a:ext>
          </a:extLst>
        </xdr:cNvPr>
        <xdr:cNvSpPr/>
      </xdr:nvSpPr>
      <xdr:spPr>
        <a:xfrm rot="10800000">
          <a:off x="1152144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250</xdr:row>
      <xdr:rowOff>0</xdr:rowOff>
    </xdr:from>
    <xdr:to>
      <xdr:col>24</xdr:col>
      <xdr:colOff>83820</xdr:colOff>
      <xdr:row>250</xdr:row>
      <xdr:rowOff>114300</xdr:rowOff>
    </xdr:to>
    <xdr:sp macro="" textlink="">
      <xdr:nvSpPr>
        <xdr:cNvPr id="1941" name="Arrow: Down 1940">
          <a:extLst>
            <a:ext uri="{FF2B5EF4-FFF2-40B4-BE49-F238E27FC236}">
              <a16:creationId xmlns:a16="http://schemas.microsoft.com/office/drawing/2014/main" id="{FAD5710C-CF95-452D-9355-FB4541200DD9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250</xdr:row>
      <xdr:rowOff>0</xdr:rowOff>
    </xdr:from>
    <xdr:to>
      <xdr:col>60</xdr:col>
      <xdr:colOff>83820</xdr:colOff>
      <xdr:row>250</xdr:row>
      <xdr:rowOff>114300</xdr:rowOff>
    </xdr:to>
    <xdr:sp macro="" textlink="">
      <xdr:nvSpPr>
        <xdr:cNvPr id="1943" name="Arrow: Down 1942">
          <a:extLst>
            <a:ext uri="{FF2B5EF4-FFF2-40B4-BE49-F238E27FC236}">
              <a16:creationId xmlns:a16="http://schemas.microsoft.com/office/drawing/2014/main" id="{7FB3BEEE-4862-41E9-8915-295F64AC85E4}"/>
            </a:ext>
          </a:extLst>
        </xdr:cNvPr>
        <xdr:cNvSpPr/>
      </xdr:nvSpPr>
      <xdr:spPr>
        <a:xfrm>
          <a:off x="16840200" y="4581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251</xdr:row>
      <xdr:rowOff>0</xdr:rowOff>
    </xdr:from>
    <xdr:to>
      <xdr:col>71</xdr:col>
      <xdr:colOff>83820</xdr:colOff>
      <xdr:row>251</xdr:row>
      <xdr:rowOff>114300</xdr:rowOff>
    </xdr:to>
    <xdr:sp macro="" textlink="">
      <xdr:nvSpPr>
        <xdr:cNvPr id="1877" name="Arrow: Down 1876">
          <a:extLst>
            <a:ext uri="{FF2B5EF4-FFF2-40B4-BE49-F238E27FC236}">
              <a16:creationId xmlns:a16="http://schemas.microsoft.com/office/drawing/2014/main" id="{08EE5F9B-098B-4353-8008-5EE6915E2C94}"/>
            </a:ext>
          </a:extLst>
        </xdr:cNvPr>
        <xdr:cNvSpPr/>
      </xdr:nvSpPr>
      <xdr:spPr>
        <a:xfrm rot="10800000">
          <a:off x="2093976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251</xdr:row>
      <xdr:rowOff>0</xdr:rowOff>
    </xdr:from>
    <xdr:to>
      <xdr:col>24</xdr:col>
      <xdr:colOff>83820</xdr:colOff>
      <xdr:row>251</xdr:row>
      <xdr:rowOff>114300</xdr:rowOff>
    </xdr:to>
    <xdr:sp macro="" textlink="">
      <xdr:nvSpPr>
        <xdr:cNvPr id="1888" name="Arrow: Down 1887">
          <a:extLst>
            <a:ext uri="{FF2B5EF4-FFF2-40B4-BE49-F238E27FC236}">
              <a16:creationId xmlns:a16="http://schemas.microsoft.com/office/drawing/2014/main" id="{F5339808-BBF6-4420-8AE8-E92136A2CD77}"/>
            </a:ext>
          </a:extLst>
        </xdr:cNvPr>
        <xdr:cNvSpPr/>
      </xdr:nvSpPr>
      <xdr:spPr>
        <a:xfrm rot="10800000">
          <a:off x="6553200" y="4581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251</xdr:row>
      <xdr:rowOff>0</xdr:rowOff>
    </xdr:from>
    <xdr:to>
      <xdr:col>60</xdr:col>
      <xdr:colOff>83820</xdr:colOff>
      <xdr:row>251</xdr:row>
      <xdr:rowOff>114300</xdr:rowOff>
    </xdr:to>
    <xdr:sp macro="" textlink="">
      <xdr:nvSpPr>
        <xdr:cNvPr id="1892" name="Arrow: Down 1891">
          <a:extLst>
            <a:ext uri="{FF2B5EF4-FFF2-40B4-BE49-F238E27FC236}">
              <a16:creationId xmlns:a16="http://schemas.microsoft.com/office/drawing/2014/main" id="{88702A5A-D4E1-4310-AA20-959FCEEC5078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251</xdr:row>
      <xdr:rowOff>0</xdr:rowOff>
    </xdr:from>
    <xdr:to>
      <xdr:col>5</xdr:col>
      <xdr:colOff>83820</xdr:colOff>
      <xdr:row>251</xdr:row>
      <xdr:rowOff>114300</xdr:rowOff>
    </xdr:to>
    <xdr:sp macro="" textlink="">
      <xdr:nvSpPr>
        <xdr:cNvPr id="1894" name="Arrow: Down 1893">
          <a:extLst>
            <a:ext uri="{FF2B5EF4-FFF2-40B4-BE49-F238E27FC236}">
              <a16:creationId xmlns:a16="http://schemas.microsoft.com/office/drawing/2014/main" id="{97EDF9FB-F608-4D06-B90C-572DBA2CAD51}"/>
            </a:ext>
          </a:extLst>
        </xdr:cNvPr>
        <xdr:cNvSpPr/>
      </xdr:nvSpPr>
      <xdr:spPr>
        <a:xfrm>
          <a:off x="192786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251</xdr:row>
      <xdr:rowOff>0</xdr:rowOff>
    </xdr:from>
    <xdr:to>
      <xdr:col>11</xdr:col>
      <xdr:colOff>83820</xdr:colOff>
      <xdr:row>251</xdr:row>
      <xdr:rowOff>114300</xdr:rowOff>
    </xdr:to>
    <xdr:sp macro="" textlink="">
      <xdr:nvSpPr>
        <xdr:cNvPr id="1895" name="Arrow: Down 1894">
          <a:extLst>
            <a:ext uri="{FF2B5EF4-FFF2-40B4-BE49-F238E27FC236}">
              <a16:creationId xmlns:a16="http://schemas.microsoft.com/office/drawing/2014/main" id="{8708D48C-D05D-41A9-B451-184EA1DFAE0A}"/>
            </a:ext>
          </a:extLst>
        </xdr:cNvPr>
        <xdr:cNvSpPr/>
      </xdr:nvSpPr>
      <xdr:spPr>
        <a:xfrm>
          <a:off x="3695700" y="46001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251</xdr:row>
      <xdr:rowOff>0</xdr:rowOff>
    </xdr:from>
    <xdr:to>
      <xdr:col>39</xdr:col>
      <xdr:colOff>83820</xdr:colOff>
      <xdr:row>251</xdr:row>
      <xdr:rowOff>114300</xdr:rowOff>
    </xdr:to>
    <xdr:sp macro="" textlink="">
      <xdr:nvSpPr>
        <xdr:cNvPr id="1896" name="Arrow: Down 1895">
          <a:extLst>
            <a:ext uri="{FF2B5EF4-FFF2-40B4-BE49-F238E27FC236}">
              <a16:creationId xmlns:a16="http://schemas.microsoft.com/office/drawing/2014/main" id="{8FDF6850-E94C-47B4-AD3A-57512DD9AD22}"/>
            </a:ext>
          </a:extLst>
        </xdr:cNvPr>
        <xdr:cNvSpPr/>
      </xdr:nvSpPr>
      <xdr:spPr>
        <a:xfrm>
          <a:off x="97155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251</xdr:row>
      <xdr:rowOff>0</xdr:rowOff>
    </xdr:from>
    <xdr:to>
      <xdr:col>45</xdr:col>
      <xdr:colOff>83820</xdr:colOff>
      <xdr:row>251</xdr:row>
      <xdr:rowOff>114300</xdr:rowOff>
    </xdr:to>
    <xdr:sp macro="" textlink="">
      <xdr:nvSpPr>
        <xdr:cNvPr id="1902" name="Arrow: Down 1901">
          <a:extLst>
            <a:ext uri="{FF2B5EF4-FFF2-40B4-BE49-F238E27FC236}">
              <a16:creationId xmlns:a16="http://schemas.microsoft.com/office/drawing/2014/main" id="{F56D0AD6-2BE5-4603-87D3-EAE8A0E9ED33}"/>
            </a:ext>
          </a:extLst>
        </xdr:cNvPr>
        <xdr:cNvSpPr/>
      </xdr:nvSpPr>
      <xdr:spPr>
        <a:xfrm>
          <a:off x="1152144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252</xdr:row>
      <xdr:rowOff>0</xdr:rowOff>
    </xdr:from>
    <xdr:to>
      <xdr:col>71</xdr:col>
      <xdr:colOff>83820</xdr:colOff>
      <xdr:row>252</xdr:row>
      <xdr:rowOff>114300</xdr:rowOff>
    </xdr:to>
    <xdr:sp macro="" textlink="">
      <xdr:nvSpPr>
        <xdr:cNvPr id="1920" name="Arrow: Down 1919">
          <a:extLst>
            <a:ext uri="{FF2B5EF4-FFF2-40B4-BE49-F238E27FC236}">
              <a16:creationId xmlns:a16="http://schemas.microsoft.com/office/drawing/2014/main" id="{8A4F503B-95FA-467A-9747-1A62846A6EBB}"/>
            </a:ext>
          </a:extLst>
        </xdr:cNvPr>
        <xdr:cNvSpPr/>
      </xdr:nvSpPr>
      <xdr:spPr>
        <a:xfrm rot="10800000">
          <a:off x="1927098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252</xdr:row>
      <xdr:rowOff>0</xdr:rowOff>
    </xdr:from>
    <xdr:to>
      <xdr:col>24</xdr:col>
      <xdr:colOff>83820</xdr:colOff>
      <xdr:row>252</xdr:row>
      <xdr:rowOff>114300</xdr:rowOff>
    </xdr:to>
    <xdr:sp macro="" textlink="">
      <xdr:nvSpPr>
        <xdr:cNvPr id="1921" name="Arrow: Down 1920">
          <a:extLst>
            <a:ext uri="{FF2B5EF4-FFF2-40B4-BE49-F238E27FC236}">
              <a16:creationId xmlns:a16="http://schemas.microsoft.com/office/drawing/2014/main" id="{5183DB17-7D45-4D99-89CD-D2D2D91193B4}"/>
            </a:ext>
          </a:extLst>
        </xdr:cNvPr>
        <xdr:cNvSpPr/>
      </xdr:nvSpPr>
      <xdr:spPr>
        <a:xfrm rot="10800000">
          <a:off x="6553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252</xdr:row>
      <xdr:rowOff>0</xdr:rowOff>
    </xdr:from>
    <xdr:to>
      <xdr:col>60</xdr:col>
      <xdr:colOff>83820</xdr:colOff>
      <xdr:row>252</xdr:row>
      <xdr:rowOff>114300</xdr:rowOff>
    </xdr:to>
    <xdr:sp macro="" textlink="">
      <xdr:nvSpPr>
        <xdr:cNvPr id="1922" name="Arrow: Down 1921">
          <a:extLst>
            <a:ext uri="{FF2B5EF4-FFF2-40B4-BE49-F238E27FC236}">
              <a16:creationId xmlns:a16="http://schemas.microsoft.com/office/drawing/2014/main" id="{2D03A018-05F8-4EEF-B339-417C09500F67}"/>
            </a:ext>
          </a:extLst>
        </xdr:cNvPr>
        <xdr:cNvSpPr/>
      </xdr:nvSpPr>
      <xdr:spPr>
        <a:xfrm rot="10800000">
          <a:off x="16840200" y="46001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252</xdr:row>
      <xdr:rowOff>0</xdr:rowOff>
    </xdr:from>
    <xdr:to>
      <xdr:col>45</xdr:col>
      <xdr:colOff>83820</xdr:colOff>
      <xdr:row>252</xdr:row>
      <xdr:rowOff>114300</xdr:rowOff>
    </xdr:to>
    <xdr:sp macro="" textlink="">
      <xdr:nvSpPr>
        <xdr:cNvPr id="1928" name="Arrow: Down 1927">
          <a:extLst>
            <a:ext uri="{FF2B5EF4-FFF2-40B4-BE49-F238E27FC236}">
              <a16:creationId xmlns:a16="http://schemas.microsoft.com/office/drawing/2014/main" id="{D80B4A7F-970B-454A-9B42-07F014A155AB}"/>
            </a:ext>
          </a:extLst>
        </xdr:cNvPr>
        <xdr:cNvSpPr/>
      </xdr:nvSpPr>
      <xdr:spPr>
        <a:xfrm rot="10800000">
          <a:off x="1152144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252</xdr:row>
      <xdr:rowOff>0</xdr:rowOff>
    </xdr:from>
    <xdr:to>
      <xdr:col>39</xdr:col>
      <xdr:colOff>83820</xdr:colOff>
      <xdr:row>252</xdr:row>
      <xdr:rowOff>114300</xdr:rowOff>
    </xdr:to>
    <xdr:sp macro="" textlink="">
      <xdr:nvSpPr>
        <xdr:cNvPr id="1932" name="Arrow: Down 1931">
          <a:extLst>
            <a:ext uri="{FF2B5EF4-FFF2-40B4-BE49-F238E27FC236}">
              <a16:creationId xmlns:a16="http://schemas.microsoft.com/office/drawing/2014/main" id="{7A0C9E4D-4BB6-4CDE-A1E7-19629CFC5191}"/>
            </a:ext>
          </a:extLst>
        </xdr:cNvPr>
        <xdr:cNvSpPr/>
      </xdr:nvSpPr>
      <xdr:spPr>
        <a:xfrm rot="10800000">
          <a:off x="9715500" y="4618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252</xdr:row>
      <xdr:rowOff>0</xdr:rowOff>
    </xdr:from>
    <xdr:to>
      <xdr:col>11</xdr:col>
      <xdr:colOff>83820</xdr:colOff>
      <xdr:row>252</xdr:row>
      <xdr:rowOff>114300</xdr:rowOff>
    </xdr:to>
    <xdr:sp macro="" textlink="">
      <xdr:nvSpPr>
        <xdr:cNvPr id="1933" name="Arrow: Down 1932">
          <a:extLst>
            <a:ext uri="{FF2B5EF4-FFF2-40B4-BE49-F238E27FC236}">
              <a16:creationId xmlns:a16="http://schemas.microsoft.com/office/drawing/2014/main" id="{CC75AC8E-DFC6-4602-B756-4A15E33A1766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252</xdr:row>
      <xdr:rowOff>0</xdr:rowOff>
    </xdr:from>
    <xdr:to>
      <xdr:col>5</xdr:col>
      <xdr:colOff>83820</xdr:colOff>
      <xdr:row>252</xdr:row>
      <xdr:rowOff>114300</xdr:rowOff>
    </xdr:to>
    <xdr:sp macro="" textlink="">
      <xdr:nvSpPr>
        <xdr:cNvPr id="1938" name="Arrow: Down 1937">
          <a:extLst>
            <a:ext uri="{FF2B5EF4-FFF2-40B4-BE49-F238E27FC236}">
              <a16:creationId xmlns:a16="http://schemas.microsoft.com/office/drawing/2014/main" id="{5390F6F7-D0CD-4236-A720-8C07E10486D6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253</xdr:row>
      <xdr:rowOff>0</xdr:rowOff>
    </xdr:from>
    <xdr:to>
      <xdr:col>71</xdr:col>
      <xdr:colOff>83820</xdr:colOff>
      <xdr:row>253</xdr:row>
      <xdr:rowOff>114300</xdr:rowOff>
    </xdr:to>
    <xdr:sp macro="" textlink="">
      <xdr:nvSpPr>
        <xdr:cNvPr id="1846" name="Arrow: Down 1845">
          <a:extLst>
            <a:ext uri="{FF2B5EF4-FFF2-40B4-BE49-F238E27FC236}">
              <a16:creationId xmlns:a16="http://schemas.microsoft.com/office/drawing/2014/main" id="{C21D734A-B703-4415-94E1-26BAADDC1B9E}"/>
            </a:ext>
          </a:extLst>
        </xdr:cNvPr>
        <xdr:cNvSpPr/>
      </xdr:nvSpPr>
      <xdr:spPr>
        <a:xfrm rot="10800000">
          <a:off x="209397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253</xdr:row>
      <xdr:rowOff>0</xdr:rowOff>
    </xdr:from>
    <xdr:to>
      <xdr:col>24</xdr:col>
      <xdr:colOff>83820</xdr:colOff>
      <xdr:row>253</xdr:row>
      <xdr:rowOff>114300</xdr:rowOff>
    </xdr:to>
    <xdr:sp macro="" textlink="">
      <xdr:nvSpPr>
        <xdr:cNvPr id="1858" name="Arrow: Down 1857">
          <a:extLst>
            <a:ext uri="{FF2B5EF4-FFF2-40B4-BE49-F238E27FC236}">
              <a16:creationId xmlns:a16="http://schemas.microsoft.com/office/drawing/2014/main" id="{14FB4C69-CA6C-43DD-AE78-2FF89215306D}"/>
            </a:ext>
          </a:extLst>
        </xdr:cNvPr>
        <xdr:cNvSpPr/>
      </xdr:nvSpPr>
      <xdr:spPr>
        <a:xfrm rot="10800000">
          <a:off x="6553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253</xdr:row>
      <xdr:rowOff>0</xdr:rowOff>
    </xdr:from>
    <xdr:to>
      <xdr:col>60</xdr:col>
      <xdr:colOff>83820</xdr:colOff>
      <xdr:row>253</xdr:row>
      <xdr:rowOff>114300</xdr:rowOff>
    </xdr:to>
    <xdr:sp macro="" textlink="">
      <xdr:nvSpPr>
        <xdr:cNvPr id="1863" name="Arrow: Down 1862">
          <a:extLst>
            <a:ext uri="{FF2B5EF4-FFF2-40B4-BE49-F238E27FC236}">
              <a16:creationId xmlns:a16="http://schemas.microsoft.com/office/drawing/2014/main" id="{6D1F243F-956B-4E46-B7B7-4751377129F1}"/>
            </a:ext>
          </a:extLst>
        </xdr:cNvPr>
        <xdr:cNvSpPr/>
      </xdr:nvSpPr>
      <xdr:spPr>
        <a:xfrm rot="10800000">
          <a:off x="168402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253</xdr:row>
      <xdr:rowOff>0</xdr:rowOff>
    </xdr:from>
    <xdr:to>
      <xdr:col>11</xdr:col>
      <xdr:colOff>83820</xdr:colOff>
      <xdr:row>253</xdr:row>
      <xdr:rowOff>114300</xdr:rowOff>
    </xdr:to>
    <xdr:sp macro="" textlink="">
      <xdr:nvSpPr>
        <xdr:cNvPr id="1875" name="Arrow: Down 1874">
          <a:extLst>
            <a:ext uri="{FF2B5EF4-FFF2-40B4-BE49-F238E27FC236}">
              <a16:creationId xmlns:a16="http://schemas.microsoft.com/office/drawing/2014/main" id="{06D75A5C-90B9-4E76-B2EF-47D3E2ACB620}"/>
            </a:ext>
          </a:extLst>
        </xdr:cNvPr>
        <xdr:cNvSpPr/>
      </xdr:nvSpPr>
      <xdr:spPr>
        <a:xfrm rot="10800000">
          <a:off x="369570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253</xdr:row>
      <xdr:rowOff>0</xdr:rowOff>
    </xdr:from>
    <xdr:to>
      <xdr:col>5</xdr:col>
      <xdr:colOff>83820</xdr:colOff>
      <xdr:row>253</xdr:row>
      <xdr:rowOff>114300</xdr:rowOff>
    </xdr:to>
    <xdr:sp macro="" textlink="">
      <xdr:nvSpPr>
        <xdr:cNvPr id="1876" name="Arrow: Down 1875">
          <a:extLst>
            <a:ext uri="{FF2B5EF4-FFF2-40B4-BE49-F238E27FC236}">
              <a16:creationId xmlns:a16="http://schemas.microsoft.com/office/drawing/2014/main" id="{7068455A-80FE-4A07-B404-D24199099B13}"/>
            </a:ext>
          </a:extLst>
        </xdr:cNvPr>
        <xdr:cNvSpPr/>
      </xdr:nvSpPr>
      <xdr:spPr>
        <a:xfrm rot="10800000">
          <a:off x="1927860" y="46184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253</xdr:row>
      <xdr:rowOff>0</xdr:rowOff>
    </xdr:from>
    <xdr:to>
      <xdr:col>39</xdr:col>
      <xdr:colOff>83820</xdr:colOff>
      <xdr:row>253</xdr:row>
      <xdr:rowOff>114300</xdr:rowOff>
    </xdr:to>
    <xdr:sp macro="" textlink="">
      <xdr:nvSpPr>
        <xdr:cNvPr id="1879" name="Arrow: Down 1878">
          <a:extLst>
            <a:ext uri="{FF2B5EF4-FFF2-40B4-BE49-F238E27FC236}">
              <a16:creationId xmlns:a16="http://schemas.microsoft.com/office/drawing/2014/main" id="{743D068C-304F-4771-B18F-4ED56DB6AD99}"/>
            </a:ext>
          </a:extLst>
        </xdr:cNvPr>
        <xdr:cNvSpPr/>
      </xdr:nvSpPr>
      <xdr:spPr>
        <a:xfrm>
          <a:off x="97155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253</xdr:row>
      <xdr:rowOff>0</xdr:rowOff>
    </xdr:from>
    <xdr:to>
      <xdr:col>45</xdr:col>
      <xdr:colOff>83820</xdr:colOff>
      <xdr:row>253</xdr:row>
      <xdr:rowOff>114300</xdr:rowOff>
    </xdr:to>
    <xdr:sp macro="" textlink="">
      <xdr:nvSpPr>
        <xdr:cNvPr id="1885" name="Arrow: Down 1884">
          <a:extLst>
            <a:ext uri="{FF2B5EF4-FFF2-40B4-BE49-F238E27FC236}">
              <a16:creationId xmlns:a16="http://schemas.microsoft.com/office/drawing/2014/main" id="{D524ED7F-D5BD-4CE1-8F64-9892BF9473E2}"/>
            </a:ext>
          </a:extLst>
        </xdr:cNvPr>
        <xdr:cNvSpPr/>
      </xdr:nvSpPr>
      <xdr:spPr>
        <a:xfrm>
          <a:off x="1152144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254</xdr:row>
      <xdr:rowOff>0</xdr:rowOff>
    </xdr:from>
    <xdr:to>
      <xdr:col>71</xdr:col>
      <xdr:colOff>83820</xdr:colOff>
      <xdr:row>254</xdr:row>
      <xdr:rowOff>114300</xdr:rowOff>
    </xdr:to>
    <xdr:sp macro="" textlink="">
      <xdr:nvSpPr>
        <xdr:cNvPr id="1886" name="Arrow: Down 1885">
          <a:extLst>
            <a:ext uri="{FF2B5EF4-FFF2-40B4-BE49-F238E27FC236}">
              <a16:creationId xmlns:a16="http://schemas.microsoft.com/office/drawing/2014/main" id="{CE117890-3580-42C0-84E9-4985F7794265}"/>
            </a:ext>
          </a:extLst>
        </xdr:cNvPr>
        <xdr:cNvSpPr/>
      </xdr:nvSpPr>
      <xdr:spPr>
        <a:xfrm rot="10800000">
          <a:off x="1927098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254</xdr:row>
      <xdr:rowOff>0</xdr:rowOff>
    </xdr:from>
    <xdr:to>
      <xdr:col>11</xdr:col>
      <xdr:colOff>83820</xdr:colOff>
      <xdr:row>254</xdr:row>
      <xdr:rowOff>114300</xdr:rowOff>
    </xdr:to>
    <xdr:sp macro="" textlink="">
      <xdr:nvSpPr>
        <xdr:cNvPr id="1893" name="Arrow: Down 1892">
          <a:extLst>
            <a:ext uri="{FF2B5EF4-FFF2-40B4-BE49-F238E27FC236}">
              <a16:creationId xmlns:a16="http://schemas.microsoft.com/office/drawing/2014/main" id="{CB6EB679-9A47-4F77-9402-02496A1B08FF}"/>
            </a:ext>
          </a:extLst>
        </xdr:cNvPr>
        <xdr:cNvSpPr/>
      </xdr:nvSpPr>
      <xdr:spPr>
        <a:xfrm rot="10800000">
          <a:off x="369570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254</xdr:row>
      <xdr:rowOff>0</xdr:rowOff>
    </xdr:from>
    <xdr:to>
      <xdr:col>5</xdr:col>
      <xdr:colOff>83820</xdr:colOff>
      <xdr:row>254</xdr:row>
      <xdr:rowOff>114300</xdr:rowOff>
    </xdr:to>
    <xdr:sp macro="" textlink="">
      <xdr:nvSpPr>
        <xdr:cNvPr id="1898" name="Arrow: Down 1897">
          <a:extLst>
            <a:ext uri="{FF2B5EF4-FFF2-40B4-BE49-F238E27FC236}">
              <a16:creationId xmlns:a16="http://schemas.microsoft.com/office/drawing/2014/main" id="{8A6065C9-71D6-4297-9632-13B94EA2D394}"/>
            </a:ext>
          </a:extLst>
        </xdr:cNvPr>
        <xdr:cNvSpPr/>
      </xdr:nvSpPr>
      <xdr:spPr>
        <a:xfrm rot="10800000">
          <a:off x="1927860" y="46367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254</xdr:row>
      <xdr:rowOff>0</xdr:rowOff>
    </xdr:from>
    <xdr:to>
      <xdr:col>60</xdr:col>
      <xdr:colOff>83820</xdr:colOff>
      <xdr:row>254</xdr:row>
      <xdr:rowOff>114300</xdr:rowOff>
    </xdr:to>
    <xdr:sp macro="" textlink="">
      <xdr:nvSpPr>
        <xdr:cNvPr id="1910" name="Arrow: Down 1909">
          <a:extLst>
            <a:ext uri="{FF2B5EF4-FFF2-40B4-BE49-F238E27FC236}">
              <a16:creationId xmlns:a16="http://schemas.microsoft.com/office/drawing/2014/main" id="{505E7806-FDC3-404B-A348-A6381CB36A7A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254</xdr:row>
      <xdr:rowOff>0</xdr:rowOff>
    </xdr:from>
    <xdr:to>
      <xdr:col>24</xdr:col>
      <xdr:colOff>83820</xdr:colOff>
      <xdr:row>254</xdr:row>
      <xdr:rowOff>114300</xdr:rowOff>
    </xdr:to>
    <xdr:sp macro="" textlink="">
      <xdr:nvSpPr>
        <xdr:cNvPr id="1912" name="Arrow: Down 1911">
          <a:extLst>
            <a:ext uri="{FF2B5EF4-FFF2-40B4-BE49-F238E27FC236}">
              <a16:creationId xmlns:a16="http://schemas.microsoft.com/office/drawing/2014/main" id="{E94F320A-E8F5-4C6A-BF74-40663077A159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254</xdr:row>
      <xdr:rowOff>0</xdr:rowOff>
    </xdr:from>
    <xdr:to>
      <xdr:col>45</xdr:col>
      <xdr:colOff>83820</xdr:colOff>
      <xdr:row>254</xdr:row>
      <xdr:rowOff>114300</xdr:rowOff>
    </xdr:to>
    <xdr:sp macro="" textlink="">
      <xdr:nvSpPr>
        <xdr:cNvPr id="1916" name="Arrow: Down 1915">
          <a:extLst>
            <a:ext uri="{FF2B5EF4-FFF2-40B4-BE49-F238E27FC236}">
              <a16:creationId xmlns:a16="http://schemas.microsoft.com/office/drawing/2014/main" id="{37CC8240-7EC8-416E-9437-5AE118CABCD3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254</xdr:row>
      <xdr:rowOff>0</xdr:rowOff>
    </xdr:from>
    <xdr:to>
      <xdr:col>39</xdr:col>
      <xdr:colOff>83820</xdr:colOff>
      <xdr:row>254</xdr:row>
      <xdr:rowOff>114300</xdr:rowOff>
    </xdr:to>
    <xdr:sp macro="" textlink="">
      <xdr:nvSpPr>
        <xdr:cNvPr id="1919" name="Arrow: Down 1918">
          <a:extLst>
            <a:ext uri="{FF2B5EF4-FFF2-40B4-BE49-F238E27FC236}">
              <a16:creationId xmlns:a16="http://schemas.microsoft.com/office/drawing/2014/main" id="{E112D329-FD1B-4244-8CA6-1BC9C5FBB5E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255</xdr:row>
      <xdr:rowOff>0</xdr:rowOff>
    </xdr:from>
    <xdr:to>
      <xdr:col>71</xdr:col>
      <xdr:colOff>83820</xdr:colOff>
      <xdr:row>255</xdr:row>
      <xdr:rowOff>114300</xdr:rowOff>
    </xdr:to>
    <xdr:sp macro="" textlink="">
      <xdr:nvSpPr>
        <xdr:cNvPr id="1923" name="Arrow: Down 1922">
          <a:extLst>
            <a:ext uri="{FF2B5EF4-FFF2-40B4-BE49-F238E27FC236}">
              <a16:creationId xmlns:a16="http://schemas.microsoft.com/office/drawing/2014/main" id="{E1CF7C7D-1B49-4A60-94E4-71CD589628A0}"/>
            </a:ext>
          </a:extLst>
        </xdr:cNvPr>
        <xdr:cNvSpPr/>
      </xdr:nvSpPr>
      <xdr:spPr>
        <a:xfrm rot="10800000">
          <a:off x="19270980" y="46550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255</xdr:row>
      <xdr:rowOff>0</xdr:rowOff>
    </xdr:from>
    <xdr:to>
      <xdr:col>60</xdr:col>
      <xdr:colOff>83820</xdr:colOff>
      <xdr:row>255</xdr:row>
      <xdr:rowOff>114300</xdr:rowOff>
    </xdr:to>
    <xdr:sp macro="" textlink="">
      <xdr:nvSpPr>
        <xdr:cNvPr id="1926" name="Arrow: Down 1925">
          <a:extLst>
            <a:ext uri="{FF2B5EF4-FFF2-40B4-BE49-F238E27FC236}">
              <a16:creationId xmlns:a16="http://schemas.microsoft.com/office/drawing/2014/main" id="{BC605F01-9B9D-4FBE-88EA-7D0DE6D43769}"/>
            </a:ext>
          </a:extLst>
        </xdr:cNvPr>
        <xdr:cNvSpPr/>
      </xdr:nvSpPr>
      <xdr:spPr>
        <a:xfrm>
          <a:off x="16840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255</xdr:row>
      <xdr:rowOff>0</xdr:rowOff>
    </xdr:from>
    <xdr:to>
      <xdr:col>24</xdr:col>
      <xdr:colOff>83820</xdr:colOff>
      <xdr:row>255</xdr:row>
      <xdr:rowOff>114300</xdr:rowOff>
    </xdr:to>
    <xdr:sp macro="" textlink="">
      <xdr:nvSpPr>
        <xdr:cNvPr id="1927" name="Arrow: Down 1926">
          <a:extLst>
            <a:ext uri="{FF2B5EF4-FFF2-40B4-BE49-F238E27FC236}">
              <a16:creationId xmlns:a16="http://schemas.microsoft.com/office/drawing/2014/main" id="{A5A7DA1A-52AF-466F-B88E-4BF18FB4227A}"/>
            </a:ext>
          </a:extLst>
        </xdr:cNvPr>
        <xdr:cNvSpPr/>
      </xdr:nvSpPr>
      <xdr:spPr>
        <a:xfrm>
          <a:off x="65532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255</xdr:row>
      <xdr:rowOff>0</xdr:rowOff>
    </xdr:from>
    <xdr:to>
      <xdr:col>45</xdr:col>
      <xdr:colOff>83820</xdr:colOff>
      <xdr:row>255</xdr:row>
      <xdr:rowOff>114300</xdr:rowOff>
    </xdr:to>
    <xdr:sp macro="" textlink="">
      <xdr:nvSpPr>
        <xdr:cNvPr id="1929" name="Arrow: Down 1928">
          <a:extLst>
            <a:ext uri="{FF2B5EF4-FFF2-40B4-BE49-F238E27FC236}">
              <a16:creationId xmlns:a16="http://schemas.microsoft.com/office/drawing/2014/main" id="{158C0904-F171-4022-AF3F-E650E3B4DF42}"/>
            </a:ext>
          </a:extLst>
        </xdr:cNvPr>
        <xdr:cNvSpPr/>
      </xdr:nvSpPr>
      <xdr:spPr>
        <a:xfrm rot="10800000">
          <a:off x="1152144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255</xdr:row>
      <xdr:rowOff>0</xdr:rowOff>
    </xdr:from>
    <xdr:to>
      <xdr:col>39</xdr:col>
      <xdr:colOff>83820</xdr:colOff>
      <xdr:row>255</xdr:row>
      <xdr:rowOff>114300</xdr:rowOff>
    </xdr:to>
    <xdr:sp macro="" textlink="">
      <xdr:nvSpPr>
        <xdr:cNvPr id="1931" name="Arrow: Down 1930">
          <a:extLst>
            <a:ext uri="{FF2B5EF4-FFF2-40B4-BE49-F238E27FC236}">
              <a16:creationId xmlns:a16="http://schemas.microsoft.com/office/drawing/2014/main" id="{19B37972-3726-424B-BAF5-359DD2682585}"/>
            </a:ext>
          </a:extLst>
        </xdr:cNvPr>
        <xdr:cNvSpPr/>
      </xdr:nvSpPr>
      <xdr:spPr>
        <a:xfrm rot="10800000">
          <a:off x="9715500" y="4655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255</xdr:row>
      <xdr:rowOff>0</xdr:rowOff>
    </xdr:from>
    <xdr:to>
      <xdr:col>5</xdr:col>
      <xdr:colOff>83820</xdr:colOff>
      <xdr:row>255</xdr:row>
      <xdr:rowOff>114300</xdr:rowOff>
    </xdr:to>
    <xdr:sp macro="" textlink="">
      <xdr:nvSpPr>
        <xdr:cNvPr id="1936" name="Arrow: Down 1935">
          <a:extLst>
            <a:ext uri="{FF2B5EF4-FFF2-40B4-BE49-F238E27FC236}">
              <a16:creationId xmlns:a16="http://schemas.microsoft.com/office/drawing/2014/main" id="{A09F745B-4071-4DEC-999E-5003C2752346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255</xdr:row>
      <xdr:rowOff>0</xdr:rowOff>
    </xdr:from>
    <xdr:to>
      <xdr:col>11</xdr:col>
      <xdr:colOff>83820</xdr:colOff>
      <xdr:row>255</xdr:row>
      <xdr:rowOff>114300</xdr:rowOff>
    </xdr:to>
    <xdr:sp macro="" textlink="">
      <xdr:nvSpPr>
        <xdr:cNvPr id="1940" name="Arrow: Down 1939">
          <a:extLst>
            <a:ext uri="{FF2B5EF4-FFF2-40B4-BE49-F238E27FC236}">
              <a16:creationId xmlns:a16="http://schemas.microsoft.com/office/drawing/2014/main" id="{8BE8A04A-2353-4A85-8691-5511A3F86FC1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256</xdr:row>
      <xdr:rowOff>0</xdr:rowOff>
    </xdr:from>
    <xdr:to>
      <xdr:col>71</xdr:col>
      <xdr:colOff>83820</xdr:colOff>
      <xdr:row>256</xdr:row>
      <xdr:rowOff>114300</xdr:rowOff>
    </xdr:to>
    <xdr:sp macro="" textlink="">
      <xdr:nvSpPr>
        <xdr:cNvPr id="1942" name="Arrow: Down 1941">
          <a:extLst>
            <a:ext uri="{FF2B5EF4-FFF2-40B4-BE49-F238E27FC236}">
              <a16:creationId xmlns:a16="http://schemas.microsoft.com/office/drawing/2014/main" id="{48DC631D-2F90-4F3A-B96D-DE1B9596E419}"/>
            </a:ext>
          </a:extLst>
        </xdr:cNvPr>
        <xdr:cNvSpPr/>
      </xdr:nvSpPr>
      <xdr:spPr>
        <a:xfrm rot="10800000">
          <a:off x="19270980" y="46733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256</xdr:row>
      <xdr:rowOff>0</xdr:rowOff>
    </xdr:from>
    <xdr:to>
      <xdr:col>60</xdr:col>
      <xdr:colOff>83820</xdr:colOff>
      <xdr:row>256</xdr:row>
      <xdr:rowOff>114300</xdr:rowOff>
    </xdr:to>
    <xdr:sp macro="" textlink="">
      <xdr:nvSpPr>
        <xdr:cNvPr id="1944" name="Arrow: Down 1943">
          <a:extLst>
            <a:ext uri="{FF2B5EF4-FFF2-40B4-BE49-F238E27FC236}">
              <a16:creationId xmlns:a16="http://schemas.microsoft.com/office/drawing/2014/main" id="{AE0D82BA-B603-4C72-9B09-82D2B61740EE}"/>
            </a:ext>
          </a:extLst>
        </xdr:cNvPr>
        <xdr:cNvSpPr/>
      </xdr:nvSpPr>
      <xdr:spPr>
        <a:xfrm>
          <a:off x="16840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256</xdr:row>
      <xdr:rowOff>0</xdr:rowOff>
    </xdr:from>
    <xdr:to>
      <xdr:col>24</xdr:col>
      <xdr:colOff>83820</xdr:colOff>
      <xdr:row>256</xdr:row>
      <xdr:rowOff>114300</xdr:rowOff>
    </xdr:to>
    <xdr:sp macro="" textlink="">
      <xdr:nvSpPr>
        <xdr:cNvPr id="1945" name="Arrow: Down 1944">
          <a:extLst>
            <a:ext uri="{FF2B5EF4-FFF2-40B4-BE49-F238E27FC236}">
              <a16:creationId xmlns:a16="http://schemas.microsoft.com/office/drawing/2014/main" id="{E5EF1E73-0D25-4503-BBD7-1352E3C1340F}"/>
            </a:ext>
          </a:extLst>
        </xdr:cNvPr>
        <xdr:cNvSpPr/>
      </xdr:nvSpPr>
      <xdr:spPr>
        <a:xfrm>
          <a:off x="65532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256</xdr:row>
      <xdr:rowOff>0</xdr:rowOff>
    </xdr:from>
    <xdr:to>
      <xdr:col>5</xdr:col>
      <xdr:colOff>83820</xdr:colOff>
      <xdr:row>256</xdr:row>
      <xdr:rowOff>114300</xdr:rowOff>
    </xdr:to>
    <xdr:sp macro="" textlink="">
      <xdr:nvSpPr>
        <xdr:cNvPr id="1948" name="Arrow: Down 1947">
          <a:extLst>
            <a:ext uri="{FF2B5EF4-FFF2-40B4-BE49-F238E27FC236}">
              <a16:creationId xmlns:a16="http://schemas.microsoft.com/office/drawing/2014/main" id="{BE0EFF39-3B67-475E-87BF-BE2BDC119B32}"/>
            </a:ext>
          </a:extLst>
        </xdr:cNvPr>
        <xdr:cNvSpPr/>
      </xdr:nvSpPr>
      <xdr:spPr>
        <a:xfrm>
          <a:off x="192786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256</xdr:row>
      <xdr:rowOff>0</xdr:rowOff>
    </xdr:from>
    <xdr:to>
      <xdr:col>11</xdr:col>
      <xdr:colOff>83820</xdr:colOff>
      <xdr:row>256</xdr:row>
      <xdr:rowOff>114300</xdr:rowOff>
    </xdr:to>
    <xdr:sp macro="" textlink="">
      <xdr:nvSpPr>
        <xdr:cNvPr id="1949" name="Arrow: Down 1948">
          <a:extLst>
            <a:ext uri="{FF2B5EF4-FFF2-40B4-BE49-F238E27FC236}">
              <a16:creationId xmlns:a16="http://schemas.microsoft.com/office/drawing/2014/main" id="{5DBC936A-B42D-4E52-B1A3-E8CF16AC4A15}"/>
            </a:ext>
          </a:extLst>
        </xdr:cNvPr>
        <xdr:cNvSpPr/>
      </xdr:nvSpPr>
      <xdr:spPr>
        <a:xfrm>
          <a:off x="3695700" y="4673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256</xdr:row>
      <xdr:rowOff>0</xdr:rowOff>
    </xdr:from>
    <xdr:to>
      <xdr:col>39</xdr:col>
      <xdr:colOff>83820</xdr:colOff>
      <xdr:row>256</xdr:row>
      <xdr:rowOff>114300</xdr:rowOff>
    </xdr:to>
    <xdr:sp macro="" textlink="">
      <xdr:nvSpPr>
        <xdr:cNvPr id="1950" name="Arrow: Down 1949">
          <a:extLst>
            <a:ext uri="{FF2B5EF4-FFF2-40B4-BE49-F238E27FC236}">
              <a16:creationId xmlns:a16="http://schemas.microsoft.com/office/drawing/2014/main" id="{E9FF3B3A-A027-4FA7-9693-F19F3CA4F196}"/>
            </a:ext>
          </a:extLst>
        </xdr:cNvPr>
        <xdr:cNvSpPr/>
      </xdr:nvSpPr>
      <xdr:spPr>
        <a:xfrm>
          <a:off x="971550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256</xdr:row>
      <xdr:rowOff>0</xdr:rowOff>
    </xdr:from>
    <xdr:to>
      <xdr:col>45</xdr:col>
      <xdr:colOff>83820</xdr:colOff>
      <xdr:row>256</xdr:row>
      <xdr:rowOff>114300</xdr:rowOff>
    </xdr:to>
    <xdr:sp macro="" textlink="">
      <xdr:nvSpPr>
        <xdr:cNvPr id="1952" name="Arrow: Down 1951">
          <a:extLst>
            <a:ext uri="{FF2B5EF4-FFF2-40B4-BE49-F238E27FC236}">
              <a16:creationId xmlns:a16="http://schemas.microsoft.com/office/drawing/2014/main" id="{6790D342-4DC5-4492-B5EA-28503D3810FE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257</xdr:row>
      <xdr:rowOff>0</xdr:rowOff>
    </xdr:from>
    <xdr:to>
      <xdr:col>71</xdr:col>
      <xdr:colOff>83820</xdr:colOff>
      <xdr:row>257</xdr:row>
      <xdr:rowOff>114300</xdr:rowOff>
    </xdr:to>
    <xdr:sp macro="" textlink="">
      <xdr:nvSpPr>
        <xdr:cNvPr id="1953" name="Arrow: Down 1952">
          <a:extLst>
            <a:ext uri="{FF2B5EF4-FFF2-40B4-BE49-F238E27FC236}">
              <a16:creationId xmlns:a16="http://schemas.microsoft.com/office/drawing/2014/main" id="{0C037742-CCE9-49E3-AE26-297B623D1265}"/>
            </a:ext>
          </a:extLst>
        </xdr:cNvPr>
        <xdr:cNvSpPr/>
      </xdr:nvSpPr>
      <xdr:spPr>
        <a:xfrm rot="10800000">
          <a:off x="1927098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257</xdr:row>
      <xdr:rowOff>0</xdr:rowOff>
    </xdr:from>
    <xdr:to>
      <xdr:col>45</xdr:col>
      <xdr:colOff>83820</xdr:colOff>
      <xdr:row>257</xdr:row>
      <xdr:rowOff>114300</xdr:rowOff>
    </xdr:to>
    <xdr:sp macro="" textlink="">
      <xdr:nvSpPr>
        <xdr:cNvPr id="1959" name="Arrow: Down 1958">
          <a:extLst>
            <a:ext uri="{FF2B5EF4-FFF2-40B4-BE49-F238E27FC236}">
              <a16:creationId xmlns:a16="http://schemas.microsoft.com/office/drawing/2014/main" id="{9FEFFDBB-D7F7-45CE-B5F9-00866F71C188}"/>
            </a:ext>
          </a:extLst>
        </xdr:cNvPr>
        <xdr:cNvSpPr/>
      </xdr:nvSpPr>
      <xdr:spPr>
        <a:xfrm>
          <a:off x="11521440" y="46916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257</xdr:row>
      <xdr:rowOff>0</xdr:rowOff>
    </xdr:from>
    <xdr:to>
      <xdr:col>11</xdr:col>
      <xdr:colOff>83820</xdr:colOff>
      <xdr:row>257</xdr:row>
      <xdr:rowOff>114300</xdr:rowOff>
    </xdr:to>
    <xdr:sp macro="" textlink="">
      <xdr:nvSpPr>
        <xdr:cNvPr id="1960" name="Arrow: Down 1959">
          <a:extLst>
            <a:ext uri="{FF2B5EF4-FFF2-40B4-BE49-F238E27FC236}">
              <a16:creationId xmlns:a16="http://schemas.microsoft.com/office/drawing/2014/main" id="{BB8A31EC-0C34-4AA6-B4FE-B0DBD625C063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257</xdr:row>
      <xdr:rowOff>0</xdr:rowOff>
    </xdr:from>
    <xdr:to>
      <xdr:col>24</xdr:col>
      <xdr:colOff>83820</xdr:colOff>
      <xdr:row>257</xdr:row>
      <xdr:rowOff>114300</xdr:rowOff>
    </xdr:to>
    <xdr:sp macro="" textlink="">
      <xdr:nvSpPr>
        <xdr:cNvPr id="1961" name="Arrow: Down 1960">
          <a:extLst>
            <a:ext uri="{FF2B5EF4-FFF2-40B4-BE49-F238E27FC236}">
              <a16:creationId xmlns:a16="http://schemas.microsoft.com/office/drawing/2014/main" id="{FF249E7B-3AF9-4A28-99EE-1201D253EAEB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257</xdr:row>
      <xdr:rowOff>0</xdr:rowOff>
    </xdr:from>
    <xdr:to>
      <xdr:col>5</xdr:col>
      <xdr:colOff>83820</xdr:colOff>
      <xdr:row>257</xdr:row>
      <xdr:rowOff>114300</xdr:rowOff>
    </xdr:to>
    <xdr:sp macro="" textlink="">
      <xdr:nvSpPr>
        <xdr:cNvPr id="1962" name="Arrow: Down 1961">
          <a:extLst>
            <a:ext uri="{FF2B5EF4-FFF2-40B4-BE49-F238E27FC236}">
              <a16:creationId xmlns:a16="http://schemas.microsoft.com/office/drawing/2014/main" id="{8AF05341-F57D-4CBA-92F5-42A7BBE6E7B8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257</xdr:row>
      <xdr:rowOff>0</xdr:rowOff>
    </xdr:from>
    <xdr:to>
      <xdr:col>39</xdr:col>
      <xdr:colOff>83820</xdr:colOff>
      <xdr:row>257</xdr:row>
      <xdr:rowOff>114300</xdr:rowOff>
    </xdr:to>
    <xdr:sp macro="" textlink="">
      <xdr:nvSpPr>
        <xdr:cNvPr id="1963" name="Arrow: Down 1962">
          <a:extLst>
            <a:ext uri="{FF2B5EF4-FFF2-40B4-BE49-F238E27FC236}">
              <a16:creationId xmlns:a16="http://schemas.microsoft.com/office/drawing/2014/main" id="{A6302300-9185-479E-894F-7F50964E62D4}"/>
            </a:ext>
          </a:extLst>
        </xdr:cNvPr>
        <xdr:cNvSpPr/>
      </xdr:nvSpPr>
      <xdr:spPr>
        <a:xfrm rot="10800000">
          <a:off x="9715500" y="47099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257</xdr:row>
      <xdr:rowOff>0</xdr:rowOff>
    </xdr:from>
    <xdr:to>
      <xdr:col>60</xdr:col>
      <xdr:colOff>83820</xdr:colOff>
      <xdr:row>257</xdr:row>
      <xdr:rowOff>114300</xdr:rowOff>
    </xdr:to>
    <xdr:sp macro="" textlink="">
      <xdr:nvSpPr>
        <xdr:cNvPr id="1965" name="Arrow: Down 1964">
          <a:extLst>
            <a:ext uri="{FF2B5EF4-FFF2-40B4-BE49-F238E27FC236}">
              <a16:creationId xmlns:a16="http://schemas.microsoft.com/office/drawing/2014/main" id="{7BF69BE1-1C01-4DA2-A546-FF202F80AC09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258</xdr:row>
      <xdr:rowOff>0</xdr:rowOff>
    </xdr:from>
    <xdr:to>
      <xdr:col>71</xdr:col>
      <xdr:colOff>83820</xdr:colOff>
      <xdr:row>258</xdr:row>
      <xdr:rowOff>114300</xdr:rowOff>
    </xdr:to>
    <xdr:sp macro="" textlink="">
      <xdr:nvSpPr>
        <xdr:cNvPr id="1973" name="Arrow: Down 1972">
          <a:extLst>
            <a:ext uri="{FF2B5EF4-FFF2-40B4-BE49-F238E27FC236}">
              <a16:creationId xmlns:a16="http://schemas.microsoft.com/office/drawing/2014/main" id="{CA2CFE95-0A77-4F78-8E90-DE3BAAC3E240}"/>
            </a:ext>
          </a:extLst>
        </xdr:cNvPr>
        <xdr:cNvSpPr/>
      </xdr:nvSpPr>
      <xdr:spPr>
        <a:xfrm rot="10800000">
          <a:off x="209397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258</xdr:row>
      <xdr:rowOff>0</xdr:rowOff>
    </xdr:from>
    <xdr:to>
      <xdr:col>45</xdr:col>
      <xdr:colOff>83820</xdr:colOff>
      <xdr:row>258</xdr:row>
      <xdr:rowOff>114300</xdr:rowOff>
    </xdr:to>
    <xdr:sp macro="" textlink="">
      <xdr:nvSpPr>
        <xdr:cNvPr id="1974" name="Arrow: Down 1973">
          <a:extLst>
            <a:ext uri="{FF2B5EF4-FFF2-40B4-BE49-F238E27FC236}">
              <a16:creationId xmlns:a16="http://schemas.microsoft.com/office/drawing/2014/main" id="{F51C613F-7212-41AD-87D5-95E2026CE1FE}"/>
            </a:ext>
          </a:extLst>
        </xdr:cNvPr>
        <xdr:cNvSpPr/>
      </xdr:nvSpPr>
      <xdr:spPr>
        <a:xfrm>
          <a:off x="1152144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258</xdr:row>
      <xdr:rowOff>0</xdr:rowOff>
    </xdr:from>
    <xdr:to>
      <xdr:col>11</xdr:col>
      <xdr:colOff>83820</xdr:colOff>
      <xdr:row>258</xdr:row>
      <xdr:rowOff>114300</xdr:rowOff>
    </xdr:to>
    <xdr:sp macro="" textlink="">
      <xdr:nvSpPr>
        <xdr:cNvPr id="1975" name="Arrow: Down 1974">
          <a:extLst>
            <a:ext uri="{FF2B5EF4-FFF2-40B4-BE49-F238E27FC236}">
              <a16:creationId xmlns:a16="http://schemas.microsoft.com/office/drawing/2014/main" id="{A393A150-2615-4D6E-8A54-ACC20C2561A1}"/>
            </a:ext>
          </a:extLst>
        </xdr:cNvPr>
        <xdr:cNvSpPr/>
      </xdr:nvSpPr>
      <xdr:spPr>
        <a:xfrm rot="10800000">
          <a:off x="36957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258</xdr:row>
      <xdr:rowOff>0</xdr:rowOff>
    </xdr:from>
    <xdr:to>
      <xdr:col>24</xdr:col>
      <xdr:colOff>83820</xdr:colOff>
      <xdr:row>258</xdr:row>
      <xdr:rowOff>114300</xdr:rowOff>
    </xdr:to>
    <xdr:sp macro="" textlink="">
      <xdr:nvSpPr>
        <xdr:cNvPr id="1976" name="Arrow: Down 1975">
          <a:extLst>
            <a:ext uri="{FF2B5EF4-FFF2-40B4-BE49-F238E27FC236}">
              <a16:creationId xmlns:a16="http://schemas.microsoft.com/office/drawing/2014/main" id="{017D364E-3435-4990-8151-E7E40DC88B7F}"/>
            </a:ext>
          </a:extLst>
        </xdr:cNvPr>
        <xdr:cNvSpPr/>
      </xdr:nvSpPr>
      <xdr:spPr>
        <a:xfrm rot="10800000">
          <a:off x="6553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258</xdr:row>
      <xdr:rowOff>0</xdr:rowOff>
    </xdr:from>
    <xdr:to>
      <xdr:col>5</xdr:col>
      <xdr:colOff>83820</xdr:colOff>
      <xdr:row>258</xdr:row>
      <xdr:rowOff>114300</xdr:rowOff>
    </xdr:to>
    <xdr:sp macro="" textlink="">
      <xdr:nvSpPr>
        <xdr:cNvPr id="1977" name="Arrow: Down 1976">
          <a:extLst>
            <a:ext uri="{FF2B5EF4-FFF2-40B4-BE49-F238E27FC236}">
              <a16:creationId xmlns:a16="http://schemas.microsoft.com/office/drawing/2014/main" id="{17128DB6-09D5-4898-977B-CD5ED416BF67}"/>
            </a:ext>
          </a:extLst>
        </xdr:cNvPr>
        <xdr:cNvSpPr/>
      </xdr:nvSpPr>
      <xdr:spPr>
        <a:xfrm rot="10800000">
          <a:off x="192786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258</xdr:row>
      <xdr:rowOff>0</xdr:rowOff>
    </xdr:from>
    <xdr:to>
      <xdr:col>60</xdr:col>
      <xdr:colOff>83820</xdr:colOff>
      <xdr:row>258</xdr:row>
      <xdr:rowOff>114300</xdr:rowOff>
    </xdr:to>
    <xdr:sp macro="" textlink="">
      <xdr:nvSpPr>
        <xdr:cNvPr id="1979" name="Arrow: Down 1978">
          <a:extLst>
            <a:ext uri="{FF2B5EF4-FFF2-40B4-BE49-F238E27FC236}">
              <a16:creationId xmlns:a16="http://schemas.microsoft.com/office/drawing/2014/main" id="{9A39BA50-A4CD-4C74-B43B-E78FEDFF89AC}"/>
            </a:ext>
          </a:extLst>
        </xdr:cNvPr>
        <xdr:cNvSpPr/>
      </xdr:nvSpPr>
      <xdr:spPr>
        <a:xfrm rot="10800000">
          <a:off x="16840200" y="47099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258</xdr:row>
      <xdr:rowOff>0</xdr:rowOff>
    </xdr:from>
    <xdr:to>
      <xdr:col>39</xdr:col>
      <xdr:colOff>83820</xdr:colOff>
      <xdr:row>258</xdr:row>
      <xdr:rowOff>114300</xdr:rowOff>
    </xdr:to>
    <xdr:sp macro="" textlink="">
      <xdr:nvSpPr>
        <xdr:cNvPr id="1980" name="Arrow: Down 1979">
          <a:extLst>
            <a:ext uri="{FF2B5EF4-FFF2-40B4-BE49-F238E27FC236}">
              <a16:creationId xmlns:a16="http://schemas.microsoft.com/office/drawing/2014/main" id="{55A201EC-512A-411B-A921-4B60D7445F8C}"/>
            </a:ext>
          </a:extLst>
        </xdr:cNvPr>
        <xdr:cNvSpPr/>
      </xdr:nvSpPr>
      <xdr:spPr>
        <a:xfrm>
          <a:off x="97155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259</xdr:row>
      <xdr:rowOff>0</xdr:rowOff>
    </xdr:from>
    <xdr:to>
      <xdr:col>71</xdr:col>
      <xdr:colOff>83820</xdr:colOff>
      <xdr:row>259</xdr:row>
      <xdr:rowOff>114300</xdr:rowOff>
    </xdr:to>
    <xdr:sp macro="" textlink="">
      <xdr:nvSpPr>
        <xdr:cNvPr id="1981" name="Arrow: Down 1980">
          <a:extLst>
            <a:ext uri="{FF2B5EF4-FFF2-40B4-BE49-F238E27FC236}">
              <a16:creationId xmlns:a16="http://schemas.microsoft.com/office/drawing/2014/main" id="{43E04372-1543-4972-A1E7-89245D784A9D}"/>
            </a:ext>
          </a:extLst>
        </xdr:cNvPr>
        <xdr:cNvSpPr/>
      </xdr:nvSpPr>
      <xdr:spPr>
        <a:xfrm rot="10800000">
          <a:off x="209397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259</xdr:row>
      <xdr:rowOff>0</xdr:rowOff>
    </xdr:from>
    <xdr:to>
      <xdr:col>11</xdr:col>
      <xdr:colOff>83820</xdr:colOff>
      <xdr:row>259</xdr:row>
      <xdr:rowOff>114300</xdr:rowOff>
    </xdr:to>
    <xdr:sp macro="" textlink="">
      <xdr:nvSpPr>
        <xdr:cNvPr id="1983" name="Arrow: Down 1982">
          <a:extLst>
            <a:ext uri="{FF2B5EF4-FFF2-40B4-BE49-F238E27FC236}">
              <a16:creationId xmlns:a16="http://schemas.microsoft.com/office/drawing/2014/main" id="{99369641-6D28-4DB2-9F0E-84F2A9744B22}"/>
            </a:ext>
          </a:extLst>
        </xdr:cNvPr>
        <xdr:cNvSpPr/>
      </xdr:nvSpPr>
      <xdr:spPr>
        <a:xfrm rot="10800000">
          <a:off x="36957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259</xdr:row>
      <xdr:rowOff>0</xdr:rowOff>
    </xdr:from>
    <xdr:to>
      <xdr:col>24</xdr:col>
      <xdr:colOff>83820</xdr:colOff>
      <xdr:row>259</xdr:row>
      <xdr:rowOff>114300</xdr:rowOff>
    </xdr:to>
    <xdr:sp macro="" textlink="">
      <xdr:nvSpPr>
        <xdr:cNvPr id="1984" name="Arrow: Down 1983">
          <a:extLst>
            <a:ext uri="{FF2B5EF4-FFF2-40B4-BE49-F238E27FC236}">
              <a16:creationId xmlns:a16="http://schemas.microsoft.com/office/drawing/2014/main" id="{D67847BB-D43B-4D05-9D52-9127813EE8F2}"/>
            </a:ext>
          </a:extLst>
        </xdr:cNvPr>
        <xdr:cNvSpPr/>
      </xdr:nvSpPr>
      <xdr:spPr>
        <a:xfrm rot="10800000">
          <a:off x="6553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259</xdr:row>
      <xdr:rowOff>0</xdr:rowOff>
    </xdr:from>
    <xdr:to>
      <xdr:col>5</xdr:col>
      <xdr:colOff>83820</xdr:colOff>
      <xdr:row>259</xdr:row>
      <xdr:rowOff>114300</xdr:rowOff>
    </xdr:to>
    <xdr:sp macro="" textlink="">
      <xdr:nvSpPr>
        <xdr:cNvPr id="1985" name="Arrow: Down 1984">
          <a:extLst>
            <a:ext uri="{FF2B5EF4-FFF2-40B4-BE49-F238E27FC236}">
              <a16:creationId xmlns:a16="http://schemas.microsoft.com/office/drawing/2014/main" id="{38205742-7782-4D5B-8C58-B23A1E58F2ED}"/>
            </a:ext>
          </a:extLst>
        </xdr:cNvPr>
        <xdr:cNvSpPr/>
      </xdr:nvSpPr>
      <xdr:spPr>
        <a:xfrm rot="10800000">
          <a:off x="192786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259</xdr:row>
      <xdr:rowOff>0</xdr:rowOff>
    </xdr:from>
    <xdr:to>
      <xdr:col>60</xdr:col>
      <xdr:colOff>83820</xdr:colOff>
      <xdr:row>259</xdr:row>
      <xdr:rowOff>114300</xdr:rowOff>
    </xdr:to>
    <xdr:sp macro="" textlink="">
      <xdr:nvSpPr>
        <xdr:cNvPr id="1986" name="Arrow: Down 1985">
          <a:extLst>
            <a:ext uri="{FF2B5EF4-FFF2-40B4-BE49-F238E27FC236}">
              <a16:creationId xmlns:a16="http://schemas.microsoft.com/office/drawing/2014/main" id="{513E8274-3E0D-4890-8669-D2B5E638C284}"/>
            </a:ext>
          </a:extLst>
        </xdr:cNvPr>
        <xdr:cNvSpPr/>
      </xdr:nvSpPr>
      <xdr:spPr>
        <a:xfrm rot="10800000">
          <a:off x="16840200" y="47282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259</xdr:row>
      <xdr:rowOff>0</xdr:rowOff>
    </xdr:from>
    <xdr:to>
      <xdr:col>39</xdr:col>
      <xdr:colOff>83820</xdr:colOff>
      <xdr:row>259</xdr:row>
      <xdr:rowOff>114300</xdr:rowOff>
    </xdr:to>
    <xdr:sp macro="" textlink="">
      <xdr:nvSpPr>
        <xdr:cNvPr id="1988" name="Arrow: Down 1987">
          <a:extLst>
            <a:ext uri="{FF2B5EF4-FFF2-40B4-BE49-F238E27FC236}">
              <a16:creationId xmlns:a16="http://schemas.microsoft.com/office/drawing/2014/main" id="{3F28C59E-5CCA-41DA-A228-E65185000529}"/>
            </a:ext>
          </a:extLst>
        </xdr:cNvPr>
        <xdr:cNvSpPr/>
      </xdr:nvSpPr>
      <xdr:spPr>
        <a:xfrm rot="10800000">
          <a:off x="971550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259</xdr:row>
      <xdr:rowOff>0</xdr:rowOff>
    </xdr:from>
    <xdr:to>
      <xdr:col>45</xdr:col>
      <xdr:colOff>83820</xdr:colOff>
      <xdr:row>259</xdr:row>
      <xdr:rowOff>114300</xdr:rowOff>
    </xdr:to>
    <xdr:sp macro="" textlink="">
      <xdr:nvSpPr>
        <xdr:cNvPr id="1989" name="Arrow: Down 1988">
          <a:extLst>
            <a:ext uri="{FF2B5EF4-FFF2-40B4-BE49-F238E27FC236}">
              <a16:creationId xmlns:a16="http://schemas.microsoft.com/office/drawing/2014/main" id="{A5C1A52F-632F-4654-9F44-FC58829810BB}"/>
            </a:ext>
          </a:extLst>
        </xdr:cNvPr>
        <xdr:cNvSpPr/>
      </xdr:nvSpPr>
      <xdr:spPr>
        <a:xfrm rot="10800000">
          <a:off x="11521440" y="47464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260</xdr:row>
      <xdr:rowOff>0</xdr:rowOff>
    </xdr:from>
    <xdr:to>
      <xdr:col>71</xdr:col>
      <xdr:colOff>83820</xdr:colOff>
      <xdr:row>260</xdr:row>
      <xdr:rowOff>114300</xdr:rowOff>
    </xdr:to>
    <xdr:sp macro="" textlink="">
      <xdr:nvSpPr>
        <xdr:cNvPr id="1866" name="Arrow: Down 1865">
          <a:extLst>
            <a:ext uri="{FF2B5EF4-FFF2-40B4-BE49-F238E27FC236}">
              <a16:creationId xmlns:a16="http://schemas.microsoft.com/office/drawing/2014/main" id="{BFB1806D-EA2B-47F2-906D-C7EF89B17FB6}"/>
            </a:ext>
          </a:extLst>
        </xdr:cNvPr>
        <xdr:cNvSpPr/>
      </xdr:nvSpPr>
      <xdr:spPr>
        <a:xfrm rot="10800000">
          <a:off x="2093976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260</xdr:row>
      <xdr:rowOff>0</xdr:rowOff>
    </xdr:from>
    <xdr:to>
      <xdr:col>60</xdr:col>
      <xdr:colOff>83820</xdr:colOff>
      <xdr:row>260</xdr:row>
      <xdr:rowOff>114300</xdr:rowOff>
    </xdr:to>
    <xdr:sp macro="" textlink="">
      <xdr:nvSpPr>
        <xdr:cNvPr id="1891" name="Arrow: Down 1890">
          <a:extLst>
            <a:ext uri="{FF2B5EF4-FFF2-40B4-BE49-F238E27FC236}">
              <a16:creationId xmlns:a16="http://schemas.microsoft.com/office/drawing/2014/main" id="{0FB23F0F-8949-4897-9180-DE73B0808CB7}"/>
            </a:ext>
          </a:extLst>
        </xdr:cNvPr>
        <xdr:cNvSpPr/>
      </xdr:nvSpPr>
      <xdr:spPr>
        <a:xfrm rot="10800000">
          <a:off x="16840200" y="47464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260</xdr:row>
      <xdr:rowOff>0</xdr:rowOff>
    </xdr:from>
    <xdr:to>
      <xdr:col>5</xdr:col>
      <xdr:colOff>83820</xdr:colOff>
      <xdr:row>260</xdr:row>
      <xdr:rowOff>114300</xdr:rowOff>
    </xdr:to>
    <xdr:sp macro="" textlink="">
      <xdr:nvSpPr>
        <xdr:cNvPr id="1911" name="Arrow: Down 1910">
          <a:extLst>
            <a:ext uri="{FF2B5EF4-FFF2-40B4-BE49-F238E27FC236}">
              <a16:creationId xmlns:a16="http://schemas.microsoft.com/office/drawing/2014/main" id="{A1788559-1416-4098-A4C2-9A2E8342A21B}"/>
            </a:ext>
          </a:extLst>
        </xdr:cNvPr>
        <xdr:cNvSpPr/>
      </xdr:nvSpPr>
      <xdr:spPr>
        <a:xfrm>
          <a:off x="192786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260</xdr:row>
      <xdr:rowOff>0</xdr:rowOff>
    </xdr:from>
    <xdr:to>
      <xdr:col>11</xdr:col>
      <xdr:colOff>83820</xdr:colOff>
      <xdr:row>260</xdr:row>
      <xdr:rowOff>114300</xdr:rowOff>
    </xdr:to>
    <xdr:sp macro="" textlink="">
      <xdr:nvSpPr>
        <xdr:cNvPr id="1924" name="Arrow: Down 1923">
          <a:extLst>
            <a:ext uri="{FF2B5EF4-FFF2-40B4-BE49-F238E27FC236}">
              <a16:creationId xmlns:a16="http://schemas.microsoft.com/office/drawing/2014/main" id="{E93C4009-981E-4BF9-83FC-A422C5A9A506}"/>
            </a:ext>
          </a:extLst>
        </xdr:cNvPr>
        <xdr:cNvSpPr/>
      </xdr:nvSpPr>
      <xdr:spPr>
        <a:xfrm>
          <a:off x="36957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260</xdr:row>
      <xdr:rowOff>0</xdr:rowOff>
    </xdr:from>
    <xdr:to>
      <xdr:col>24</xdr:col>
      <xdr:colOff>83820</xdr:colOff>
      <xdr:row>260</xdr:row>
      <xdr:rowOff>114300</xdr:rowOff>
    </xdr:to>
    <xdr:sp macro="" textlink="">
      <xdr:nvSpPr>
        <xdr:cNvPr id="1925" name="Arrow: Down 1924">
          <a:extLst>
            <a:ext uri="{FF2B5EF4-FFF2-40B4-BE49-F238E27FC236}">
              <a16:creationId xmlns:a16="http://schemas.microsoft.com/office/drawing/2014/main" id="{44FB8915-AC4F-4230-80B1-F9A8E53FB8A5}"/>
            </a:ext>
          </a:extLst>
        </xdr:cNvPr>
        <xdr:cNvSpPr/>
      </xdr:nvSpPr>
      <xdr:spPr>
        <a:xfrm>
          <a:off x="6553200" y="47647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260</xdr:row>
      <xdr:rowOff>0</xdr:rowOff>
    </xdr:from>
    <xdr:to>
      <xdr:col>45</xdr:col>
      <xdr:colOff>83820</xdr:colOff>
      <xdr:row>260</xdr:row>
      <xdr:rowOff>114300</xdr:rowOff>
    </xdr:to>
    <xdr:sp macro="" textlink="">
      <xdr:nvSpPr>
        <xdr:cNvPr id="1946" name="Arrow: Down 1945">
          <a:extLst>
            <a:ext uri="{FF2B5EF4-FFF2-40B4-BE49-F238E27FC236}">
              <a16:creationId xmlns:a16="http://schemas.microsoft.com/office/drawing/2014/main" id="{106FF3B9-B50B-4562-9373-96D22BFA4A09}"/>
            </a:ext>
          </a:extLst>
        </xdr:cNvPr>
        <xdr:cNvSpPr/>
      </xdr:nvSpPr>
      <xdr:spPr>
        <a:xfrm>
          <a:off x="1152144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260</xdr:row>
      <xdr:rowOff>0</xdr:rowOff>
    </xdr:from>
    <xdr:to>
      <xdr:col>39</xdr:col>
      <xdr:colOff>83820</xdr:colOff>
      <xdr:row>260</xdr:row>
      <xdr:rowOff>114300</xdr:rowOff>
    </xdr:to>
    <xdr:sp macro="" textlink="">
      <xdr:nvSpPr>
        <xdr:cNvPr id="1947" name="Arrow: Down 1946">
          <a:extLst>
            <a:ext uri="{FF2B5EF4-FFF2-40B4-BE49-F238E27FC236}">
              <a16:creationId xmlns:a16="http://schemas.microsoft.com/office/drawing/2014/main" id="{2C1FAF55-2ABA-44D7-879D-ED700B53489E}"/>
            </a:ext>
          </a:extLst>
        </xdr:cNvPr>
        <xdr:cNvSpPr/>
      </xdr:nvSpPr>
      <xdr:spPr>
        <a:xfrm>
          <a:off x="9715500" y="47647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261</xdr:row>
      <xdr:rowOff>0</xdr:rowOff>
    </xdr:from>
    <xdr:to>
      <xdr:col>11</xdr:col>
      <xdr:colOff>83820</xdr:colOff>
      <xdr:row>261</xdr:row>
      <xdr:rowOff>114300</xdr:rowOff>
    </xdr:to>
    <xdr:sp macro="" textlink="">
      <xdr:nvSpPr>
        <xdr:cNvPr id="1968" name="Arrow: Down 1967">
          <a:extLst>
            <a:ext uri="{FF2B5EF4-FFF2-40B4-BE49-F238E27FC236}">
              <a16:creationId xmlns:a16="http://schemas.microsoft.com/office/drawing/2014/main" id="{098A139F-B64F-408C-905B-C4B38F6B9B79}"/>
            </a:ext>
          </a:extLst>
        </xdr:cNvPr>
        <xdr:cNvSpPr/>
      </xdr:nvSpPr>
      <xdr:spPr>
        <a:xfrm rot="10800000">
          <a:off x="36957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261</xdr:row>
      <xdr:rowOff>0</xdr:rowOff>
    </xdr:from>
    <xdr:to>
      <xdr:col>5</xdr:col>
      <xdr:colOff>83820</xdr:colOff>
      <xdr:row>261</xdr:row>
      <xdr:rowOff>114300</xdr:rowOff>
    </xdr:to>
    <xdr:sp macro="" textlink="">
      <xdr:nvSpPr>
        <xdr:cNvPr id="1970" name="Arrow: Down 1969">
          <a:extLst>
            <a:ext uri="{FF2B5EF4-FFF2-40B4-BE49-F238E27FC236}">
              <a16:creationId xmlns:a16="http://schemas.microsoft.com/office/drawing/2014/main" id="{D78201A6-7E2E-4B21-A3D4-09261F944337}"/>
            </a:ext>
          </a:extLst>
        </xdr:cNvPr>
        <xdr:cNvSpPr/>
      </xdr:nvSpPr>
      <xdr:spPr>
        <a:xfrm rot="10800000">
          <a:off x="192786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261</xdr:row>
      <xdr:rowOff>0</xdr:rowOff>
    </xdr:from>
    <xdr:to>
      <xdr:col>24</xdr:col>
      <xdr:colOff>83820</xdr:colOff>
      <xdr:row>261</xdr:row>
      <xdr:rowOff>114300</xdr:rowOff>
    </xdr:to>
    <xdr:sp macro="" textlink="">
      <xdr:nvSpPr>
        <xdr:cNvPr id="1972" name="Arrow: Down 1971">
          <a:extLst>
            <a:ext uri="{FF2B5EF4-FFF2-40B4-BE49-F238E27FC236}">
              <a16:creationId xmlns:a16="http://schemas.microsoft.com/office/drawing/2014/main" id="{B2B72EF4-2F56-47F9-83FD-0029B2CBF738}"/>
            </a:ext>
          </a:extLst>
        </xdr:cNvPr>
        <xdr:cNvSpPr/>
      </xdr:nvSpPr>
      <xdr:spPr>
        <a:xfrm rot="10800000">
          <a:off x="655320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261</xdr:row>
      <xdr:rowOff>0</xdr:rowOff>
    </xdr:from>
    <xdr:to>
      <xdr:col>45</xdr:col>
      <xdr:colOff>83820</xdr:colOff>
      <xdr:row>261</xdr:row>
      <xdr:rowOff>114300</xdr:rowOff>
    </xdr:to>
    <xdr:sp macro="" textlink="">
      <xdr:nvSpPr>
        <xdr:cNvPr id="1982" name="Arrow: Down 1981">
          <a:extLst>
            <a:ext uri="{FF2B5EF4-FFF2-40B4-BE49-F238E27FC236}">
              <a16:creationId xmlns:a16="http://schemas.microsoft.com/office/drawing/2014/main" id="{D8DF9504-3074-4769-A085-7388E9392712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261</xdr:row>
      <xdr:rowOff>0</xdr:rowOff>
    </xdr:from>
    <xdr:to>
      <xdr:col>39</xdr:col>
      <xdr:colOff>83820</xdr:colOff>
      <xdr:row>261</xdr:row>
      <xdr:rowOff>114300</xdr:rowOff>
    </xdr:to>
    <xdr:sp macro="" textlink="">
      <xdr:nvSpPr>
        <xdr:cNvPr id="1987" name="Arrow: Down 1986">
          <a:extLst>
            <a:ext uri="{FF2B5EF4-FFF2-40B4-BE49-F238E27FC236}">
              <a16:creationId xmlns:a16="http://schemas.microsoft.com/office/drawing/2014/main" id="{BDA6BB4B-19F9-4BEA-8175-9139B175BBDF}"/>
            </a:ext>
          </a:extLst>
        </xdr:cNvPr>
        <xdr:cNvSpPr/>
      </xdr:nvSpPr>
      <xdr:spPr>
        <a:xfrm rot="10800000">
          <a:off x="97155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261</xdr:row>
      <xdr:rowOff>0</xdr:rowOff>
    </xdr:from>
    <xdr:to>
      <xdr:col>60</xdr:col>
      <xdr:colOff>83820</xdr:colOff>
      <xdr:row>261</xdr:row>
      <xdr:rowOff>114300</xdr:rowOff>
    </xdr:to>
    <xdr:sp macro="" textlink="">
      <xdr:nvSpPr>
        <xdr:cNvPr id="1991" name="Arrow: Down 1990">
          <a:extLst>
            <a:ext uri="{FF2B5EF4-FFF2-40B4-BE49-F238E27FC236}">
              <a16:creationId xmlns:a16="http://schemas.microsoft.com/office/drawing/2014/main" id="{39FFE110-2137-49A0-BD78-7FB17B4CD509}"/>
            </a:ext>
          </a:extLst>
        </xdr:cNvPr>
        <xdr:cNvSpPr/>
      </xdr:nvSpPr>
      <xdr:spPr>
        <a:xfrm>
          <a:off x="1684020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261</xdr:row>
      <xdr:rowOff>0</xdr:rowOff>
    </xdr:from>
    <xdr:to>
      <xdr:col>71</xdr:col>
      <xdr:colOff>83820</xdr:colOff>
      <xdr:row>261</xdr:row>
      <xdr:rowOff>114300</xdr:rowOff>
    </xdr:to>
    <xdr:sp macro="" textlink="">
      <xdr:nvSpPr>
        <xdr:cNvPr id="1992" name="Arrow: Down 1991">
          <a:extLst>
            <a:ext uri="{FF2B5EF4-FFF2-40B4-BE49-F238E27FC236}">
              <a16:creationId xmlns:a16="http://schemas.microsoft.com/office/drawing/2014/main" id="{F1AE1037-2AB9-4F9C-B144-AE15594B3E05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262</xdr:row>
      <xdr:rowOff>0</xdr:rowOff>
    </xdr:from>
    <xdr:to>
      <xdr:col>45</xdr:col>
      <xdr:colOff>83820</xdr:colOff>
      <xdr:row>262</xdr:row>
      <xdr:rowOff>114300</xdr:rowOff>
    </xdr:to>
    <xdr:sp macro="" textlink="">
      <xdr:nvSpPr>
        <xdr:cNvPr id="2003" name="Arrow: Down 2002">
          <a:extLst>
            <a:ext uri="{FF2B5EF4-FFF2-40B4-BE49-F238E27FC236}">
              <a16:creationId xmlns:a16="http://schemas.microsoft.com/office/drawing/2014/main" id="{DE3711F3-87B8-4CCD-B4EF-11603A93C909}"/>
            </a:ext>
          </a:extLst>
        </xdr:cNvPr>
        <xdr:cNvSpPr/>
      </xdr:nvSpPr>
      <xdr:spPr>
        <a:xfrm rot="10800000">
          <a:off x="11521440" y="47830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262</xdr:row>
      <xdr:rowOff>0</xdr:rowOff>
    </xdr:from>
    <xdr:to>
      <xdr:col>71</xdr:col>
      <xdr:colOff>83820</xdr:colOff>
      <xdr:row>262</xdr:row>
      <xdr:rowOff>114300</xdr:rowOff>
    </xdr:to>
    <xdr:sp macro="" textlink="">
      <xdr:nvSpPr>
        <xdr:cNvPr id="2006" name="Arrow: Down 2005">
          <a:extLst>
            <a:ext uri="{FF2B5EF4-FFF2-40B4-BE49-F238E27FC236}">
              <a16:creationId xmlns:a16="http://schemas.microsoft.com/office/drawing/2014/main" id="{27D24086-24DF-4F3C-9954-D0F0892F1222}"/>
            </a:ext>
          </a:extLst>
        </xdr:cNvPr>
        <xdr:cNvSpPr/>
      </xdr:nvSpPr>
      <xdr:spPr>
        <a:xfrm rot="10800000">
          <a:off x="19270980" y="47830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262</xdr:row>
      <xdr:rowOff>0</xdr:rowOff>
    </xdr:from>
    <xdr:to>
      <xdr:col>39</xdr:col>
      <xdr:colOff>83820</xdr:colOff>
      <xdr:row>262</xdr:row>
      <xdr:rowOff>114300</xdr:rowOff>
    </xdr:to>
    <xdr:sp macro="" textlink="">
      <xdr:nvSpPr>
        <xdr:cNvPr id="2008" name="Arrow: Down 2007">
          <a:extLst>
            <a:ext uri="{FF2B5EF4-FFF2-40B4-BE49-F238E27FC236}">
              <a16:creationId xmlns:a16="http://schemas.microsoft.com/office/drawing/2014/main" id="{90168537-4D68-497F-8346-EFDB9A3D7319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262</xdr:row>
      <xdr:rowOff>0</xdr:rowOff>
    </xdr:from>
    <xdr:to>
      <xdr:col>11</xdr:col>
      <xdr:colOff>83820</xdr:colOff>
      <xdr:row>262</xdr:row>
      <xdr:rowOff>114300</xdr:rowOff>
    </xdr:to>
    <xdr:sp macro="" textlink="">
      <xdr:nvSpPr>
        <xdr:cNvPr id="2009" name="Arrow: Down 2008">
          <a:extLst>
            <a:ext uri="{FF2B5EF4-FFF2-40B4-BE49-F238E27FC236}">
              <a16:creationId xmlns:a16="http://schemas.microsoft.com/office/drawing/2014/main" id="{962D7975-E53D-4381-A09F-3CA83FDB24B9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262</xdr:row>
      <xdr:rowOff>0</xdr:rowOff>
    </xdr:from>
    <xdr:to>
      <xdr:col>5</xdr:col>
      <xdr:colOff>83820</xdr:colOff>
      <xdr:row>262</xdr:row>
      <xdr:rowOff>114300</xdr:rowOff>
    </xdr:to>
    <xdr:sp macro="" textlink="">
      <xdr:nvSpPr>
        <xdr:cNvPr id="2010" name="Arrow: Down 2009">
          <a:extLst>
            <a:ext uri="{FF2B5EF4-FFF2-40B4-BE49-F238E27FC236}">
              <a16:creationId xmlns:a16="http://schemas.microsoft.com/office/drawing/2014/main" id="{695571B9-37B2-46D7-ABA6-782A267A2B26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262</xdr:row>
      <xdr:rowOff>0</xdr:rowOff>
    </xdr:from>
    <xdr:to>
      <xdr:col>24</xdr:col>
      <xdr:colOff>83820</xdr:colOff>
      <xdr:row>262</xdr:row>
      <xdr:rowOff>114300</xdr:rowOff>
    </xdr:to>
    <xdr:sp macro="" textlink="">
      <xdr:nvSpPr>
        <xdr:cNvPr id="2012" name="Arrow: Down 2011">
          <a:extLst>
            <a:ext uri="{FF2B5EF4-FFF2-40B4-BE49-F238E27FC236}">
              <a16:creationId xmlns:a16="http://schemas.microsoft.com/office/drawing/2014/main" id="{3092055C-98D1-4F55-8477-FAE0C8B2655C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262</xdr:row>
      <xdr:rowOff>0</xdr:rowOff>
    </xdr:from>
    <xdr:to>
      <xdr:col>60</xdr:col>
      <xdr:colOff>83820</xdr:colOff>
      <xdr:row>262</xdr:row>
      <xdr:rowOff>114300</xdr:rowOff>
    </xdr:to>
    <xdr:sp macro="" textlink="">
      <xdr:nvSpPr>
        <xdr:cNvPr id="2013" name="Arrow: Down 2012">
          <a:extLst>
            <a:ext uri="{FF2B5EF4-FFF2-40B4-BE49-F238E27FC236}">
              <a16:creationId xmlns:a16="http://schemas.microsoft.com/office/drawing/2014/main" id="{031CC5F1-E5F0-4652-818C-8D662C42CBA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71</xdr:col>
      <xdr:colOff>0</xdr:colOff>
      <xdr:row>263</xdr:row>
      <xdr:rowOff>0</xdr:rowOff>
    </xdr:from>
    <xdr:to>
      <xdr:col>71</xdr:col>
      <xdr:colOff>83820</xdr:colOff>
      <xdr:row>263</xdr:row>
      <xdr:rowOff>114300</xdr:rowOff>
    </xdr:to>
    <xdr:sp macro="" textlink="">
      <xdr:nvSpPr>
        <xdr:cNvPr id="2015" name="Arrow: Down 2014">
          <a:extLst>
            <a:ext uri="{FF2B5EF4-FFF2-40B4-BE49-F238E27FC236}">
              <a16:creationId xmlns:a16="http://schemas.microsoft.com/office/drawing/2014/main" id="{F1FABE29-B026-41C2-A2D6-152382DA2668}"/>
            </a:ext>
          </a:extLst>
        </xdr:cNvPr>
        <xdr:cNvSpPr/>
      </xdr:nvSpPr>
      <xdr:spPr>
        <a:xfrm rot="10800000">
          <a:off x="1927098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39</xdr:col>
      <xdr:colOff>0</xdr:colOff>
      <xdr:row>263</xdr:row>
      <xdr:rowOff>0</xdr:rowOff>
    </xdr:from>
    <xdr:to>
      <xdr:col>39</xdr:col>
      <xdr:colOff>83820</xdr:colOff>
      <xdr:row>263</xdr:row>
      <xdr:rowOff>114300</xdr:rowOff>
    </xdr:to>
    <xdr:sp macro="" textlink="">
      <xdr:nvSpPr>
        <xdr:cNvPr id="2016" name="Arrow: Down 2015">
          <a:extLst>
            <a:ext uri="{FF2B5EF4-FFF2-40B4-BE49-F238E27FC236}">
              <a16:creationId xmlns:a16="http://schemas.microsoft.com/office/drawing/2014/main" id="{E9946B91-5D44-409A-AA24-41B9946BAD1A}"/>
            </a:ext>
          </a:extLst>
        </xdr:cNvPr>
        <xdr:cNvSpPr/>
      </xdr:nvSpPr>
      <xdr:spPr>
        <a:xfrm>
          <a:off x="97155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263</xdr:row>
      <xdr:rowOff>0</xdr:rowOff>
    </xdr:from>
    <xdr:to>
      <xdr:col>11</xdr:col>
      <xdr:colOff>83820</xdr:colOff>
      <xdr:row>263</xdr:row>
      <xdr:rowOff>114300</xdr:rowOff>
    </xdr:to>
    <xdr:sp macro="" textlink="">
      <xdr:nvSpPr>
        <xdr:cNvPr id="2017" name="Arrow: Down 2016">
          <a:extLst>
            <a:ext uri="{FF2B5EF4-FFF2-40B4-BE49-F238E27FC236}">
              <a16:creationId xmlns:a16="http://schemas.microsoft.com/office/drawing/2014/main" id="{84B5F7E5-7AC5-4022-8666-AA2A0E5E6F6A}"/>
            </a:ext>
          </a:extLst>
        </xdr:cNvPr>
        <xdr:cNvSpPr/>
      </xdr:nvSpPr>
      <xdr:spPr>
        <a:xfrm>
          <a:off x="36957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263</xdr:row>
      <xdr:rowOff>0</xdr:rowOff>
    </xdr:from>
    <xdr:to>
      <xdr:col>5</xdr:col>
      <xdr:colOff>83820</xdr:colOff>
      <xdr:row>263</xdr:row>
      <xdr:rowOff>114300</xdr:rowOff>
    </xdr:to>
    <xdr:sp macro="" textlink="">
      <xdr:nvSpPr>
        <xdr:cNvPr id="2018" name="Arrow: Down 2017">
          <a:extLst>
            <a:ext uri="{FF2B5EF4-FFF2-40B4-BE49-F238E27FC236}">
              <a16:creationId xmlns:a16="http://schemas.microsoft.com/office/drawing/2014/main" id="{BB0F12C6-E20F-4BD5-9C1D-8547BFB838EF}"/>
            </a:ext>
          </a:extLst>
        </xdr:cNvPr>
        <xdr:cNvSpPr/>
      </xdr:nvSpPr>
      <xdr:spPr>
        <a:xfrm>
          <a:off x="192786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24</xdr:col>
      <xdr:colOff>0</xdr:colOff>
      <xdr:row>263</xdr:row>
      <xdr:rowOff>0</xdr:rowOff>
    </xdr:from>
    <xdr:to>
      <xdr:col>24</xdr:col>
      <xdr:colOff>83820</xdr:colOff>
      <xdr:row>263</xdr:row>
      <xdr:rowOff>114300</xdr:rowOff>
    </xdr:to>
    <xdr:sp macro="" textlink="">
      <xdr:nvSpPr>
        <xdr:cNvPr id="2019" name="Arrow: Down 2018">
          <a:extLst>
            <a:ext uri="{FF2B5EF4-FFF2-40B4-BE49-F238E27FC236}">
              <a16:creationId xmlns:a16="http://schemas.microsoft.com/office/drawing/2014/main" id="{24B11066-6DB9-4907-9983-3F2BE6BEEF99}"/>
            </a:ext>
          </a:extLst>
        </xdr:cNvPr>
        <xdr:cNvSpPr/>
      </xdr:nvSpPr>
      <xdr:spPr>
        <a:xfrm>
          <a:off x="6553200" y="48013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60</xdr:col>
      <xdr:colOff>0</xdr:colOff>
      <xdr:row>263</xdr:row>
      <xdr:rowOff>0</xdr:rowOff>
    </xdr:from>
    <xdr:to>
      <xdr:col>60</xdr:col>
      <xdr:colOff>83820</xdr:colOff>
      <xdr:row>263</xdr:row>
      <xdr:rowOff>114300</xdr:rowOff>
    </xdr:to>
    <xdr:sp macro="" textlink="">
      <xdr:nvSpPr>
        <xdr:cNvPr id="2020" name="Arrow: Down 2019">
          <a:extLst>
            <a:ext uri="{FF2B5EF4-FFF2-40B4-BE49-F238E27FC236}">
              <a16:creationId xmlns:a16="http://schemas.microsoft.com/office/drawing/2014/main" id="{9B13FC43-49CD-4CED-931D-8CF1874FA0DE}"/>
            </a:ext>
          </a:extLst>
        </xdr:cNvPr>
        <xdr:cNvSpPr/>
      </xdr:nvSpPr>
      <xdr:spPr>
        <a:xfrm rot="10800000">
          <a:off x="16840200" y="480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45</xdr:col>
      <xdr:colOff>0</xdr:colOff>
      <xdr:row>263</xdr:row>
      <xdr:rowOff>0</xdr:rowOff>
    </xdr:from>
    <xdr:to>
      <xdr:col>45</xdr:col>
      <xdr:colOff>83820</xdr:colOff>
      <xdr:row>263</xdr:row>
      <xdr:rowOff>114300</xdr:rowOff>
    </xdr:to>
    <xdr:sp macro="" textlink="">
      <xdr:nvSpPr>
        <xdr:cNvPr id="2021" name="Arrow: Down 2020">
          <a:extLst>
            <a:ext uri="{FF2B5EF4-FFF2-40B4-BE49-F238E27FC236}">
              <a16:creationId xmlns:a16="http://schemas.microsoft.com/office/drawing/2014/main" id="{4E155ADF-ED71-429B-875C-6700A3A7910D}"/>
            </a:ext>
          </a:extLst>
        </xdr:cNvPr>
        <xdr:cNvSpPr/>
      </xdr:nvSpPr>
      <xdr:spPr>
        <a:xfrm>
          <a:off x="11521440" y="48196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0.22538</cdr:x>
      <cdr:y>0.21395</cdr:y>
    </cdr:from>
    <cdr:to>
      <cdr:x>0.47579</cdr:x>
      <cdr:y>0.62093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1238F2D0-5CC7-44BA-808D-8EEC52658841}"/>
            </a:ext>
          </a:extLst>
        </cdr:cNvPr>
        <cdr:cNvCxnSpPr/>
      </cdr:nvCxnSpPr>
      <cdr:spPr>
        <a:xfrm xmlns:a="http://schemas.openxmlformats.org/drawingml/2006/main">
          <a:off x="1028700" y="701040"/>
          <a:ext cx="1143000" cy="1333500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00B050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0.21202</cdr:x>
      <cdr:y>0.54651</cdr:y>
    </cdr:from>
    <cdr:to>
      <cdr:x>0.93322</cdr:x>
      <cdr:y>0.54884</cdr:y>
    </cdr:to>
    <cdr:cxnSp macro="">
      <cdr:nvCxnSpPr>
        <cdr:cNvPr id="3" name="Straight Arrow Connector 2">
          <a:extLst xmlns:a="http://schemas.openxmlformats.org/drawingml/2006/main">
            <a:ext uri="{FF2B5EF4-FFF2-40B4-BE49-F238E27FC236}">
              <a16:creationId xmlns:a16="http://schemas.microsoft.com/office/drawing/2014/main" id="{9AECD84D-B6B4-481F-8328-4743898E587F}"/>
            </a:ext>
          </a:extLst>
        </cdr:cNvPr>
        <cdr:cNvCxnSpPr/>
      </cdr:nvCxnSpPr>
      <cdr:spPr>
        <a:xfrm xmlns:a="http://schemas.openxmlformats.org/drawingml/2006/main">
          <a:off x="967740" y="1790700"/>
          <a:ext cx="3291840" cy="7620"/>
        </a:xfrm>
        <a:prstGeom xmlns:a="http://schemas.openxmlformats.org/drawingml/2006/main" prst="straightConnector1">
          <a:avLst/>
        </a:prstGeom>
        <a:ln xmlns:a="http://schemas.openxmlformats.org/drawingml/2006/main" w="38100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93</xdr:row>
      <xdr:rowOff>0</xdr:rowOff>
    </xdr:from>
    <xdr:to>
      <xdr:col>14</xdr:col>
      <xdr:colOff>83820</xdr:colOff>
      <xdr:row>93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36D99E6E-DBF7-4527-9F53-EA05BD2DB7BC}"/>
            </a:ext>
          </a:extLst>
        </xdr:cNvPr>
        <xdr:cNvSpPr/>
      </xdr:nvSpPr>
      <xdr:spPr>
        <a:xfrm>
          <a:off x="5082540" y="1720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94</xdr:row>
      <xdr:rowOff>0</xdr:rowOff>
    </xdr:from>
    <xdr:to>
      <xdr:col>14</xdr:col>
      <xdr:colOff>83820</xdr:colOff>
      <xdr:row>94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A107EF32-21D2-4F2E-9FD0-28117DB8E476}"/>
            </a:ext>
          </a:extLst>
        </xdr:cNvPr>
        <xdr:cNvSpPr/>
      </xdr:nvSpPr>
      <xdr:spPr>
        <a:xfrm>
          <a:off x="508254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95</xdr:row>
      <xdr:rowOff>0</xdr:rowOff>
    </xdr:from>
    <xdr:to>
      <xdr:col>14</xdr:col>
      <xdr:colOff>83820</xdr:colOff>
      <xdr:row>95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07AAC6AB-90EF-4F61-8480-BBD5FC83C023}"/>
            </a:ext>
          </a:extLst>
        </xdr:cNvPr>
        <xdr:cNvSpPr/>
      </xdr:nvSpPr>
      <xdr:spPr>
        <a:xfrm rot="10800000">
          <a:off x="50825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96</xdr:row>
      <xdr:rowOff>0</xdr:rowOff>
    </xdr:from>
    <xdr:to>
      <xdr:col>14</xdr:col>
      <xdr:colOff>83820</xdr:colOff>
      <xdr:row>96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1AD402FA-539A-4F7B-B08B-A13AB48BBD16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97</xdr:row>
      <xdr:rowOff>0</xdr:rowOff>
    </xdr:from>
    <xdr:to>
      <xdr:col>14</xdr:col>
      <xdr:colOff>83820</xdr:colOff>
      <xdr:row>97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1DADD566-91C1-4A58-B0D0-C6E2F0192EC0}"/>
            </a:ext>
          </a:extLst>
        </xdr:cNvPr>
        <xdr:cNvSpPr/>
      </xdr:nvSpPr>
      <xdr:spPr>
        <a:xfrm>
          <a:off x="50825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98</xdr:row>
      <xdr:rowOff>0</xdr:rowOff>
    </xdr:from>
    <xdr:to>
      <xdr:col>14</xdr:col>
      <xdr:colOff>83820</xdr:colOff>
      <xdr:row>98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D6FFD4B5-DEB3-4B72-8F9E-10F29BE3452E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99</xdr:row>
      <xdr:rowOff>0</xdr:rowOff>
    </xdr:from>
    <xdr:to>
      <xdr:col>14</xdr:col>
      <xdr:colOff>83820</xdr:colOff>
      <xdr:row>99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EDD53DE7-D9F0-42D6-AA3E-097FB7C0839D}"/>
            </a:ext>
          </a:extLst>
        </xdr:cNvPr>
        <xdr:cNvSpPr/>
      </xdr:nvSpPr>
      <xdr:spPr>
        <a:xfrm>
          <a:off x="5082540" y="18120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100</xdr:row>
      <xdr:rowOff>0</xdr:rowOff>
    </xdr:from>
    <xdr:to>
      <xdr:col>14</xdr:col>
      <xdr:colOff>83820</xdr:colOff>
      <xdr:row>100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B388407-0DA7-49FA-9E7F-86EE4D8FD10F}"/>
            </a:ext>
          </a:extLst>
        </xdr:cNvPr>
        <xdr:cNvSpPr/>
      </xdr:nvSpPr>
      <xdr:spPr>
        <a:xfrm rot="10800000">
          <a:off x="50825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101</xdr:row>
      <xdr:rowOff>0</xdr:rowOff>
    </xdr:from>
    <xdr:to>
      <xdr:col>14</xdr:col>
      <xdr:colOff>83820</xdr:colOff>
      <xdr:row>101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F937C85-1CFA-4D1D-ABC1-BE5ED4111A9A}"/>
            </a:ext>
          </a:extLst>
        </xdr:cNvPr>
        <xdr:cNvSpPr/>
      </xdr:nvSpPr>
      <xdr:spPr>
        <a:xfrm rot="10800000">
          <a:off x="5158740" y="18486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102</xdr:row>
      <xdr:rowOff>0</xdr:rowOff>
    </xdr:from>
    <xdr:to>
      <xdr:col>14</xdr:col>
      <xdr:colOff>83820</xdr:colOff>
      <xdr:row>102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FA62DC81-AA8E-45C9-9EF8-487D5A5E80CE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103</xdr:row>
      <xdr:rowOff>0</xdr:rowOff>
    </xdr:from>
    <xdr:to>
      <xdr:col>14</xdr:col>
      <xdr:colOff>83820</xdr:colOff>
      <xdr:row>103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E2198E63-B681-4AF2-9CBF-CD3508440130}"/>
            </a:ext>
          </a:extLst>
        </xdr:cNvPr>
        <xdr:cNvSpPr/>
      </xdr:nvSpPr>
      <xdr:spPr>
        <a:xfrm>
          <a:off x="5158740" y="18851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104</xdr:row>
      <xdr:rowOff>0</xdr:rowOff>
    </xdr:from>
    <xdr:to>
      <xdr:col>14</xdr:col>
      <xdr:colOff>83820</xdr:colOff>
      <xdr:row>104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EFA8F11D-1F24-4B40-AB03-1BFE283469B7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105</xdr:row>
      <xdr:rowOff>7620</xdr:rowOff>
    </xdr:from>
    <xdr:to>
      <xdr:col>14</xdr:col>
      <xdr:colOff>83820</xdr:colOff>
      <xdr:row>105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76BE8343-2EE7-4A7D-91B3-7951AD754447}"/>
            </a:ext>
          </a:extLst>
        </xdr:cNvPr>
        <xdr:cNvSpPr/>
      </xdr:nvSpPr>
      <xdr:spPr>
        <a:xfrm rot="10800000">
          <a:off x="5158740" y="194081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106</xdr:row>
      <xdr:rowOff>0</xdr:rowOff>
    </xdr:from>
    <xdr:to>
      <xdr:col>14</xdr:col>
      <xdr:colOff>83820</xdr:colOff>
      <xdr:row>106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0FBD3FE6-74A9-43E5-AD70-226D01B883D8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107</xdr:row>
      <xdr:rowOff>0</xdr:rowOff>
    </xdr:from>
    <xdr:to>
      <xdr:col>14</xdr:col>
      <xdr:colOff>83820</xdr:colOff>
      <xdr:row>107</xdr:row>
      <xdr:rowOff>106680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91BDE189-10DF-4868-BDED-90554109F461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108</xdr:row>
      <xdr:rowOff>0</xdr:rowOff>
    </xdr:from>
    <xdr:to>
      <xdr:col>14</xdr:col>
      <xdr:colOff>83820</xdr:colOff>
      <xdr:row>108</xdr:row>
      <xdr:rowOff>106680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56A0AD15-0EA9-434D-8A74-345C2A50898F}"/>
            </a:ext>
          </a:extLst>
        </xdr:cNvPr>
        <xdr:cNvSpPr/>
      </xdr:nvSpPr>
      <xdr:spPr>
        <a:xfrm rot="10800000">
          <a:off x="5158740" y="19766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109</xdr:row>
      <xdr:rowOff>0</xdr:rowOff>
    </xdr:from>
    <xdr:to>
      <xdr:col>14</xdr:col>
      <xdr:colOff>83820</xdr:colOff>
      <xdr:row>109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4C3CC9B9-9520-4860-9FB5-888DBE991D18}"/>
            </a:ext>
          </a:extLst>
        </xdr:cNvPr>
        <xdr:cNvSpPr/>
      </xdr:nvSpPr>
      <xdr:spPr>
        <a:xfrm>
          <a:off x="5158740" y="20132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83820</xdr:colOff>
      <xdr:row>110</xdr:row>
      <xdr:rowOff>106680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B4436ACF-0653-4C1D-9136-9067C0CFB6E0}"/>
            </a:ext>
          </a:extLst>
        </xdr:cNvPr>
        <xdr:cNvSpPr/>
      </xdr:nvSpPr>
      <xdr:spPr>
        <a:xfrm rot="10800000">
          <a:off x="5158740" y="20314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111</xdr:row>
      <xdr:rowOff>0</xdr:rowOff>
    </xdr:from>
    <xdr:to>
      <xdr:col>14</xdr:col>
      <xdr:colOff>83820</xdr:colOff>
      <xdr:row>111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3F0651F-B0F7-4119-9CBD-DC1C8FFD9A8D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112</xdr:row>
      <xdr:rowOff>0</xdr:rowOff>
    </xdr:from>
    <xdr:to>
      <xdr:col>14</xdr:col>
      <xdr:colOff>83820</xdr:colOff>
      <xdr:row>112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84EA86D9-5A57-4084-8E2C-9903C1532CCF}"/>
            </a:ext>
          </a:extLst>
        </xdr:cNvPr>
        <xdr:cNvSpPr/>
      </xdr:nvSpPr>
      <xdr:spPr>
        <a:xfrm>
          <a:off x="5158740" y="2049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113</xdr:row>
      <xdr:rowOff>0</xdr:rowOff>
    </xdr:from>
    <xdr:to>
      <xdr:col>14</xdr:col>
      <xdr:colOff>83820</xdr:colOff>
      <xdr:row>113</xdr:row>
      <xdr:rowOff>106680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D580A448-4E00-427E-A72E-740CC3A35FBD}"/>
            </a:ext>
          </a:extLst>
        </xdr:cNvPr>
        <xdr:cNvSpPr/>
      </xdr:nvSpPr>
      <xdr:spPr>
        <a:xfrm rot="10800000">
          <a:off x="5158740" y="208635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114</xdr:row>
      <xdr:rowOff>0</xdr:rowOff>
    </xdr:from>
    <xdr:to>
      <xdr:col>14</xdr:col>
      <xdr:colOff>83820</xdr:colOff>
      <xdr:row>114</xdr:row>
      <xdr:rowOff>106680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9827D83B-5FE2-4D79-BA7F-33F33394AEA8}"/>
            </a:ext>
          </a:extLst>
        </xdr:cNvPr>
        <xdr:cNvSpPr/>
      </xdr:nvSpPr>
      <xdr:spPr>
        <a:xfrm rot="10800000">
          <a:off x="5158740" y="21046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115</xdr:row>
      <xdr:rowOff>0</xdr:rowOff>
    </xdr:from>
    <xdr:to>
      <xdr:col>14</xdr:col>
      <xdr:colOff>83820</xdr:colOff>
      <xdr:row>115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E42D6F89-84AB-4364-B045-2AC353C5DF2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116</xdr:row>
      <xdr:rowOff>0</xdr:rowOff>
    </xdr:from>
    <xdr:to>
      <xdr:col>14</xdr:col>
      <xdr:colOff>83820</xdr:colOff>
      <xdr:row>116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74A48665-B129-4919-9C2A-53BCA977B06E}"/>
            </a:ext>
          </a:extLst>
        </xdr:cNvPr>
        <xdr:cNvSpPr/>
      </xdr:nvSpPr>
      <xdr:spPr>
        <a:xfrm>
          <a:off x="5158740" y="2122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117</xdr:row>
      <xdr:rowOff>0</xdr:rowOff>
    </xdr:from>
    <xdr:to>
      <xdr:col>14</xdr:col>
      <xdr:colOff>83820</xdr:colOff>
      <xdr:row>117</xdr:row>
      <xdr:rowOff>106680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43E7F4AD-B4CA-4C70-BC66-3FCBA45A6D95}"/>
            </a:ext>
          </a:extLst>
        </xdr:cNvPr>
        <xdr:cNvSpPr/>
      </xdr:nvSpPr>
      <xdr:spPr>
        <a:xfrm rot="10800000">
          <a:off x="5158740" y="215950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118</xdr:row>
      <xdr:rowOff>0</xdr:rowOff>
    </xdr:from>
    <xdr:to>
      <xdr:col>14</xdr:col>
      <xdr:colOff>83820</xdr:colOff>
      <xdr:row>118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172E9803-D878-4ADD-A69F-CE2A15CCAC1D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119</xdr:row>
      <xdr:rowOff>0</xdr:rowOff>
    </xdr:from>
    <xdr:to>
      <xdr:col>14</xdr:col>
      <xdr:colOff>83820</xdr:colOff>
      <xdr:row>119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F493B878-4B0F-4756-AB9F-4B28A96F81BF}"/>
            </a:ext>
          </a:extLst>
        </xdr:cNvPr>
        <xdr:cNvSpPr/>
      </xdr:nvSpPr>
      <xdr:spPr>
        <a:xfrm>
          <a:off x="5158740" y="2177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120</xdr:row>
      <xdr:rowOff>0</xdr:rowOff>
    </xdr:from>
    <xdr:to>
      <xdr:col>14</xdr:col>
      <xdr:colOff>83820</xdr:colOff>
      <xdr:row>120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0E5191D3-238B-4908-A8A0-4499EAFAD4CF}"/>
            </a:ext>
          </a:extLst>
        </xdr:cNvPr>
        <xdr:cNvSpPr/>
      </xdr:nvSpPr>
      <xdr:spPr>
        <a:xfrm>
          <a:off x="5158740" y="221437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121</xdr:row>
      <xdr:rowOff>0</xdr:rowOff>
    </xdr:from>
    <xdr:to>
      <xdr:col>14</xdr:col>
      <xdr:colOff>83820</xdr:colOff>
      <xdr:row>121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DBFDC0D2-A286-4A11-A264-595E9BAB904A}"/>
            </a:ext>
          </a:extLst>
        </xdr:cNvPr>
        <xdr:cNvSpPr/>
      </xdr:nvSpPr>
      <xdr:spPr>
        <a:xfrm>
          <a:off x="5158740" y="22326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122</xdr:row>
      <xdr:rowOff>0</xdr:rowOff>
    </xdr:from>
    <xdr:to>
      <xdr:col>14</xdr:col>
      <xdr:colOff>83820</xdr:colOff>
      <xdr:row>122</xdr:row>
      <xdr:rowOff>106680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392B6D0-CE3C-46B7-A61C-C14B5C17A0EF}"/>
            </a:ext>
          </a:extLst>
        </xdr:cNvPr>
        <xdr:cNvSpPr/>
      </xdr:nvSpPr>
      <xdr:spPr>
        <a:xfrm rot="10800000">
          <a:off x="5158740" y="225094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123</xdr:row>
      <xdr:rowOff>0</xdr:rowOff>
    </xdr:from>
    <xdr:to>
      <xdr:col>14</xdr:col>
      <xdr:colOff>83820</xdr:colOff>
      <xdr:row>123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56B5A93C-D1EB-4424-B28D-64463C11AAD3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124</xdr:row>
      <xdr:rowOff>0</xdr:rowOff>
    </xdr:from>
    <xdr:to>
      <xdr:col>14</xdr:col>
      <xdr:colOff>83820</xdr:colOff>
      <xdr:row>124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3494FB12-9F44-4C93-B953-5E744E56E395}"/>
            </a:ext>
          </a:extLst>
        </xdr:cNvPr>
        <xdr:cNvSpPr/>
      </xdr:nvSpPr>
      <xdr:spPr>
        <a:xfrm>
          <a:off x="5158740" y="22692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125</xdr:row>
      <xdr:rowOff>0</xdr:rowOff>
    </xdr:from>
    <xdr:to>
      <xdr:col>14</xdr:col>
      <xdr:colOff>83820</xdr:colOff>
      <xdr:row>125</xdr:row>
      <xdr:rowOff>106680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0500F4BF-7C74-4757-AF04-06611CAD9ADE}"/>
            </a:ext>
          </a:extLst>
        </xdr:cNvPr>
        <xdr:cNvSpPr/>
      </xdr:nvSpPr>
      <xdr:spPr>
        <a:xfrm rot="10800000">
          <a:off x="5158740" y="23058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126</xdr:row>
      <xdr:rowOff>0</xdr:rowOff>
    </xdr:from>
    <xdr:to>
      <xdr:col>14</xdr:col>
      <xdr:colOff>83820</xdr:colOff>
      <xdr:row>126</xdr:row>
      <xdr:rowOff>106680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3FFA67C6-A879-42B2-98B5-191183626840}"/>
            </a:ext>
          </a:extLst>
        </xdr:cNvPr>
        <xdr:cNvSpPr/>
      </xdr:nvSpPr>
      <xdr:spPr>
        <a:xfrm rot="10800000">
          <a:off x="5158740" y="232410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127</xdr:row>
      <xdr:rowOff>0</xdr:rowOff>
    </xdr:from>
    <xdr:to>
      <xdr:col>14</xdr:col>
      <xdr:colOff>83820</xdr:colOff>
      <xdr:row>127</xdr:row>
      <xdr:rowOff>106680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E39B9FCB-ABA8-44F5-96EE-C6C08C848D48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128</xdr:row>
      <xdr:rowOff>0</xdr:rowOff>
    </xdr:from>
    <xdr:to>
      <xdr:col>14</xdr:col>
      <xdr:colOff>83820</xdr:colOff>
      <xdr:row>128</xdr:row>
      <xdr:rowOff>106680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AD8D530B-1014-4000-8E43-850CFD9156BF}"/>
            </a:ext>
          </a:extLst>
        </xdr:cNvPr>
        <xdr:cNvSpPr/>
      </xdr:nvSpPr>
      <xdr:spPr>
        <a:xfrm rot="10800000">
          <a:off x="5158740" y="23423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130</xdr:row>
      <xdr:rowOff>0</xdr:rowOff>
    </xdr:from>
    <xdr:to>
      <xdr:col>14</xdr:col>
      <xdr:colOff>83820</xdr:colOff>
      <xdr:row>130</xdr:row>
      <xdr:rowOff>106680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56C90FFF-E144-4A5F-B680-18FBBC253A3A}"/>
            </a:ext>
          </a:extLst>
        </xdr:cNvPr>
        <xdr:cNvSpPr/>
      </xdr:nvSpPr>
      <xdr:spPr>
        <a:xfrm rot="10800000">
          <a:off x="5158740" y="23789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129</xdr:row>
      <xdr:rowOff>0</xdr:rowOff>
    </xdr:from>
    <xdr:to>
      <xdr:col>14</xdr:col>
      <xdr:colOff>83820</xdr:colOff>
      <xdr:row>129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0EE7A466-D247-4B24-ABCC-520B0DEE8D55}"/>
            </a:ext>
          </a:extLst>
        </xdr:cNvPr>
        <xdr:cNvSpPr/>
      </xdr:nvSpPr>
      <xdr:spPr>
        <a:xfrm>
          <a:off x="5158740" y="23789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14</xdr:col>
      <xdr:colOff>83820</xdr:colOff>
      <xdr:row>131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62E90C99-C367-4E2A-BDF6-D2A9708511ED}"/>
            </a:ext>
          </a:extLst>
        </xdr:cNvPr>
        <xdr:cNvSpPr/>
      </xdr:nvSpPr>
      <xdr:spPr>
        <a:xfrm>
          <a:off x="5158740" y="24155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132</xdr:row>
      <xdr:rowOff>0</xdr:rowOff>
    </xdr:from>
    <xdr:to>
      <xdr:col>14</xdr:col>
      <xdr:colOff>83820</xdr:colOff>
      <xdr:row>132</xdr:row>
      <xdr:rowOff>106680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C492A977-746E-49C1-9B01-734CF8C8D1C7}"/>
            </a:ext>
          </a:extLst>
        </xdr:cNvPr>
        <xdr:cNvSpPr/>
      </xdr:nvSpPr>
      <xdr:spPr>
        <a:xfrm rot="10800000">
          <a:off x="5158740" y="24338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133</xdr:row>
      <xdr:rowOff>0</xdr:rowOff>
    </xdr:from>
    <xdr:to>
      <xdr:col>14</xdr:col>
      <xdr:colOff>83820</xdr:colOff>
      <xdr:row>133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0B1C446-9DB0-46F1-A12E-45FD1939F0C0}"/>
            </a:ext>
          </a:extLst>
        </xdr:cNvPr>
        <xdr:cNvSpPr/>
      </xdr:nvSpPr>
      <xdr:spPr>
        <a:xfrm>
          <a:off x="5158740" y="24521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134</xdr:row>
      <xdr:rowOff>0</xdr:rowOff>
    </xdr:from>
    <xdr:to>
      <xdr:col>14</xdr:col>
      <xdr:colOff>83820</xdr:colOff>
      <xdr:row>134</xdr:row>
      <xdr:rowOff>106680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BC244D08-593A-408E-B723-287FEAA915C1}"/>
            </a:ext>
          </a:extLst>
        </xdr:cNvPr>
        <xdr:cNvSpPr/>
      </xdr:nvSpPr>
      <xdr:spPr>
        <a:xfrm rot="10800000">
          <a:off x="5158740" y="247040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14</xdr:col>
      <xdr:colOff>83820</xdr:colOff>
      <xdr:row>135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FF66B8B8-8A79-42D3-AD28-DFAC85131088}"/>
            </a:ext>
          </a:extLst>
        </xdr:cNvPr>
        <xdr:cNvSpPr/>
      </xdr:nvSpPr>
      <xdr:spPr>
        <a:xfrm>
          <a:off x="5158740" y="24886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136</xdr:row>
      <xdr:rowOff>0</xdr:rowOff>
    </xdr:from>
    <xdr:to>
      <xdr:col>14</xdr:col>
      <xdr:colOff>83820</xdr:colOff>
      <xdr:row>136</xdr:row>
      <xdr:rowOff>106680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12C28A4A-2328-442F-A71D-3F6B05D5DCB4}"/>
            </a:ext>
          </a:extLst>
        </xdr:cNvPr>
        <xdr:cNvSpPr/>
      </xdr:nvSpPr>
      <xdr:spPr>
        <a:xfrm rot="10800000">
          <a:off x="5158740" y="250698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137</xdr:row>
      <xdr:rowOff>0</xdr:rowOff>
    </xdr:from>
    <xdr:to>
      <xdr:col>14</xdr:col>
      <xdr:colOff>83820</xdr:colOff>
      <xdr:row>137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C865E383-DE38-42C5-8698-B8EE40DB471D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138</xdr:row>
      <xdr:rowOff>0</xdr:rowOff>
    </xdr:from>
    <xdr:to>
      <xdr:col>14</xdr:col>
      <xdr:colOff>83820</xdr:colOff>
      <xdr:row>138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E98166D0-C5F7-4B67-BAA5-4C65FD6062B5}"/>
            </a:ext>
          </a:extLst>
        </xdr:cNvPr>
        <xdr:cNvSpPr/>
      </xdr:nvSpPr>
      <xdr:spPr>
        <a:xfrm>
          <a:off x="5158740" y="25252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14</xdr:col>
      <xdr:colOff>83820</xdr:colOff>
      <xdr:row>139</xdr:row>
      <xdr:rowOff>106680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3147313-B904-443D-BB3C-ABAC7E8AD0EE}"/>
            </a:ext>
          </a:extLst>
        </xdr:cNvPr>
        <xdr:cNvSpPr/>
      </xdr:nvSpPr>
      <xdr:spPr>
        <a:xfrm rot="10800000">
          <a:off x="5158740" y="25618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140</xdr:row>
      <xdr:rowOff>0</xdr:rowOff>
    </xdr:from>
    <xdr:to>
      <xdr:col>14</xdr:col>
      <xdr:colOff>83820</xdr:colOff>
      <xdr:row>140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63D5775A-996D-477A-AC03-41AD7DA2578D}"/>
            </a:ext>
          </a:extLst>
        </xdr:cNvPr>
        <xdr:cNvSpPr/>
      </xdr:nvSpPr>
      <xdr:spPr>
        <a:xfrm>
          <a:off x="5158740" y="25801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141</xdr:row>
      <xdr:rowOff>0</xdr:rowOff>
    </xdr:from>
    <xdr:to>
      <xdr:col>14</xdr:col>
      <xdr:colOff>83820</xdr:colOff>
      <xdr:row>141</xdr:row>
      <xdr:rowOff>106680</xdr:rowOff>
    </xdr:to>
    <xdr:sp macro="" textlink="">
      <xdr:nvSpPr>
        <xdr:cNvPr id="141" name="Arrow: Down 140">
          <a:extLst>
            <a:ext uri="{FF2B5EF4-FFF2-40B4-BE49-F238E27FC236}">
              <a16:creationId xmlns:a16="http://schemas.microsoft.com/office/drawing/2014/main" id="{493CA8B5-EB76-4F73-B10E-C377B4F4A422}"/>
            </a:ext>
          </a:extLst>
        </xdr:cNvPr>
        <xdr:cNvSpPr/>
      </xdr:nvSpPr>
      <xdr:spPr>
        <a:xfrm rot="10800000">
          <a:off x="5158740" y="25984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14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C8A5454B-5E27-4C3C-ADA3-5C526FCE8327}"/>
            </a:ext>
          </a:extLst>
        </xdr:cNvPr>
        <xdr:cNvSpPr/>
      </xdr:nvSpPr>
      <xdr:spPr>
        <a:xfrm>
          <a:off x="5158740" y="26167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143</xdr:row>
      <xdr:rowOff>0</xdr:rowOff>
    </xdr:from>
    <xdr:to>
      <xdr:col>14</xdr:col>
      <xdr:colOff>83820</xdr:colOff>
      <xdr:row>143</xdr:row>
      <xdr:rowOff>106680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84DB2A74-F2E5-4F41-A85B-33F1F0721E55}"/>
            </a:ext>
          </a:extLst>
        </xdr:cNvPr>
        <xdr:cNvSpPr/>
      </xdr:nvSpPr>
      <xdr:spPr>
        <a:xfrm rot="10800000">
          <a:off x="5158740" y="26349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144</xdr:row>
      <xdr:rowOff>0</xdr:rowOff>
    </xdr:from>
    <xdr:to>
      <xdr:col>14</xdr:col>
      <xdr:colOff>83820</xdr:colOff>
      <xdr:row>144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47C47B60-28C8-440F-A197-466A75CECC6A}"/>
            </a:ext>
          </a:extLst>
        </xdr:cNvPr>
        <xdr:cNvSpPr/>
      </xdr:nvSpPr>
      <xdr:spPr>
        <a:xfrm>
          <a:off x="5158740" y="26532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145</xdr:row>
      <xdr:rowOff>0</xdr:rowOff>
    </xdr:from>
    <xdr:to>
      <xdr:col>14</xdr:col>
      <xdr:colOff>83820</xdr:colOff>
      <xdr:row>145</xdr:row>
      <xdr:rowOff>106680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FE3979E-0D29-44FC-BB57-065C5529D0F0}"/>
            </a:ext>
          </a:extLst>
        </xdr:cNvPr>
        <xdr:cNvSpPr/>
      </xdr:nvSpPr>
      <xdr:spPr>
        <a:xfrm rot="10800000">
          <a:off x="5158740" y="26715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146</xdr:row>
      <xdr:rowOff>0</xdr:rowOff>
    </xdr:from>
    <xdr:to>
      <xdr:col>14</xdr:col>
      <xdr:colOff>83820</xdr:colOff>
      <xdr:row>146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9502C296-0D87-4277-BFA5-0B5233685F8D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147</xdr:row>
      <xdr:rowOff>0</xdr:rowOff>
    </xdr:from>
    <xdr:to>
      <xdr:col>14</xdr:col>
      <xdr:colOff>83820</xdr:colOff>
      <xdr:row>147</xdr:row>
      <xdr:rowOff>114300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516ACED6-BFF0-406D-B664-169EC0F1937F}"/>
            </a:ext>
          </a:extLst>
        </xdr:cNvPr>
        <xdr:cNvSpPr/>
      </xdr:nvSpPr>
      <xdr:spPr>
        <a:xfrm>
          <a:off x="5158740" y="26898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148</xdr:row>
      <xdr:rowOff>0</xdr:rowOff>
    </xdr:from>
    <xdr:to>
      <xdr:col>14</xdr:col>
      <xdr:colOff>83820</xdr:colOff>
      <xdr:row>148</xdr:row>
      <xdr:rowOff>106680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9ED87667-DDC8-4EAE-92AA-F5DD0A0A29D2}"/>
            </a:ext>
          </a:extLst>
        </xdr:cNvPr>
        <xdr:cNvSpPr/>
      </xdr:nvSpPr>
      <xdr:spPr>
        <a:xfrm rot="10800000">
          <a:off x="5158740" y="272643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149</xdr:row>
      <xdr:rowOff>0</xdr:rowOff>
    </xdr:from>
    <xdr:to>
      <xdr:col>14</xdr:col>
      <xdr:colOff>83820</xdr:colOff>
      <xdr:row>149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28F8B4B3-9D66-4F41-A3BF-5D5F1BDDA80F}"/>
            </a:ext>
          </a:extLst>
        </xdr:cNvPr>
        <xdr:cNvSpPr/>
      </xdr:nvSpPr>
      <xdr:spPr>
        <a:xfrm>
          <a:off x="5158740" y="27447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150</xdr:row>
      <xdr:rowOff>0</xdr:rowOff>
    </xdr:from>
    <xdr:to>
      <xdr:col>14</xdr:col>
      <xdr:colOff>83820</xdr:colOff>
      <xdr:row>150</xdr:row>
      <xdr:rowOff>106680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28E706FB-DBCE-4A18-8C52-947CD0390502}"/>
            </a:ext>
          </a:extLst>
        </xdr:cNvPr>
        <xdr:cNvSpPr/>
      </xdr:nvSpPr>
      <xdr:spPr>
        <a:xfrm rot="10800000">
          <a:off x="5158740" y="276301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151</xdr:row>
      <xdr:rowOff>0</xdr:rowOff>
    </xdr:from>
    <xdr:to>
      <xdr:col>14</xdr:col>
      <xdr:colOff>83820</xdr:colOff>
      <xdr:row>151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4FE82227-58A4-47DB-905B-95E84C022E2C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152</xdr:row>
      <xdr:rowOff>0</xdr:rowOff>
    </xdr:from>
    <xdr:to>
      <xdr:col>14</xdr:col>
      <xdr:colOff>83820</xdr:colOff>
      <xdr:row>152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D8A09293-B671-4A31-8E65-22CF7FEBA569}"/>
            </a:ext>
          </a:extLst>
        </xdr:cNvPr>
        <xdr:cNvSpPr/>
      </xdr:nvSpPr>
      <xdr:spPr>
        <a:xfrm>
          <a:off x="5158740" y="27813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153</xdr:row>
      <xdr:rowOff>0</xdr:rowOff>
    </xdr:from>
    <xdr:to>
      <xdr:col>14</xdr:col>
      <xdr:colOff>83820</xdr:colOff>
      <xdr:row>153</xdr:row>
      <xdr:rowOff>106680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523E66BC-7E5F-4C5D-BEC9-6ED7861BE0CB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154</xdr:row>
      <xdr:rowOff>0</xdr:rowOff>
    </xdr:from>
    <xdr:to>
      <xdr:col>14</xdr:col>
      <xdr:colOff>83820</xdr:colOff>
      <xdr:row>154</xdr:row>
      <xdr:rowOff>106680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D6F35777-728B-4E77-963B-988F668B6A56}"/>
            </a:ext>
          </a:extLst>
        </xdr:cNvPr>
        <xdr:cNvSpPr/>
      </xdr:nvSpPr>
      <xdr:spPr>
        <a:xfrm rot="10800000">
          <a:off x="5158740" y="28178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155</xdr:row>
      <xdr:rowOff>0</xdr:rowOff>
    </xdr:from>
    <xdr:to>
      <xdr:col>14</xdr:col>
      <xdr:colOff>83820</xdr:colOff>
      <xdr:row>155</xdr:row>
      <xdr:rowOff>106680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AA204D1-EFCF-48F2-B8C2-141E56A7A1CB}"/>
            </a:ext>
          </a:extLst>
        </xdr:cNvPr>
        <xdr:cNvSpPr/>
      </xdr:nvSpPr>
      <xdr:spPr>
        <a:xfrm rot="10800000">
          <a:off x="5158740" y="283616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156</xdr:row>
      <xdr:rowOff>0</xdr:rowOff>
    </xdr:from>
    <xdr:to>
      <xdr:col>14</xdr:col>
      <xdr:colOff>83820</xdr:colOff>
      <xdr:row>156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A90E2376-A98D-4338-85EC-E2E4C4B66F98}"/>
            </a:ext>
          </a:extLst>
        </xdr:cNvPr>
        <xdr:cNvSpPr/>
      </xdr:nvSpPr>
      <xdr:spPr>
        <a:xfrm>
          <a:off x="5158740" y="28727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157</xdr:row>
      <xdr:rowOff>0</xdr:rowOff>
    </xdr:from>
    <xdr:to>
      <xdr:col>14</xdr:col>
      <xdr:colOff>83820</xdr:colOff>
      <xdr:row>157</xdr:row>
      <xdr:rowOff>106680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1C98999E-DE2C-470C-9758-E368BDB11213}"/>
            </a:ext>
          </a:extLst>
        </xdr:cNvPr>
        <xdr:cNvSpPr/>
      </xdr:nvSpPr>
      <xdr:spPr>
        <a:xfrm rot="10800000">
          <a:off x="5158740" y="289102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158</xdr:row>
      <xdr:rowOff>0</xdr:rowOff>
    </xdr:from>
    <xdr:to>
      <xdr:col>14</xdr:col>
      <xdr:colOff>83820</xdr:colOff>
      <xdr:row>158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A07EFA90-AA1E-438E-AFA4-88FA88D8FB41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159</xdr:row>
      <xdr:rowOff>0</xdr:rowOff>
    </xdr:from>
    <xdr:to>
      <xdr:col>14</xdr:col>
      <xdr:colOff>83820</xdr:colOff>
      <xdr:row>159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D9221195-111A-4883-9C07-1598B9921D65}"/>
            </a:ext>
          </a:extLst>
        </xdr:cNvPr>
        <xdr:cNvSpPr/>
      </xdr:nvSpPr>
      <xdr:spPr>
        <a:xfrm>
          <a:off x="5158740" y="29093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160</xdr:row>
      <xdr:rowOff>0</xdr:rowOff>
    </xdr:from>
    <xdr:to>
      <xdr:col>14</xdr:col>
      <xdr:colOff>83820</xdr:colOff>
      <xdr:row>160</xdr:row>
      <xdr:rowOff>106680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8765F376-BF34-4327-8B42-62C7DF066E40}"/>
            </a:ext>
          </a:extLst>
        </xdr:cNvPr>
        <xdr:cNvSpPr/>
      </xdr:nvSpPr>
      <xdr:spPr>
        <a:xfrm rot="10800000">
          <a:off x="5158740" y="294589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161</xdr:row>
      <xdr:rowOff>0</xdr:rowOff>
    </xdr:from>
    <xdr:to>
      <xdr:col>14</xdr:col>
      <xdr:colOff>83820</xdr:colOff>
      <xdr:row>161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3B2C3C34-EF05-4131-9B40-03E395ADA4E7}"/>
            </a:ext>
          </a:extLst>
        </xdr:cNvPr>
        <xdr:cNvSpPr/>
      </xdr:nvSpPr>
      <xdr:spPr>
        <a:xfrm>
          <a:off x="5158740" y="2964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162</xdr:row>
      <xdr:rowOff>0</xdr:rowOff>
    </xdr:from>
    <xdr:to>
      <xdr:col>14</xdr:col>
      <xdr:colOff>83820</xdr:colOff>
      <xdr:row>162</xdr:row>
      <xdr:rowOff>106680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182C7E6F-7621-4A99-8F16-97BDD42A2D45}"/>
            </a:ext>
          </a:extLst>
        </xdr:cNvPr>
        <xdr:cNvSpPr/>
      </xdr:nvSpPr>
      <xdr:spPr>
        <a:xfrm rot="10800000">
          <a:off x="5158740" y="298246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163</xdr:row>
      <xdr:rowOff>0</xdr:rowOff>
    </xdr:from>
    <xdr:to>
      <xdr:col>14</xdr:col>
      <xdr:colOff>83820</xdr:colOff>
      <xdr:row>163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87D1ED13-4BE5-4467-B26E-589E4D1A7DE6}"/>
            </a:ext>
          </a:extLst>
        </xdr:cNvPr>
        <xdr:cNvSpPr/>
      </xdr:nvSpPr>
      <xdr:spPr>
        <a:xfrm>
          <a:off x="5158740" y="30007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164</xdr:row>
      <xdr:rowOff>0</xdr:rowOff>
    </xdr:from>
    <xdr:to>
      <xdr:col>14</xdr:col>
      <xdr:colOff>83820</xdr:colOff>
      <xdr:row>164</xdr:row>
      <xdr:rowOff>106680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6639320B-E368-459C-ADC7-66AC2724A407}"/>
            </a:ext>
          </a:extLst>
        </xdr:cNvPr>
        <xdr:cNvSpPr/>
      </xdr:nvSpPr>
      <xdr:spPr>
        <a:xfrm rot="10800000">
          <a:off x="5158740" y="301904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165</xdr:row>
      <xdr:rowOff>0</xdr:rowOff>
    </xdr:from>
    <xdr:to>
      <xdr:col>14</xdr:col>
      <xdr:colOff>83820</xdr:colOff>
      <xdr:row>165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58C3CB2-9D3A-439A-9E78-E17511669C4A}"/>
            </a:ext>
          </a:extLst>
        </xdr:cNvPr>
        <xdr:cNvSpPr/>
      </xdr:nvSpPr>
      <xdr:spPr>
        <a:xfrm>
          <a:off x="5158740" y="30373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166</xdr:row>
      <xdr:rowOff>0</xdr:rowOff>
    </xdr:from>
    <xdr:to>
      <xdr:col>14</xdr:col>
      <xdr:colOff>83820</xdr:colOff>
      <xdr:row>166</xdr:row>
      <xdr:rowOff>106680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1B429195-ADBC-488E-85CF-0E0CE92F812A}"/>
            </a:ext>
          </a:extLst>
        </xdr:cNvPr>
        <xdr:cNvSpPr/>
      </xdr:nvSpPr>
      <xdr:spPr>
        <a:xfrm rot="10800000">
          <a:off x="5158740" y="3055620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167</xdr:row>
      <xdr:rowOff>0</xdr:rowOff>
    </xdr:from>
    <xdr:to>
      <xdr:col>14</xdr:col>
      <xdr:colOff>83820</xdr:colOff>
      <xdr:row>167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C1A01BB-EB86-4138-AE2C-22D601594053}"/>
            </a:ext>
          </a:extLst>
        </xdr:cNvPr>
        <xdr:cNvSpPr/>
      </xdr:nvSpPr>
      <xdr:spPr>
        <a:xfrm>
          <a:off x="5158740" y="30739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168</xdr:row>
      <xdr:rowOff>0</xdr:rowOff>
    </xdr:from>
    <xdr:to>
      <xdr:col>14</xdr:col>
      <xdr:colOff>83820</xdr:colOff>
      <xdr:row>168</xdr:row>
      <xdr:rowOff>106680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F78BC0F9-39C4-4852-AAED-69A6F99580AB}"/>
            </a:ext>
          </a:extLst>
        </xdr:cNvPr>
        <xdr:cNvSpPr/>
      </xdr:nvSpPr>
      <xdr:spPr>
        <a:xfrm rot="10800000">
          <a:off x="5158740" y="309219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170</xdr:row>
      <xdr:rowOff>0</xdr:rowOff>
    </xdr:from>
    <xdr:to>
      <xdr:col>14</xdr:col>
      <xdr:colOff>83820</xdr:colOff>
      <xdr:row>170</xdr:row>
      <xdr:rowOff>106680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85812E6A-05B2-4103-A5CD-1BF7059D8DEA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169</xdr:row>
      <xdr:rowOff>0</xdr:rowOff>
    </xdr:from>
    <xdr:to>
      <xdr:col>14</xdr:col>
      <xdr:colOff>83820</xdr:colOff>
      <xdr:row>169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4A6F4A63-6047-4F9F-8CC3-F01B4FFF0F4F}"/>
            </a:ext>
          </a:extLst>
        </xdr:cNvPr>
        <xdr:cNvSpPr/>
      </xdr:nvSpPr>
      <xdr:spPr>
        <a:xfrm>
          <a:off x="5158740" y="31104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171</xdr:row>
      <xdr:rowOff>0</xdr:rowOff>
    </xdr:from>
    <xdr:to>
      <xdr:col>14</xdr:col>
      <xdr:colOff>83820</xdr:colOff>
      <xdr:row>171</xdr:row>
      <xdr:rowOff>106680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ACFAD0E4-25B3-4AA3-B279-7556493E8209}"/>
            </a:ext>
          </a:extLst>
        </xdr:cNvPr>
        <xdr:cNvSpPr/>
      </xdr:nvSpPr>
      <xdr:spPr>
        <a:xfrm rot="10800000">
          <a:off x="5158740" y="3128772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172</xdr:row>
      <xdr:rowOff>0</xdr:rowOff>
    </xdr:from>
    <xdr:to>
      <xdr:col>14</xdr:col>
      <xdr:colOff>83820</xdr:colOff>
      <xdr:row>172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23D41404-9520-4656-831E-9ECE273367BF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173</xdr:row>
      <xdr:rowOff>0</xdr:rowOff>
    </xdr:from>
    <xdr:to>
      <xdr:col>14</xdr:col>
      <xdr:colOff>83820</xdr:colOff>
      <xdr:row>173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15558FD4-5227-40BC-A3CE-C1B9EE7B8DAD}"/>
            </a:ext>
          </a:extLst>
        </xdr:cNvPr>
        <xdr:cNvSpPr/>
      </xdr:nvSpPr>
      <xdr:spPr>
        <a:xfrm>
          <a:off x="5158740" y="31653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174</xdr:row>
      <xdr:rowOff>0</xdr:rowOff>
    </xdr:from>
    <xdr:to>
      <xdr:col>14</xdr:col>
      <xdr:colOff>83820</xdr:colOff>
      <xdr:row>174</xdr:row>
      <xdr:rowOff>106680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0971A6D1-D616-40E7-9962-3820D975DA94}"/>
            </a:ext>
          </a:extLst>
        </xdr:cNvPr>
        <xdr:cNvSpPr/>
      </xdr:nvSpPr>
      <xdr:spPr>
        <a:xfrm rot="10800000">
          <a:off x="5158740" y="3201924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175</xdr:row>
      <xdr:rowOff>0</xdr:rowOff>
    </xdr:from>
    <xdr:to>
      <xdr:col>14</xdr:col>
      <xdr:colOff>83820</xdr:colOff>
      <xdr:row>175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A4D2CA08-F910-484A-B1C0-6FFDF3F728A2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176</xdr:row>
      <xdr:rowOff>0</xdr:rowOff>
    </xdr:from>
    <xdr:to>
      <xdr:col>14</xdr:col>
      <xdr:colOff>83820</xdr:colOff>
      <xdr:row>176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6C9D7B35-2562-4A98-9CF3-1A1C7BC0395F}"/>
            </a:ext>
          </a:extLst>
        </xdr:cNvPr>
        <xdr:cNvSpPr/>
      </xdr:nvSpPr>
      <xdr:spPr>
        <a:xfrm>
          <a:off x="5158740" y="32202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177</xdr:row>
      <xdr:rowOff>0</xdr:rowOff>
    </xdr:from>
    <xdr:to>
      <xdr:col>14</xdr:col>
      <xdr:colOff>83820</xdr:colOff>
      <xdr:row>177</xdr:row>
      <xdr:rowOff>106680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BB4A0FE7-4EDC-426A-855A-4C9890025D76}"/>
            </a:ext>
          </a:extLst>
        </xdr:cNvPr>
        <xdr:cNvSpPr/>
      </xdr:nvSpPr>
      <xdr:spPr>
        <a:xfrm rot="10800000">
          <a:off x="5158740" y="3256788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179</xdr:row>
      <xdr:rowOff>0</xdr:rowOff>
    </xdr:from>
    <xdr:to>
      <xdr:col>14</xdr:col>
      <xdr:colOff>83820</xdr:colOff>
      <xdr:row>179</xdr:row>
      <xdr:rowOff>106680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E6DFC1B0-3F63-4286-BCFD-EAAC12F8BAB8}"/>
            </a:ext>
          </a:extLst>
        </xdr:cNvPr>
        <xdr:cNvSpPr/>
      </xdr:nvSpPr>
      <xdr:spPr>
        <a:xfrm rot="10800000">
          <a:off x="5158740" y="32750760"/>
          <a:ext cx="83820" cy="10668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178</xdr:row>
      <xdr:rowOff>0</xdr:rowOff>
    </xdr:from>
    <xdr:to>
      <xdr:col>14</xdr:col>
      <xdr:colOff>83820</xdr:colOff>
      <xdr:row>178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0495F5FD-4C4C-40CC-93BB-3323B504985E}"/>
            </a:ext>
          </a:extLst>
        </xdr:cNvPr>
        <xdr:cNvSpPr/>
      </xdr:nvSpPr>
      <xdr:spPr>
        <a:xfrm>
          <a:off x="5158740" y="32750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180</xdr:row>
      <xdr:rowOff>0</xdr:rowOff>
    </xdr:from>
    <xdr:to>
      <xdr:col>14</xdr:col>
      <xdr:colOff>83820</xdr:colOff>
      <xdr:row>180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B5B77C29-3169-4DA1-AAA5-4876EE92EDCC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181</xdr:row>
      <xdr:rowOff>0</xdr:rowOff>
    </xdr:from>
    <xdr:to>
      <xdr:col>14</xdr:col>
      <xdr:colOff>83820</xdr:colOff>
      <xdr:row>181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D5651541-8AD6-4153-A39F-48233AD3C704}"/>
            </a:ext>
          </a:extLst>
        </xdr:cNvPr>
        <xdr:cNvSpPr/>
      </xdr:nvSpPr>
      <xdr:spPr>
        <a:xfrm>
          <a:off x="5158740" y="33116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182</xdr:row>
      <xdr:rowOff>0</xdr:rowOff>
    </xdr:from>
    <xdr:to>
      <xdr:col>14</xdr:col>
      <xdr:colOff>83820</xdr:colOff>
      <xdr:row>182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C7714562-7D15-4940-99F2-6F7CE2187F06}"/>
            </a:ext>
          </a:extLst>
        </xdr:cNvPr>
        <xdr:cNvSpPr/>
      </xdr:nvSpPr>
      <xdr:spPr>
        <a:xfrm rot="10800000">
          <a:off x="5158740" y="33482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183</xdr:row>
      <xdr:rowOff>0</xdr:rowOff>
    </xdr:from>
    <xdr:to>
      <xdr:col>14</xdr:col>
      <xdr:colOff>83820</xdr:colOff>
      <xdr:row>183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FE5738D7-FC8C-4392-8951-B3C039C5C339}"/>
            </a:ext>
          </a:extLst>
        </xdr:cNvPr>
        <xdr:cNvSpPr/>
      </xdr:nvSpPr>
      <xdr:spPr>
        <a:xfrm>
          <a:off x="5158740" y="33665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184</xdr:row>
      <xdr:rowOff>0</xdr:rowOff>
    </xdr:from>
    <xdr:to>
      <xdr:col>14</xdr:col>
      <xdr:colOff>83820</xdr:colOff>
      <xdr:row>184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4BD29A18-D63D-4240-A1E7-4ECB4A2B5B76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185</xdr:row>
      <xdr:rowOff>0</xdr:rowOff>
    </xdr:from>
    <xdr:to>
      <xdr:col>14</xdr:col>
      <xdr:colOff>83820</xdr:colOff>
      <xdr:row>185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9FAB20AE-B190-4926-A71D-1DAC2EADB50C}"/>
            </a:ext>
          </a:extLst>
        </xdr:cNvPr>
        <xdr:cNvSpPr/>
      </xdr:nvSpPr>
      <xdr:spPr>
        <a:xfrm rot="10800000">
          <a:off x="5158740" y="33848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186</xdr:row>
      <xdr:rowOff>0</xdr:rowOff>
    </xdr:from>
    <xdr:to>
      <xdr:col>14</xdr:col>
      <xdr:colOff>83820</xdr:colOff>
      <xdr:row>186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D86B2437-5540-4260-912A-8C9853A0C07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187</xdr:row>
      <xdr:rowOff>0</xdr:rowOff>
    </xdr:from>
    <xdr:to>
      <xdr:col>14</xdr:col>
      <xdr:colOff>83820</xdr:colOff>
      <xdr:row>187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CF3F5C06-C5BA-4303-A3FD-B7404D151090}"/>
            </a:ext>
          </a:extLst>
        </xdr:cNvPr>
        <xdr:cNvSpPr/>
      </xdr:nvSpPr>
      <xdr:spPr>
        <a:xfrm>
          <a:off x="5158740" y="3421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188</xdr:row>
      <xdr:rowOff>0</xdr:rowOff>
    </xdr:from>
    <xdr:to>
      <xdr:col>14</xdr:col>
      <xdr:colOff>83820</xdr:colOff>
      <xdr:row>188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89C26625-9FA8-453E-B637-8C657714A9BD}"/>
            </a:ext>
          </a:extLst>
        </xdr:cNvPr>
        <xdr:cNvSpPr/>
      </xdr:nvSpPr>
      <xdr:spPr>
        <a:xfrm rot="10800000">
          <a:off x="5158740" y="34579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189</xdr:row>
      <xdr:rowOff>0</xdr:rowOff>
    </xdr:from>
    <xdr:to>
      <xdr:col>14</xdr:col>
      <xdr:colOff>83820</xdr:colOff>
      <xdr:row>189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2C94E14F-FDD3-471E-AA8F-76C1817F5016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190</xdr:row>
      <xdr:rowOff>0</xdr:rowOff>
    </xdr:from>
    <xdr:to>
      <xdr:col>14</xdr:col>
      <xdr:colOff>83820</xdr:colOff>
      <xdr:row>190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59808159-EB1B-4A59-ABE5-E040AAAEAD4E}"/>
            </a:ext>
          </a:extLst>
        </xdr:cNvPr>
        <xdr:cNvSpPr/>
      </xdr:nvSpPr>
      <xdr:spPr>
        <a:xfrm>
          <a:off x="5158740" y="34762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191</xdr:row>
      <xdr:rowOff>0</xdr:rowOff>
    </xdr:from>
    <xdr:to>
      <xdr:col>14</xdr:col>
      <xdr:colOff>83820</xdr:colOff>
      <xdr:row>191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E5AC911A-BF70-4736-BA31-76242D6B3CFE}"/>
            </a:ext>
          </a:extLst>
        </xdr:cNvPr>
        <xdr:cNvSpPr/>
      </xdr:nvSpPr>
      <xdr:spPr>
        <a:xfrm rot="10800000">
          <a:off x="5158740" y="3512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192</xdr:row>
      <xdr:rowOff>0</xdr:rowOff>
    </xdr:from>
    <xdr:to>
      <xdr:col>14</xdr:col>
      <xdr:colOff>83820</xdr:colOff>
      <xdr:row>192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DF436223-FCAD-4929-8B38-398D35B4D27F}"/>
            </a:ext>
          </a:extLst>
        </xdr:cNvPr>
        <xdr:cNvSpPr/>
      </xdr:nvSpPr>
      <xdr:spPr>
        <a:xfrm>
          <a:off x="5158740" y="3531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193</xdr:row>
      <xdr:rowOff>0</xdr:rowOff>
    </xdr:from>
    <xdr:to>
      <xdr:col>14</xdr:col>
      <xdr:colOff>83820</xdr:colOff>
      <xdr:row>193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E04B5B25-6AEE-495E-8E80-7F34D713127F}"/>
            </a:ext>
          </a:extLst>
        </xdr:cNvPr>
        <xdr:cNvSpPr/>
      </xdr:nvSpPr>
      <xdr:spPr>
        <a:xfrm rot="10800000">
          <a:off x="5158740" y="3549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194</xdr:row>
      <xdr:rowOff>0</xdr:rowOff>
    </xdr:from>
    <xdr:to>
      <xdr:col>14</xdr:col>
      <xdr:colOff>83820</xdr:colOff>
      <xdr:row>194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3AD45246-DAD3-43AE-9D8A-D343009466C4}"/>
            </a:ext>
          </a:extLst>
        </xdr:cNvPr>
        <xdr:cNvSpPr/>
      </xdr:nvSpPr>
      <xdr:spPr>
        <a:xfrm>
          <a:off x="5158740" y="3567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195</xdr:row>
      <xdr:rowOff>0</xdr:rowOff>
    </xdr:from>
    <xdr:to>
      <xdr:col>14</xdr:col>
      <xdr:colOff>83820</xdr:colOff>
      <xdr:row>195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692F742D-B945-4ACC-9F05-E2E769CD00ED}"/>
            </a:ext>
          </a:extLst>
        </xdr:cNvPr>
        <xdr:cNvSpPr/>
      </xdr:nvSpPr>
      <xdr:spPr>
        <a:xfrm rot="10800000">
          <a:off x="5158740" y="3585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14</xdr:col>
      <xdr:colOff>83820</xdr:colOff>
      <xdr:row>196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B4AC78FA-B0C6-4740-B31E-739A11EC349C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197</xdr:row>
      <xdr:rowOff>0</xdr:rowOff>
    </xdr:from>
    <xdr:to>
      <xdr:col>14</xdr:col>
      <xdr:colOff>83820</xdr:colOff>
      <xdr:row>197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E2A1E64D-C0CC-4C11-B043-F6C17D761108}"/>
            </a:ext>
          </a:extLst>
        </xdr:cNvPr>
        <xdr:cNvSpPr/>
      </xdr:nvSpPr>
      <xdr:spPr>
        <a:xfrm>
          <a:off x="5158740" y="3604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14</xdr:col>
      <xdr:colOff>83820</xdr:colOff>
      <xdr:row>198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7897FB6D-F8B6-490B-8387-981D9325401C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199</xdr:row>
      <xdr:rowOff>0</xdr:rowOff>
    </xdr:from>
    <xdr:to>
      <xdr:col>14</xdr:col>
      <xdr:colOff>83820</xdr:colOff>
      <xdr:row>199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C1462911-4C55-4750-8CBD-08DD576EFB2E}"/>
            </a:ext>
          </a:extLst>
        </xdr:cNvPr>
        <xdr:cNvSpPr/>
      </xdr:nvSpPr>
      <xdr:spPr>
        <a:xfrm rot="10800000">
          <a:off x="5158740" y="36408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200</xdr:row>
      <xdr:rowOff>0</xdr:rowOff>
    </xdr:from>
    <xdr:to>
      <xdr:col>14</xdr:col>
      <xdr:colOff>83820</xdr:colOff>
      <xdr:row>200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7A84A5E-28DF-42FC-955E-DCF38B8C684F}"/>
            </a:ext>
          </a:extLst>
        </xdr:cNvPr>
        <xdr:cNvSpPr/>
      </xdr:nvSpPr>
      <xdr:spPr>
        <a:xfrm rot="10800000">
          <a:off x="5158740" y="365912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201</xdr:row>
      <xdr:rowOff>0</xdr:rowOff>
    </xdr:from>
    <xdr:to>
      <xdr:col>14</xdr:col>
      <xdr:colOff>83820</xdr:colOff>
      <xdr:row>201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D37D044-2A90-40DC-9A97-FE6354D1C096}"/>
            </a:ext>
          </a:extLst>
        </xdr:cNvPr>
        <xdr:cNvSpPr/>
      </xdr:nvSpPr>
      <xdr:spPr>
        <a:xfrm>
          <a:off x="5158740" y="3695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202</xdr:row>
      <xdr:rowOff>0</xdr:rowOff>
    </xdr:from>
    <xdr:to>
      <xdr:col>14</xdr:col>
      <xdr:colOff>83820</xdr:colOff>
      <xdr:row>202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A15BF973-6EC4-4540-92E6-CC21B246F229}"/>
            </a:ext>
          </a:extLst>
        </xdr:cNvPr>
        <xdr:cNvSpPr/>
      </xdr:nvSpPr>
      <xdr:spPr>
        <a:xfrm rot="10800000">
          <a:off x="5158740" y="37139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203</xdr:row>
      <xdr:rowOff>0</xdr:rowOff>
    </xdr:from>
    <xdr:to>
      <xdr:col>14</xdr:col>
      <xdr:colOff>83820</xdr:colOff>
      <xdr:row>203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801C72CE-D790-40BE-8BA5-DAE49647536D}"/>
            </a:ext>
          </a:extLst>
        </xdr:cNvPr>
        <xdr:cNvSpPr/>
      </xdr:nvSpPr>
      <xdr:spPr>
        <a:xfrm>
          <a:off x="5158740" y="37322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204</xdr:row>
      <xdr:rowOff>0</xdr:rowOff>
    </xdr:from>
    <xdr:to>
      <xdr:col>14</xdr:col>
      <xdr:colOff>83820</xdr:colOff>
      <xdr:row>204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C2267D1D-29CF-4B1B-946D-E99A408BC44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205</xdr:row>
      <xdr:rowOff>0</xdr:rowOff>
    </xdr:from>
    <xdr:to>
      <xdr:col>14</xdr:col>
      <xdr:colOff>83820</xdr:colOff>
      <xdr:row>205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6196483-CD6A-4247-B4E0-D8F36381C69B}"/>
            </a:ext>
          </a:extLst>
        </xdr:cNvPr>
        <xdr:cNvSpPr/>
      </xdr:nvSpPr>
      <xdr:spPr>
        <a:xfrm rot="10800000">
          <a:off x="5158740" y="3750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206</xdr:row>
      <xdr:rowOff>0</xdr:rowOff>
    </xdr:from>
    <xdr:to>
      <xdr:col>14</xdr:col>
      <xdr:colOff>83820</xdr:colOff>
      <xdr:row>206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A5253AA0-B2E7-4459-A92C-81B02314A181}"/>
            </a:ext>
          </a:extLst>
        </xdr:cNvPr>
        <xdr:cNvSpPr/>
      </xdr:nvSpPr>
      <xdr:spPr>
        <a:xfrm rot="10800000">
          <a:off x="5158740" y="3768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207</xdr:row>
      <xdr:rowOff>0</xdr:rowOff>
    </xdr:from>
    <xdr:to>
      <xdr:col>14</xdr:col>
      <xdr:colOff>83820</xdr:colOff>
      <xdr:row>207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74F487D1-6B2C-40EC-BAFD-A2398CDBDA26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208</xdr:row>
      <xdr:rowOff>0</xdr:rowOff>
    </xdr:from>
    <xdr:to>
      <xdr:col>14</xdr:col>
      <xdr:colOff>83820</xdr:colOff>
      <xdr:row>208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DD8D356-D63C-497A-954D-54D7CFA9DCFD}"/>
            </a:ext>
          </a:extLst>
        </xdr:cNvPr>
        <xdr:cNvSpPr/>
      </xdr:nvSpPr>
      <xdr:spPr>
        <a:xfrm>
          <a:off x="5158740" y="3805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209</xdr:row>
      <xdr:rowOff>0</xdr:rowOff>
    </xdr:from>
    <xdr:to>
      <xdr:col>14</xdr:col>
      <xdr:colOff>83820</xdr:colOff>
      <xdr:row>209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BE15D06-9ED4-458D-B8E6-89F7AC4C99F0}"/>
            </a:ext>
          </a:extLst>
        </xdr:cNvPr>
        <xdr:cNvSpPr/>
      </xdr:nvSpPr>
      <xdr:spPr>
        <a:xfrm>
          <a:off x="5158740" y="38420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210</xdr:row>
      <xdr:rowOff>0</xdr:rowOff>
    </xdr:from>
    <xdr:to>
      <xdr:col>14</xdr:col>
      <xdr:colOff>83820</xdr:colOff>
      <xdr:row>210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16ADE023-130F-446E-A2D3-FFC812356961}"/>
            </a:ext>
          </a:extLst>
        </xdr:cNvPr>
        <xdr:cNvSpPr/>
      </xdr:nvSpPr>
      <xdr:spPr>
        <a:xfrm rot="10800000">
          <a:off x="5158740" y="3860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211</xdr:row>
      <xdr:rowOff>0</xdr:rowOff>
    </xdr:from>
    <xdr:to>
      <xdr:col>14</xdr:col>
      <xdr:colOff>83820</xdr:colOff>
      <xdr:row>211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37C51709-245A-4485-A2E2-8B145AAB9212}"/>
            </a:ext>
          </a:extLst>
        </xdr:cNvPr>
        <xdr:cNvSpPr/>
      </xdr:nvSpPr>
      <xdr:spPr>
        <a:xfrm>
          <a:off x="5158740" y="3878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212</xdr:row>
      <xdr:rowOff>0</xdr:rowOff>
    </xdr:from>
    <xdr:to>
      <xdr:col>14</xdr:col>
      <xdr:colOff>83820</xdr:colOff>
      <xdr:row>212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9B4E6632-65E7-4BB8-A523-75A71C719CDF}"/>
            </a:ext>
          </a:extLst>
        </xdr:cNvPr>
        <xdr:cNvSpPr/>
      </xdr:nvSpPr>
      <xdr:spPr>
        <a:xfrm rot="10800000">
          <a:off x="5158740" y="389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213</xdr:row>
      <xdr:rowOff>0</xdr:rowOff>
    </xdr:from>
    <xdr:to>
      <xdr:col>14</xdr:col>
      <xdr:colOff>83820</xdr:colOff>
      <xdr:row>213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F360C447-9969-4AB2-B2E5-10B0EF20E9E2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214</xdr:row>
      <xdr:rowOff>0</xdr:rowOff>
    </xdr:from>
    <xdr:to>
      <xdr:col>14</xdr:col>
      <xdr:colOff>83820</xdr:colOff>
      <xdr:row>214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131BC8CC-7722-4CAC-A266-683C1F1AC160}"/>
            </a:ext>
          </a:extLst>
        </xdr:cNvPr>
        <xdr:cNvSpPr/>
      </xdr:nvSpPr>
      <xdr:spPr>
        <a:xfrm>
          <a:off x="5158740" y="3915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215</xdr:row>
      <xdr:rowOff>0</xdr:rowOff>
    </xdr:from>
    <xdr:to>
      <xdr:col>14</xdr:col>
      <xdr:colOff>83820</xdr:colOff>
      <xdr:row>215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0EE1B940-FE09-4B5F-808C-D91D33EB89F6}"/>
            </a:ext>
          </a:extLst>
        </xdr:cNvPr>
        <xdr:cNvSpPr/>
      </xdr:nvSpPr>
      <xdr:spPr>
        <a:xfrm rot="10800000">
          <a:off x="5158740" y="39517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216</xdr:row>
      <xdr:rowOff>0</xdr:rowOff>
    </xdr:from>
    <xdr:to>
      <xdr:col>14</xdr:col>
      <xdr:colOff>83820</xdr:colOff>
      <xdr:row>216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918C598B-9B56-4AFE-9D77-C94D01A65E39}"/>
            </a:ext>
          </a:extLst>
        </xdr:cNvPr>
        <xdr:cNvSpPr/>
      </xdr:nvSpPr>
      <xdr:spPr>
        <a:xfrm>
          <a:off x="5158740" y="39700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217</xdr:row>
      <xdr:rowOff>0</xdr:rowOff>
    </xdr:from>
    <xdr:to>
      <xdr:col>14</xdr:col>
      <xdr:colOff>83820</xdr:colOff>
      <xdr:row>217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668D227-8C34-4F34-AC6C-40C16A56EB1C}"/>
            </a:ext>
          </a:extLst>
        </xdr:cNvPr>
        <xdr:cNvSpPr/>
      </xdr:nvSpPr>
      <xdr:spPr>
        <a:xfrm rot="10800000">
          <a:off x="5158740" y="3988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218</xdr:row>
      <xdr:rowOff>0</xdr:rowOff>
    </xdr:from>
    <xdr:to>
      <xdr:col>14</xdr:col>
      <xdr:colOff>83820</xdr:colOff>
      <xdr:row>218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6D25796C-E475-4635-B03D-0C4FDE26F93F}"/>
            </a:ext>
          </a:extLst>
        </xdr:cNvPr>
        <xdr:cNvSpPr/>
      </xdr:nvSpPr>
      <xdr:spPr>
        <a:xfrm>
          <a:off x="5158740" y="40065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219</xdr:row>
      <xdr:rowOff>0</xdr:rowOff>
    </xdr:from>
    <xdr:to>
      <xdr:col>14</xdr:col>
      <xdr:colOff>83820</xdr:colOff>
      <xdr:row>219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2CBB21F6-F786-4057-B51F-8129D5B5FB16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220</xdr:row>
      <xdr:rowOff>0</xdr:rowOff>
    </xdr:from>
    <xdr:to>
      <xdr:col>14</xdr:col>
      <xdr:colOff>83820</xdr:colOff>
      <xdr:row>220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3B583773-ED1D-4A76-AA38-18423ACB9E39}"/>
            </a:ext>
          </a:extLst>
        </xdr:cNvPr>
        <xdr:cNvSpPr/>
      </xdr:nvSpPr>
      <xdr:spPr>
        <a:xfrm rot="10800000">
          <a:off x="5158740" y="4024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221</xdr:row>
      <xdr:rowOff>0</xdr:rowOff>
    </xdr:from>
    <xdr:to>
      <xdr:col>14</xdr:col>
      <xdr:colOff>83820</xdr:colOff>
      <xdr:row>221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2AA1A6AD-E233-46B3-9AD1-FE632D2D6F6B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222</xdr:row>
      <xdr:rowOff>0</xdr:rowOff>
    </xdr:from>
    <xdr:to>
      <xdr:col>14</xdr:col>
      <xdr:colOff>83820</xdr:colOff>
      <xdr:row>222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2D7C9EB-FA1A-448C-BA13-AC2EB066BF29}"/>
            </a:ext>
          </a:extLst>
        </xdr:cNvPr>
        <xdr:cNvSpPr/>
      </xdr:nvSpPr>
      <xdr:spPr>
        <a:xfrm>
          <a:off x="5158740" y="4061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224</xdr:row>
      <xdr:rowOff>0</xdr:rowOff>
    </xdr:from>
    <xdr:to>
      <xdr:col>14</xdr:col>
      <xdr:colOff>83820</xdr:colOff>
      <xdr:row>224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B7A3115-BF82-4F7A-9FD8-AD3697562216}"/>
            </a:ext>
          </a:extLst>
        </xdr:cNvPr>
        <xdr:cNvSpPr/>
      </xdr:nvSpPr>
      <xdr:spPr>
        <a:xfrm>
          <a:off x="5158740" y="1263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223</xdr:row>
      <xdr:rowOff>0</xdr:rowOff>
    </xdr:from>
    <xdr:to>
      <xdr:col>14</xdr:col>
      <xdr:colOff>83820</xdr:colOff>
      <xdr:row>223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BBA7A157-9A9C-4122-86FE-66F4FF5C76E4}"/>
            </a:ext>
          </a:extLst>
        </xdr:cNvPr>
        <xdr:cNvSpPr/>
      </xdr:nvSpPr>
      <xdr:spPr>
        <a:xfrm rot="10800000">
          <a:off x="51587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225</xdr:row>
      <xdr:rowOff>0</xdr:rowOff>
    </xdr:from>
    <xdr:to>
      <xdr:col>14</xdr:col>
      <xdr:colOff>83820</xdr:colOff>
      <xdr:row>225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AC4CA495-A0FC-46E5-A272-D962C93CB00A}"/>
            </a:ext>
          </a:extLst>
        </xdr:cNvPr>
        <xdr:cNvSpPr/>
      </xdr:nvSpPr>
      <xdr:spPr>
        <a:xfrm rot="10800000">
          <a:off x="5158740" y="12999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226</xdr:row>
      <xdr:rowOff>0</xdr:rowOff>
    </xdr:from>
    <xdr:to>
      <xdr:col>14</xdr:col>
      <xdr:colOff>83820</xdr:colOff>
      <xdr:row>226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0DD39BF2-9EDE-4503-9588-1D967E4F83F1}"/>
            </a:ext>
          </a:extLst>
        </xdr:cNvPr>
        <xdr:cNvSpPr/>
      </xdr:nvSpPr>
      <xdr:spPr>
        <a:xfrm>
          <a:off x="5158740" y="13182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227</xdr:row>
      <xdr:rowOff>0</xdr:rowOff>
    </xdr:from>
    <xdr:to>
      <xdr:col>14</xdr:col>
      <xdr:colOff>83820</xdr:colOff>
      <xdr:row>227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A7D2479F-DA08-4B21-B46B-27804ADB10BF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228</xdr:row>
      <xdr:rowOff>0</xdr:rowOff>
    </xdr:from>
    <xdr:to>
      <xdr:col>14</xdr:col>
      <xdr:colOff>83820</xdr:colOff>
      <xdr:row>228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AD8AD310-C54C-41B9-9338-AB34DEFA2B5B}"/>
            </a:ext>
          </a:extLst>
        </xdr:cNvPr>
        <xdr:cNvSpPr/>
      </xdr:nvSpPr>
      <xdr:spPr>
        <a:xfrm rot="10800000">
          <a:off x="5158740" y="13365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229</xdr:row>
      <xdr:rowOff>0</xdr:rowOff>
    </xdr:from>
    <xdr:to>
      <xdr:col>14</xdr:col>
      <xdr:colOff>83820</xdr:colOff>
      <xdr:row>229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C9CCE925-35C6-456E-A3D9-A0CF1151D050}"/>
            </a:ext>
          </a:extLst>
        </xdr:cNvPr>
        <xdr:cNvSpPr/>
      </xdr:nvSpPr>
      <xdr:spPr>
        <a:xfrm>
          <a:off x="51587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230</xdr:row>
      <xdr:rowOff>0</xdr:rowOff>
    </xdr:from>
    <xdr:to>
      <xdr:col>14</xdr:col>
      <xdr:colOff>83820</xdr:colOff>
      <xdr:row>230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EC2E0C68-F549-4F36-9109-7E75D3F44067}"/>
            </a:ext>
          </a:extLst>
        </xdr:cNvPr>
        <xdr:cNvSpPr/>
      </xdr:nvSpPr>
      <xdr:spPr>
        <a:xfrm rot="10800000">
          <a:off x="51587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231</xdr:row>
      <xdr:rowOff>0</xdr:rowOff>
    </xdr:from>
    <xdr:to>
      <xdr:col>14</xdr:col>
      <xdr:colOff>83820</xdr:colOff>
      <xdr:row>231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486B0B57-2B87-4118-992B-28082A241118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232</xdr:row>
      <xdr:rowOff>0</xdr:rowOff>
    </xdr:from>
    <xdr:to>
      <xdr:col>14</xdr:col>
      <xdr:colOff>83820</xdr:colOff>
      <xdr:row>232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2D740A28-4412-41EC-8A4B-A18509FF7B3B}"/>
            </a:ext>
          </a:extLst>
        </xdr:cNvPr>
        <xdr:cNvSpPr/>
      </xdr:nvSpPr>
      <xdr:spPr>
        <a:xfrm>
          <a:off x="51587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233</xdr:row>
      <xdr:rowOff>0</xdr:rowOff>
    </xdr:from>
    <xdr:to>
      <xdr:col>14</xdr:col>
      <xdr:colOff>83820</xdr:colOff>
      <xdr:row>233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BB2C3F65-8B00-4AD7-B621-4D30DDFD9A40}"/>
            </a:ext>
          </a:extLst>
        </xdr:cNvPr>
        <xdr:cNvSpPr/>
      </xdr:nvSpPr>
      <xdr:spPr>
        <a:xfrm rot="10800000">
          <a:off x="5158740" y="14462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234</xdr:row>
      <xdr:rowOff>0</xdr:rowOff>
    </xdr:from>
    <xdr:to>
      <xdr:col>14</xdr:col>
      <xdr:colOff>83820</xdr:colOff>
      <xdr:row>234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7E3839FB-8BB4-4309-81D2-319C4A8C95BA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235</xdr:row>
      <xdr:rowOff>0</xdr:rowOff>
    </xdr:from>
    <xdr:to>
      <xdr:col>14</xdr:col>
      <xdr:colOff>83820</xdr:colOff>
      <xdr:row>235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4D656F6-3A6C-4D84-A20A-386E61F7ACA9}"/>
            </a:ext>
          </a:extLst>
        </xdr:cNvPr>
        <xdr:cNvSpPr/>
      </xdr:nvSpPr>
      <xdr:spPr>
        <a:xfrm>
          <a:off x="5158740" y="14645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236</xdr:row>
      <xdr:rowOff>0</xdr:rowOff>
    </xdr:from>
    <xdr:to>
      <xdr:col>14</xdr:col>
      <xdr:colOff>83820</xdr:colOff>
      <xdr:row>236</xdr:row>
      <xdr:rowOff>114300</xdr:rowOff>
    </xdr:to>
    <xdr:sp macro="" textlink="">
      <xdr:nvSpPr>
        <xdr:cNvPr id="239" name="Arrow: Down 238">
          <a:extLst>
            <a:ext uri="{FF2B5EF4-FFF2-40B4-BE49-F238E27FC236}">
              <a16:creationId xmlns:a16="http://schemas.microsoft.com/office/drawing/2014/main" id="{14A2F36A-D9E0-4A97-8038-B4D42AF2B781}"/>
            </a:ext>
          </a:extLst>
        </xdr:cNvPr>
        <xdr:cNvSpPr/>
      </xdr:nvSpPr>
      <xdr:spPr>
        <a:xfrm rot="10800000">
          <a:off x="5158740" y="15011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237</xdr:row>
      <xdr:rowOff>0</xdr:rowOff>
    </xdr:from>
    <xdr:to>
      <xdr:col>14</xdr:col>
      <xdr:colOff>83820</xdr:colOff>
      <xdr:row>237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BBECCA2C-4A65-4D8F-AA24-AA3E2F201875}"/>
            </a:ext>
          </a:extLst>
        </xdr:cNvPr>
        <xdr:cNvSpPr/>
      </xdr:nvSpPr>
      <xdr:spPr>
        <a:xfrm rot="10800000">
          <a:off x="5158740" y="15194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238</xdr:row>
      <xdr:rowOff>0</xdr:rowOff>
    </xdr:from>
    <xdr:to>
      <xdr:col>14</xdr:col>
      <xdr:colOff>83820</xdr:colOff>
      <xdr:row>238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4DD3378D-F4D1-4AA2-967D-0285C3828E62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239</xdr:row>
      <xdr:rowOff>0</xdr:rowOff>
    </xdr:from>
    <xdr:to>
      <xdr:col>14</xdr:col>
      <xdr:colOff>83820</xdr:colOff>
      <xdr:row>239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C938FA95-B465-44FE-B080-8749AEA49CF1}"/>
            </a:ext>
          </a:extLst>
        </xdr:cNvPr>
        <xdr:cNvSpPr/>
      </xdr:nvSpPr>
      <xdr:spPr>
        <a:xfrm>
          <a:off x="5158740" y="15377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240</xdr:row>
      <xdr:rowOff>0</xdr:rowOff>
    </xdr:from>
    <xdr:to>
      <xdr:col>14</xdr:col>
      <xdr:colOff>83820</xdr:colOff>
      <xdr:row>240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59C86C7A-3D9E-4E24-9175-D67EF25A45C6}"/>
            </a:ext>
          </a:extLst>
        </xdr:cNvPr>
        <xdr:cNvSpPr/>
      </xdr:nvSpPr>
      <xdr:spPr>
        <a:xfrm rot="10800000">
          <a:off x="5158740" y="15742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241</xdr:row>
      <xdr:rowOff>0</xdr:rowOff>
    </xdr:from>
    <xdr:to>
      <xdr:col>14</xdr:col>
      <xdr:colOff>83820</xdr:colOff>
      <xdr:row>241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F4EBA6B0-C51E-464D-ACB1-7DAB2B398275}"/>
            </a:ext>
          </a:extLst>
        </xdr:cNvPr>
        <xdr:cNvSpPr/>
      </xdr:nvSpPr>
      <xdr:spPr>
        <a:xfrm>
          <a:off x="5158740" y="1592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242</xdr:row>
      <xdr:rowOff>0</xdr:rowOff>
    </xdr:from>
    <xdr:to>
      <xdr:col>14</xdr:col>
      <xdr:colOff>83820</xdr:colOff>
      <xdr:row>242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595FF982-1417-4D1D-8010-5FB0E71330F2}"/>
            </a:ext>
          </a:extLst>
        </xdr:cNvPr>
        <xdr:cNvSpPr/>
      </xdr:nvSpPr>
      <xdr:spPr>
        <a:xfrm rot="10800000">
          <a:off x="51587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243</xdr:row>
      <xdr:rowOff>0</xdr:rowOff>
    </xdr:from>
    <xdr:to>
      <xdr:col>14</xdr:col>
      <xdr:colOff>83820</xdr:colOff>
      <xdr:row>243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6C5686D2-7E81-4759-B0A7-6959DC5F135C}"/>
            </a:ext>
          </a:extLst>
        </xdr:cNvPr>
        <xdr:cNvSpPr/>
      </xdr:nvSpPr>
      <xdr:spPr>
        <a:xfrm>
          <a:off x="51587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244</xdr:row>
      <xdr:rowOff>0</xdr:rowOff>
    </xdr:from>
    <xdr:to>
      <xdr:col>14</xdr:col>
      <xdr:colOff>83820</xdr:colOff>
      <xdr:row>244</xdr:row>
      <xdr:rowOff>114300</xdr:rowOff>
    </xdr:to>
    <xdr:sp macro="" textlink="">
      <xdr:nvSpPr>
        <xdr:cNvPr id="240" name="Arrow: Down 239">
          <a:extLst>
            <a:ext uri="{FF2B5EF4-FFF2-40B4-BE49-F238E27FC236}">
              <a16:creationId xmlns:a16="http://schemas.microsoft.com/office/drawing/2014/main" id="{4C82DCE6-2F68-4F6A-9BF9-AA9ECC2552F0}"/>
            </a:ext>
          </a:extLst>
        </xdr:cNvPr>
        <xdr:cNvSpPr/>
      </xdr:nvSpPr>
      <xdr:spPr>
        <a:xfrm rot="10800000">
          <a:off x="5158740" y="16474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245</xdr:row>
      <xdr:rowOff>0</xdr:rowOff>
    </xdr:from>
    <xdr:to>
      <xdr:col>14</xdr:col>
      <xdr:colOff>83820</xdr:colOff>
      <xdr:row>245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4960A03-EA76-48EF-A271-6917774111B1}"/>
            </a:ext>
          </a:extLst>
        </xdr:cNvPr>
        <xdr:cNvSpPr/>
      </xdr:nvSpPr>
      <xdr:spPr>
        <a:xfrm>
          <a:off x="51587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246</xdr:row>
      <xdr:rowOff>0</xdr:rowOff>
    </xdr:from>
    <xdr:to>
      <xdr:col>14</xdr:col>
      <xdr:colOff>83820</xdr:colOff>
      <xdr:row>246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20F63F9B-E91D-43EF-9AF3-43A7EFDFC986}"/>
            </a:ext>
          </a:extLst>
        </xdr:cNvPr>
        <xdr:cNvSpPr/>
      </xdr:nvSpPr>
      <xdr:spPr>
        <a:xfrm rot="10800000">
          <a:off x="5158740" y="1684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247</xdr:row>
      <xdr:rowOff>0</xdr:rowOff>
    </xdr:from>
    <xdr:to>
      <xdr:col>14</xdr:col>
      <xdr:colOff>83820</xdr:colOff>
      <xdr:row>247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CA66440F-A316-4697-86CF-FE15B9E08E3D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248</xdr:row>
      <xdr:rowOff>0</xdr:rowOff>
    </xdr:from>
    <xdr:to>
      <xdr:col>14</xdr:col>
      <xdr:colOff>83820</xdr:colOff>
      <xdr:row>248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29D158B-8FEB-4F45-9731-6DD6559DE0FA}"/>
            </a:ext>
          </a:extLst>
        </xdr:cNvPr>
        <xdr:cNvSpPr/>
      </xdr:nvSpPr>
      <xdr:spPr>
        <a:xfrm>
          <a:off x="5158740" y="17023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249</xdr:row>
      <xdr:rowOff>0</xdr:rowOff>
    </xdr:from>
    <xdr:to>
      <xdr:col>14</xdr:col>
      <xdr:colOff>83820</xdr:colOff>
      <xdr:row>249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08C22A9F-B1D2-438C-8CAF-A91A90F899A6}"/>
            </a:ext>
          </a:extLst>
        </xdr:cNvPr>
        <xdr:cNvSpPr/>
      </xdr:nvSpPr>
      <xdr:spPr>
        <a:xfrm rot="10800000">
          <a:off x="5158740" y="173888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250</xdr:row>
      <xdr:rowOff>0</xdr:rowOff>
    </xdr:from>
    <xdr:to>
      <xdr:col>14</xdr:col>
      <xdr:colOff>83820</xdr:colOff>
      <xdr:row>250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3A821F7E-E1D0-4D17-8331-A362BAB3708C}"/>
            </a:ext>
          </a:extLst>
        </xdr:cNvPr>
        <xdr:cNvSpPr/>
      </xdr:nvSpPr>
      <xdr:spPr>
        <a:xfrm rot="10800000">
          <a:off x="5158740" y="17571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251</xdr:row>
      <xdr:rowOff>0</xdr:rowOff>
    </xdr:from>
    <xdr:to>
      <xdr:col>14</xdr:col>
      <xdr:colOff>83820</xdr:colOff>
      <xdr:row>251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163015CA-0C59-436B-A5E1-B8B6740E6712}"/>
            </a:ext>
          </a:extLst>
        </xdr:cNvPr>
        <xdr:cNvSpPr/>
      </xdr:nvSpPr>
      <xdr:spPr>
        <a:xfrm>
          <a:off x="5158740" y="177546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252</xdr:row>
      <xdr:rowOff>0</xdr:rowOff>
    </xdr:from>
    <xdr:to>
      <xdr:col>14</xdr:col>
      <xdr:colOff>83820</xdr:colOff>
      <xdr:row>252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67971776-05D6-4FCA-9229-F64952F91434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253</xdr:row>
      <xdr:rowOff>0</xdr:rowOff>
    </xdr:from>
    <xdr:to>
      <xdr:col>14</xdr:col>
      <xdr:colOff>83820</xdr:colOff>
      <xdr:row>253</xdr:row>
      <xdr:rowOff>114300</xdr:rowOff>
    </xdr:to>
    <xdr:sp macro="" textlink="">
      <xdr:nvSpPr>
        <xdr:cNvPr id="246" name="Arrow: Down 245">
          <a:extLst>
            <a:ext uri="{FF2B5EF4-FFF2-40B4-BE49-F238E27FC236}">
              <a16:creationId xmlns:a16="http://schemas.microsoft.com/office/drawing/2014/main" id="{3CBB1CBB-8048-4898-A4A6-EAA83884ADB1}"/>
            </a:ext>
          </a:extLst>
        </xdr:cNvPr>
        <xdr:cNvSpPr/>
      </xdr:nvSpPr>
      <xdr:spPr>
        <a:xfrm rot="10800000">
          <a:off x="5158740" y="17937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254</xdr:row>
      <xdr:rowOff>0</xdr:rowOff>
    </xdr:from>
    <xdr:to>
      <xdr:col>14</xdr:col>
      <xdr:colOff>83820</xdr:colOff>
      <xdr:row>254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18A92DA2-80B4-4B82-A9D4-A926E44450E3}"/>
            </a:ext>
          </a:extLst>
        </xdr:cNvPr>
        <xdr:cNvSpPr/>
      </xdr:nvSpPr>
      <xdr:spPr>
        <a:xfrm rot="10800000">
          <a:off x="5158740" y="181203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255</xdr:row>
      <xdr:rowOff>0</xdr:rowOff>
    </xdr:from>
    <xdr:to>
      <xdr:col>14</xdr:col>
      <xdr:colOff>83820</xdr:colOff>
      <xdr:row>255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9E04CB1C-9D29-4E13-8DBE-970E88B59389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256</xdr:row>
      <xdr:rowOff>0</xdr:rowOff>
    </xdr:from>
    <xdr:to>
      <xdr:col>14</xdr:col>
      <xdr:colOff>83820</xdr:colOff>
      <xdr:row>256</xdr:row>
      <xdr:rowOff>114300</xdr:rowOff>
    </xdr:to>
    <xdr:sp macro="" textlink="">
      <xdr:nvSpPr>
        <xdr:cNvPr id="257" name="Arrow: Down 256">
          <a:extLst>
            <a:ext uri="{FF2B5EF4-FFF2-40B4-BE49-F238E27FC236}">
              <a16:creationId xmlns:a16="http://schemas.microsoft.com/office/drawing/2014/main" id="{87984016-C93F-4C07-A7FD-BAA2164D75C6}"/>
            </a:ext>
          </a:extLst>
        </xdr:cNvPr>
        <xdr:cNvSpPr/>
      </xdr:nvSpPr>
      <xdr:spPr>
        <a:xfrm>
          <a:off x="5158740" y="184861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257</xdr:row>
      <xdr:rowOff>0</xdr:rowOff>
    </xdr:from>
    <xdr:to>
      <xdr:col>14</xdr:col>
      <xdr:colOff>83820</xdr:colOff>
      <xdr:row>257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283EBDA9-0AC0-4B2B-B206-0B987F6158B6}"/>
            </a:ext>
          </a:extLst>
        </xdr:cNvPr>
        <xdr:cNvSpPr/>
      </xdr:nvSpPr>
      <xdr:spPr>
        <a:xfrm rot="10800000">
          <a:off x="5158740" y="1885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259</xdr:row>
      <xdr:rowOff>0</xdr:rowOff>
    </xdr:from>
    <xdr:to>
      <xdr:col>14</xdr:col>
      <xdr:colOff>83820</xdr:colOff>
      <xdr:row>259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D67C80D4-F6EE-4615-865D-8E0CEBF13F1E}"/>
            </a:ext>
          </a:extLst>
        </xdr:cNvPr>
        <xdr:cNvSpPr/>
      </xdr:nvSpPr>
      <xdr:spPr>
        <a:xfrm rot="10800000">
          <a:off x="5158740" y="19034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258</xdr:row>
      <xdr:rowOff>0</xdr:rowOff>
    </xdr:from>
    <xdr:to>
      <xdr:col>14</xdr:col>
      <xdr:colOff>83820</xdr:colOff>
      <xdr:row>258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5E343A88-8C79-48C0-B1DD-E02D4A2198B2}"/>
            </a:ext>
          </a:extLst>
        </xdr:cNvPr>
        <xdr:cNvSpPr/>
      </xdr:nvSpPr>
      <xdr:spPr>
        <a:xfrm>
          <a:off x="5158740" y="190347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260</xdr:row>
      <xdr:rowOff>0</xdr:rowOff>
    </xdr:from>
    <xdr:to>
      <xdr:col>14</xdr:col>
      <xdr:colOff>83820</xdr:colOff>
      <xdr:row>260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95594E6E-4F5C-4237-B38C-F743A7C5930E}"/>
            </a:ext>
          </a:extLst>
        </xdr:cNvPr>
        <xdr:cNvSpPr/>
      </xdr:nvSpPr>
      <xdr:spPr>
        <a:xfrm rot="10800000">
          <a:off x="5158740" y="19217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261</xdr:row>
      <xdr:rowOff>0</xdr:rowOff>
    </xdr:from>
    <xdr:to>
      <xdr:col>14</xdr:col>
      <xdr:colOff>83820</xdr:colOff>
      <xdr:row>261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D879E70B-23B9-4C16-A9E8-7A4E06D6374F}"/>
            </a:ext>
          </a:extLst>
        </xdr:cNvPr>
        <xdr:cNvSpPr/>
      </xdr:nvSpPr>
      <xdr:spPr>
        <a:xfrm>
          <a:off x="5158740" y="19583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262</xdr:row>
      <xdr:rowOff>0</xdr:rowOff>
    </xdr:from>
    <xdr:to>
      <xdr:col>14</xdr:col>
      <xdr:colOff>83820</xdr:colOff>
      <xdr:row>262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2DA36B81-26DC-493F-BE79-00AEDACDAA58}"/>
            </a:ext>
          </a:extLst>
        </xdr:cNvPr>
        <xdr:cNvSpPr/>
      </xdr:nvSpPr>
      <xdr:spPr>
        <a:xfrm rot="10800000">
          <a:off x="5158740" y="19766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263</xdr:row>
      <xdr:rowOff>0</xdr:rowOff>
    </xdr:from>
    <xdr:to>
      <xdr:col>14</xdr:col>
      <xdr:colOff>83820</xdr:colOff>
      <xdr:row>263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8005D620-7E66-4DD0-A2ED-49B16CC92609}"/>
            </a:ext>
          </a:extLst>
        </xdr:cNvPr>
        <xdr:cNvSpPr/>
      </xdr:nvSpPr>
      <xdr:spPr>
        <a:xfrm>
          <a:off x="5158740" y="19949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264</xdr:row>
      <xdr:rowOff>0</xdr:rowOff>
    </xdr:from>
    <xdr:to>
      <xdr:col>14</xdr:col>
      <xdr:colOff>83820</xdr:colOff>
      <xdr:row>264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B118F39E-F3CB-4D08-BD59-67C76E915D6D}"/>
            </a:ext>
          </a:extLst>
        </xdr:cNvPr>
        <xdr:cNvSpPr/>
      </xdr:nvSpPr>
      <xdr:spPr>
        <a:xfrm rot="10800000">
          <a:off x="5158740" y="20132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6</xdr:row>
      <xdr:rowOff>0</xdr:rowOff>
    </xdr:from>
    <xdr:to>
      <xdr:col>34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34</xdr:col>
      <xdr:colOff>0</xdr:colOff>
      <xdr:row>7</xdr:row>
      <xdr:rowOff>0</xdr:rowOff>
    </xdr:from>
    <xdr:to>
      <xdr:col>34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</xdr:row>
      <xdr:rowOff>0</xdr:rowOff>
    </xdr:from>
    <xdr:to>
      <xdr:col>28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</xdr:row>
      <xdr:rowOff>0</xdr:rowOff>
    </xdr:from>
    <xdr:to>
      <xdr:col>28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</xdr:row>
      <xdr:rowOff>0</xdr:rowOff>
    </xdr:from>
    <xdr:to>
      <xdr:col>28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</xdr:row>
      <xdr:rowOff>0</xdr:rowOff>
    </xdr:from>
    <xdr:to>
      <xdr:col>28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</xdr:row>
      <xdr:rowOff>0</xdr:rowOff>
    </xdr:from>
    <xdr:to>
      <xdr:col>28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</xdr:row>
      <xdr:rowOff>0</xdr:rowOff>
    </xdr:from>
    <xdr:to>
      <xdr:col>28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</xdr:row>
      <xdr:rowOff>0</xdr:rowOff>
    </xdr:from>
    <xdr:to>
      <xdr:col>28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</xdr:row>
      <xdr:rowOff>0</xdr:rowOff>
    </xdr:from>
    <xdr:to>
      <xdr:col>28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</xdr:row>
      <xdr:rowOff>0</xdr:rowOff>
    </xdr:from>
    <xdr:to>
      <xdr:col>28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</xdr:row>
      <xdr:rowOff>0</xdr:rowOff>
    </xdr:from>
    <xdr:to>
      <xdr:col>28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</xdr:row>
      <xdr:rowOff>0</xdr:rowOff>
    </xdr:from>
    <xdr:to>
      <xdr:col>28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</xdr:row>
      <xdr:rowOff>0</xdr:rowOff>
    </xdr:from>
    <xdr:to>
      <xdr:col>28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</xdr:row>
      <xdr:rowOff>0</xdr:rowOff>
    </xdr:from>
    <xdr:to>
      <xdr:col>28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</xdr:row>
      <xdr:rowOff>0</xdr:rowOff>
    </xdr:from>
    <xdr:to>
      <xdr:col>28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</xdr:row>
      <xdr:rowOff>0</xdr:rowOff>
    </xdr:from>
    <xdr:to>
      <xdr:col>28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22</xdr:row>
      <xdr:rowOff>0</xdr:rowOff>
    </xdr:from>
    <xdr:to>
      <xdr:col>28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23</xdr:row>
      <xdr:rowOff>0</xdr:rowOff>
    </xdr:from>
    <xdr:to>
      <xdr:col>28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24</xdr:row>
      <xdr:rowOff>0</xdr:rowOff>
    </xdr:from>
    <xdr:to>
      <xdr:col>28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25</xdr:row>
      <xdr:rowOff>0</xdr:rowOff>
    </xdr:from>
    <xdr:to>
      <xdr:col>28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26</xdr:row>
      <xdr:rowOff>0</xdr:rowOff>
    </xdr:from>
    <xdr:to>
      <xdr:col>28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27</xdr:row>
      <xdr:rowOff>0</xdr:rowOff>
    </xdr:from>
    <xdr:to>
      <xdr:col>28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28</xdr:row>
      <xdr:rowOff>0</xdr:rowOff>
    </xdr:from>
    <xdr:to>
      <xdr:col>28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29</xdr:row>
      <xdr:rowOff>0</xdr:rowOff>
    </xdr:from>
    <xdr:to>
      <xdr:col>28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30</xdr:row>
      <xdr:rowOff>0</xdr:rowOff>
    </xdr:from>
    <xdr:to>
      <xdr:col>28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31</xdr:row>
      <xdr:rowOff>0</xdr:rowOff>
    </xdr:from>
    <xdr:to>
      <xdr:col>28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32</xdr:row>
      <xdr:rowOff>0</xdr:rowOff>
    </xdr:from>
    <xdr:to>
      <xdr:col>28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33</xdr:row>
      <xdr:rowOff>0</xdr:rowOff>
    </xdr:from>
    <xdr:to>
      <xdr:col>28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34</xdr:row>
      <xdr:rowOff>0</xdr:rowOff>
    </xdr:from>
    <xdr:to>
      <xdr:col>28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35</xdr:row>
      <xdr:rowOff>0</xdr:rowOff>
    </xdr:from>
    <xdr:to>
      <xdr:col>28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36</xdr:row>
      <xdr:rowOff>0</xdr:rowOff>
    </xdr:from>
    <xdr:to>
      <xdr:col>28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37</xdr:row>
      <xdr:rowOff>0</xdr:rowOff>
    </xdr:from>
    <xdr:to>
      <xdr:col>28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38</xdr:row>
      <xdr:rowOff>0</xdr:rowOff>
    </xdr:from>
    <xdr:to>
      <xdr:col>28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39</xdr:row>
      <xdr:rowOff>0</xdr:rowOff>
    </xdr:from>
    <xdr:to>
      <xdr:col>28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40</xdr:row>
      <xdr:rowOff>0</xdr:rowOff>
    </xdr:from>
    <xdr:to>
      <xdr:col>28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41</xdr:row>
      <xdr:rowOff>0</xdr:rowOff>
    </xdr:from>
    <xdr:to>
      <xdr:col>28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42</xdr:row>
      <xdr:rowOff>0</xdr:rowOff>
    </xdr:from>
    <xdr:to>
      <xdr:col>28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43</xdr:row>
      <xdr:rowOff>0</xdr:rowOff>
    </xdr:from>
    <xdr:to>
      <xdr:col>28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44</xdr:row>
      <xdr:rowOff>0</xdr:rowOff>
    </xdr:from>
    <xdr:to>
      <xdr:col>28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45</xdr:row>
      <xdr:rowOff>0</xdr:rowOff>
    </xdr:from>
    <xdr:to>
      <xdr:col>28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46</xdr:row>
      <xdr:rowOff>0</xdr:rowOff>
    </xdr:from>
    <xdr:to>
      <xdr:col>28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47</xdr:row>
      <xdr:rowOff>0</xdr:rowOff>
    </xdr:from>
    <xdr:to>
      <xdr:col>28</xdr:col>
      <xdr:colOff>83820</xdr:colOff>
      <xdr:row>47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1AEF285E-0B4B-4CA3-8A3B-7FD0A9AD5788}"/>
            </a:ext>
          </a:extLst>
        </xdr:cNvPr>
        <xdr:cNvSpPr/>
      </xdr:nvSpPr>
      <xdr:spPr>
        <a:xfrm>
          <a:off x="10668000" y="8778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48</xdr:row>
      <xdr:rowOff>0</xdr:rowOff>
    </xdr:from>
    <xdr:to>
      <xdr:col>28</xdr:col>
      <xdr:colOff>83820</xdr:colOff>
      <xdr:row>48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34E1BD0A-ECA8-406E-AAC7-6CF9B092A02F}"/>
            </a:ext>
          </a:extLst>
        </xdr:cNvPr>
        <xdr:cNvSpPr/>
      </xdr:nvSpPr>
      <xdr:spPr>
        <a:xfrm rot="10800000">
          <a:off x="10668000" y="9144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49</xdr:row>
      <xdr:rowOff>0</xdr:rowOff>
    </xdr:from>
    <xdr:to>
      <xdr:col>28</xdr:col>
      <xdr:colOff>83820</xdr:colOff>
      <xdr:row>49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4CC6B6DA-D731-41BD-B2B9-B29A8A6DC3E6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50</xdr:row>
      <xdr:rowOff>0</xdr:rowOff>
    </xdr:from>
    <xdr:to>
      <xdr:col>28</xdr:col>
      <xdr:colOff>83820</xdr:colOff>
      <xdr:row>50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ED457425-10C3-4575-8068-7BE3B3B2CE9C}"/>
            </a:ext>
          </a:extLst>
        </xdr:cNvPr>
        <xdr:cNvSpPr/>
      </xdr:nvSpPr>
      <xdr:spPr>
        <a:xfrm>
          <a:off x="10668000" y="932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51</xdr:row>
      <xdr:rowOff>0</xdr:rowOff>
    </xdr:from>
    <xdr:to>
      <xdr:col>28</xdr:col>
      <xdr:colOff>83820</xdr:colOff>
      <xdr:row>51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12DE48BE-8EF0-4B68-8D05-FF1AB56472F1}"/>
            </a:ext>
          </a:extLst>
        </xdr:cNvPr>
        <xdr:cNvSpPr/>
      </xdr:nvSpPr>
      <xdr:spPr>
        <a:xfrm>
          <a:off x="10668000" y="9517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52</xdr:row>
      <xdr:rowOff>0</xdr:rowOff>
    </xdr:from>
    <xdr:to>
      <xdr:col>28</xdr:col>
      <xdr:colOff>83820</xdr:colOff>
      <xdr:row>52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C1A55307-F3E5-4C84-90BF-7057AEB5ED67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53</xdr:row>
      <xdr:rowOff>0</xdr:rowOff>
    </xdr:from>
    <xdr:to>
      <xdr:col>28</xdr:col>
      <xdr:colOff>83820</xdr:colOff>
      <xdr:row>53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DFD4C6C7-08E4-437F-9738-FECB9DC9C93D}"/>
            </a:ext>
          </a:extLst>
        </xdr:cNvPr>
        <xdr:cNvSpPr/>
      </xdr:nvSpPr>
      <xdr:spPr>
        <a:xfrm rot="10800000">
          <a:off x="10668000" y="9913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12</xdr:col>
      <xdr:colOff>38100</xdr:colOff>
      <xdr:row>27</xdr:row>
      <xdr:rowOff>22860</xdr:rowOff>
    </xdr:from>
    <xdr:to>
      <xdr:col>12</xdr:col>
      <xdr:colOff>152400</xdr:colOff>
      <xdr:row>27</xdr:row>
      <xdr:rowOff>167640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CCF61E6-6E39-4151-9FD1-60DE711A4915}"/>
            </a:ext>
          </a:extLst>
        </xdr:cNvPr>
        <xdr:cNvSpPr/>
      </xdr:nvSpPr>
      <xdr:spPr>
        <a:xfrm rot="10800000">
          <a:off x="5052060" y="5219700"/>
          <a:ext cx="114300" cy="14478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54</xdr:row>
      <xdr:rowOff>0</xdr:rowOff>
    </xdr:from>
    <xdr:to>
      <xdr:col>28</xdr:col>
      <xdr:colOff>83820</xdr:colOff>
      <xdr:row>54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88D9FED3-A2E1-4AE8-8F51-C1E9ECAC16EC}"/>
            </a:ext>
          </a:extLst>
        </xdr:cNvPr>
        <xdr:cNvSpPr/>
      </xdr:nvSpPr>
      <xdr:spPr>
        <a:xfrm rot="10800000">
          <a:off x="10668000" y="1010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55</xdr:row>
      <xdr:rowOff>0</xdr:rowOff>
    </xdr:from>
    <xdr:to>
      <xdr:col>28</xdr:col>
      <xdr:colOff>83820</xdr:colOff>
      <xdr:row>55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BB7805AE-09FA-4962-B3D3-A061B54992DB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56</xdr:row>
      <xdr:rowOff>0</xdr:rowOff>
    </xdr:from>
    <xdr:to>
      <xdr:col>28</xdr:col>
      <xdr:colOff>83820</xdr:colOff>
      <xdr:row>56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42123A6A-D946-4FA2-B400-D11B45B0A3FC}"/>
            </a:ext>
          </a:extLst>
        </xdr:cNvPr>
        <xdr:cNvSpPr/>
      </xdr:nvSpPr>
      <xdr:spPr>
        <a:xfrm rot="10800000">
          <a:off x="10668000" y="1049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114300</xdr:colOff>
      <xdr:row>30</xdr:row>
      <xdr:rowOff>91440</xdr:rowOff>
    </xdr:from>
    <xdr:to>
      <xdr:col>33</xdr:col>
      <xdr:colOff>220980</xdr:colOff>
      <xdr:row>31</xdr:row>
      <xdr:rowOff>15240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6D469EA8-3AD2-414F-8C94-D6731866E791}"/>
            </a:ext>
          </a:extLst>
        </xdr:cNvPr>
        <xdr:cNvSpPr/>
      </xdr:nvSpPr>
      <xdr:spPr>
        <a:xfrm>
          <a:off x="14043660" y="5875020"/>
          <a:ext cx="106680" cy="12954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59</xdr:row>
      <xdr:rowOff>0</xdr:rowOff>
    </xdr:from>
    <xdr:to>
      <xdr:col>28</xdr:col>
      <xdr:colOff>83820</xdr:colOff>
      <xdr:row>59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EE6CEAD4-3CF5-44E1-A1E1-220BB8DEE570}"/>
            </a:ext>
          </a:extLst>
        </xdr:cNvPr>
        <xdr:cNvSpPr/>
      </xdr:nvSpPr>
      <xdr:spPr>
        <a:xfrm rot="10800000">
          <a:off x="10668000" y="1104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60</xdr:row>
      <xdr:rowOff>0</xdr:rowOff>
    </xdr:from>
    <xdr:to>
      <xdr:col>28</xdr:col>
      <xdr:colOff>83820</xdr:colOff>
      <xdr:row>60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3DEC3632-B8C4-4AA6-889F-FC72C03AE990}"/>
            </a:ext>
          </a:extLst>
        </xdr:cNvPr>
        <xdr:cNvSpPr/>
      </xdr:nvSpPr>
      <xdr:spPr>
        <a:xfrm rot="10800000">
          <a:off x="11430000" y="11231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61</xdr:row>
      <xdr:rowOff>0</xdr:rowOff>
    </xdr:from>
    <xdr:to>
      <xdr:col>28</xdr:col>
      <xdr:colOff>83820</xdr:colOff>
      <xdr:row>61</xdr:row>
      <xdr:rowOff>114300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73AC904E-9F94-462A-9213-DBF3142E1451}"/>
            </a:ext>
          </a:extLst>
        </xdr:cNvPr>
        <xdr:cNvSpPr/>
      </xdr:nvSpPr>
      <xdr:spPr>
        <a:xfrm rot="10800000">
          <a:off x="11430000" y="11422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58</xdr:row>
      <xdr:rowOff>0</xdr:rowOff>
    </xdr:from>
    <xdr:to>
      <xdr:col>28</xdr:col>
      <xdr:colOff>83820</xdr:colOff>
      <xdr:row>58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621C4801-37C3-4469-AE6F-D244BA01948F}"/>
            </a:ext>
          </a:extLst>
        </xdr:cNvPr>
        <xdr:cNvSpPr/>
      </xdr:nvSpPr>
      <xdr:spPr>
        <a:xfrm>
          <a:off x="11430000" y="1104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57</xdr:row>
      <xdr:rowOff>0</xdr:rowOff>
    </xdr:from>
    <xdr:to>
      <xdr:col>28</xdr:col>
      <xdr:colOff>83820</xdr:colOff>
      <xdr:row>57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21A7A62A-4797-4DBD-A74B-B420436CB953}"/>
            </a:ext>
          </a:extLst>
        </xdr:cNvPr>
        <xdr:cNvSpPr/>
      </xdr:nvSpPr>
      <xdr:spPr>
        <a:xfrm rot="10800000">
          <a:off x="11430000" y="1085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62</xdr:row>
      <xdr:rowOff>0</xdr:rowOff>
    </xdr:from>
    <xdr:to>
      <xdr:col>28</xdr:col>
      <xdr:colOff>83820</xdr:colOff>
      <xdr:row>62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1A7D7757-A742-4CC5-B742-17E122A59EFD}"/>
            </a:ext>
          </a:extLst>
        </xdr:cNvPr>
        <xdr:cNvSpPr/>
      </xdr:nvSpPr>
      <xdr:spPr>
        <a:xfrm rot="10800000">
          <a:off x="11430000" y="11612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63</xdr:row>
      <xdr:rowOff>0</xdr:rowOff>
    </xdr:from>
    <xdr:to>
      <xdr:col>28</xdr:col>
      <xdr:colOff>83820</xdr:colOff>
      <xdr:row>63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079E28-6E66-44FA-969C-D7874955C1C5}"/>
            </a:ext>
          </a:extLst>
        </xdr:cNvPr>
        <xdr:cNvSpPr/>
      </xdr:nvSpPr>
      <xdr:spPr>
        <a:xfrm rot="10800000">
          <a:off x="11430000" y="11811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64</xdr:row>
      <xdr:rowOff>0</xdr:rowOff>
    </xdr:from>
    <xdr:to>
      <xdr:col>28</xdr:col>
      <xdr:colOff>83820</xdr:colOff>
      <xdr:row>64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1CFEE201-9B04-4FB8-B73E-A6B5CD310C17}"/>
            </a:ext>
          </a:extLst>
        </xdr:cNvPr>
        <xdr:cNvSpPr/>
      </xdr:nvSpPr>
      <xdr:spPr>
        <a:xfrm rot="10800000">
          <a:off x="11430000" y="12001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65</xdr:row>
      <xdr:rowOff>0</xdr:rowOff>
    </xdr:from>
    <xdr:to>
      <xdr:col>28</xdr:col>
      <xdr:colOff>83820</xdr:colOff>
      <xdr:row>65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2E46D07B-F4DD-4D26-B1D3-C50BBC57E745}"/>
            </a:ext>
          </a:extLst>
        </xdr:cNvPr>
        <xdr:cNvSpPr/>
      </xdr:nvSpPr>
      <xdr:spPr>
        <a:xfrm rot="10800000">
          <a:off x="11430000" y="121920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66</xdr:row>
      <xdr:rowOff>0</xdr:rowOff>
    </xdr:from>
    <xdr:to>
      <xdr:col>28</xdr:col>
      <xdr:colOff>83820</xdr:colOff>
      <xdr:row>66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96986A11-CFE9-4A58-972B-1B3BD33E178C}"/>
            </a:ext>
          </a:extLst>
        </xdr:cNvPr>
        <xdr:cNvSpPr/>
      </xdr:nvSpPr>
      <xdr:spPr>
        <a:xfrm rot="10800000">
          <a:off x="11430000" y="123748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67</xdr:row>
      <xdr:rowOff>0</xdr:rowOff>
    </xdr:from>
    <xdr:to>
      <xdr:col>28</xdr:col>
      <xdr:colOff>83820</xdr:colOff>
      <xdr:row>67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9A184AE2-8A40-494B-A9AC-D3CD46BBEF7C}"/>
            </a:ext>
          </a:extLst>
        </xdr:cNvPr>
        <xdr:cNvSpPr/>
      </xdr:nvSpPr>
      <xdr:spPr>
        <a:xfrm rot="10800000">
          <a:off x="11430000" y="12557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68</xdr:row>
      <xdr:rowOff>0</xdr:rowOff>
    </xdr:from>
    <xdr:to>
      <xdr:col>28</xdr:col>
      <xdr:colOff>83820</xdr:colOff>
      <xdr:row>68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04F35C61-85CA-4830-9698-7360ADB2B517}"/>
            </a:ext>
          </a:extLst>
        </xdr:cNvPr>
        <xdr:cNvSpPr/>
      </xdr:nvSpPr>
      <xdr:spPr>
        <a:xfrm rot="10800000">
          <a:off x="11430000" y="12740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69</xdr:row>
      <xdr:rowOff>0</xdr:rowOff>
    </xdr:from>
    <xdr:to>
      <xdr:col>28</xdr:col>
      <xdr:colOff>83820</xdr:colOff>
      <xdr:row>69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2DF279E2-6664-4F6C-91C9-94AC05593C1D}"/>
            </a:ext>
          </a:extLst>
        </xdr:cNvPr>
        <xdr:cNvSpPr/>
      </xdr:nvSpPr>
      <xdr:spPr>
        <a:xfrm rot="10800000">
          <a:off x="11430000" y="1293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70</xdr:row>
      <xdr:rowOff>0</xdr:rowOff>
    </xdr:from>
    <xdr:to>
      <xdr:col>28</xdr:col>
      <xdr:colOff>83820</xdr:colOff>
      <xdr:row>70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39282826-DC55-4589-9D00-E93B4D8A6857}"/>
            </a:ext>
          </a:extLst>
        </xdr:cNvPr>
        <xdr:cNvSpPr/>
      </xdr:nvSpPr>
      <xdr:spPr>
        <a:xfrm rot="10800000">
          <a:off x="11430000" y="1311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71</xdr:row>
      <xdr:rowOff>0</xdr:rowOff>
    </xdr:from>
    <xdr:to>
      <xdr:col>28</xdr:col>
      <xdr:colOff>83820</xdr:colOff>
      <xdr:row>71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0CDBB2C4-0FE4-4127-9C0F-836B7CBAC3CA}"/>
            </a:ext>
          </a:extLst>
        </xdr:cNvPr>
        <xdr:cNvSpPr/>
      </xdr:nvSpPr>
      <xdr:spPr>
        <a:xfrm rot="10800000">
          <a:off x="11430000" y="1329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72</xdr:row>
      <xdr:rowOff>0</xdr:rowOff>
    </xdr:from>
    <xdr:to>
      <xdr:col>28</xdr:col>
      <xdr:colOff>83820</xdr:colOff>
      <xdr:row>72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174D2146-EC83-47B0-A60B-AB23B97F5CA5}"/>
            </a:ext>
          </a:extLst>
        </xdr:cNvPr>
        <xdr:cNvSpPr/>
      </xdr:nvSpPr>
      <xdr:spPr>
        <a:xfrm rot="10800000">
          <a:off x="11430000" y="13487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73</xdr:row>
      <xdr:rowOff>0</xdr:rowOff>
    </xdr:from>
    <xdr:to>
      <xdr:col>28</xdr:col>
      <xdr:colOff>83820</xdr:colOff>
      <xdr:row>73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FD41DD27-E053-4EBA-9E8F-D056CE8E4A81}"/>
            </a:ext>
          </a:extLst>
        </xdr:cNvPr>
        <xdr:cNvSpPr/>
      </xdr:nvSpPr>
      <xdr:spPr>
        <a:xfrm rot="10800000">
          <a:off x="11430000" y="13677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74</xdr:row>
      <xdr:rowOff>0</xdr:rowOff>
    </xdr:from>
    <xdr:to>
      <xdr:col>28</xdr:col>
      <xdr:colOff>83820</xdr:colOff>
      <xdr:row>74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743AF66E-3087-4C2E-9F9A-4655BF6A5963}"/>
            </a:ext>
          </a:extLst>
        </xdr:cNvPr>
        <xdr:cNvSpPr/>
      </xdr:nvSpPr>
      <xdr:spPr>
        <a:xfrm rot="10800000">
          <a:off x="11430000" y="1386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75</xdr:row>
      <xdr:rowOff>0</xdr:rowOff>
    </xdr:from>
    <xdr:to>
      <xdr:col>28</xdr:col>
      <xdr:colOff>83820</xdr:colOff>
      <xdr:row>75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14EE3FE2-D562-4FED-A2D9-F17D5B5FA654}"/>
            </a:ext>
          </a:extLst>
        </xdr:cNvPr>
        <xdr:cNvSpPr/>
      </xdr:nvSpPr>
      <xdr:spPr>
        <a:xfrm rot="10800000">
          <a:off x="11430000" y="1405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76</xdr:row>
      <xdr:rowOff>0</xdr:rowOff>
    </xdr:from>
    <xdr:to>
      <xdr:col>28</xdr:col>
      <xdr:colOff>83820</xdr:colOff>
      <xdr:row>76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4D1EBFC9-F0E7-457F-AA63-6DAFEA11683F}"/>
            </a:ext>
          </a:extLst>
        </xdr:cNvPr>
        <xdr:cNvSpPr/>
      </xdr:nvSpPr>
      <xdr:spPr>
        <a:xfrm rot="10800000">
          <a:off x="11430000" y="1423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77</xdr:row>
      <xdr:rowOff>0</xdr:rowOff>
    </xdr:from>
    <xdr:to>
      <xdr:col>28</xdr:col>
      <xdr:colOff>83820</xdr:colOff>
      <xdr:row>77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F1B56A0D-E5C3-47FB-9CA0-5659AF8C6B83}"/>
            </a:ext>
          </a:extLst>
        </xdr:cNvPr>
        <xdr:cNvSpPr/>
      </xdr:nvSpPr>
      <xdr:spPr>
        <a:xfrm rot="10800000">
          <a:off x="11430000" y="1441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78</xdr:row>
      <xdr:rowOff>0</xdr:rowOff>
    </xdr:from>
    <xdr:to>
      <xdr:col>28</xdr:col>
      <xdr:colOff>83820</xdr:colOff>
      <xdr:row>78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3FD6C278-EB4E-4685-883E-82DF66A75EA4}"/>
            </a:ext>
          </a:extLst>
        </xdr:cNvPr>
        <xdr:cNvSpPr/>
      </xdr:nvSpPr>
      <xdr:spPr>
        <a:xfrm rot="10800000">
          <a:off x="11430000" y="1459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79</xdr:row>
      <xdr:rowOff>0</xdr:rowOff>
    </xdr:from>
    <xdr:to>
      <xdr:col>28</xdr:col>
      <xdr:colOff>83820</xdr:colOff>
      <xdr:row>79</xdr:row>
      <xdr:rowOff>114300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6943DD06-8287-44FF-802B-B4819DA278E0}"/>
            </a:ext>
          </a:extLst>
        </xdr:cNvPr>
        <xdr:cNvSpPr/>
      </xdr:nvSpPr>
      <xdr:spPr>
        <a:xfrm rot="10800000">
          <a:off x="11612880" y="1478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80</xdr:row>
      <xdr:rowOff>0</xdr:rowOff>
    </xdr:from>
    <xdr:to>
      <xdr:col>28</xdr:col>
      <xdr:colOff>83820</xdr:colOff>
      <xdr:row>80</xdr:row>
      <xdr:rowOff>114300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33253388-9ADF-49C6-8437-FE7758963339}"/>
            </a:ext>
          </a:extLst>
        </xdr:cNvPr>
        <xdr:cNvSpPr/>
      </xdr:nvSpPr>
      <xdr:spPr>
        <a:xfrm rot="10800000">
          <a:off x="11612880" y="1496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81</xdr:row>
      <xdr:rowOff>0</xdr:rowOff>
    </xdr:from>
    <xdr:to>
      <xdr:col>28</xdr:col>
      <xdr:colOff>83820</xdr:colOff>
      <xdr:row>81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FE111041-65D6-49E3-BB5F-C5EC9246C73C}"/>
            </a:ext>
          </a:extLst>
        </xdr:cNvPr>
        <xdr:cNvSpPr/>
      </xdr:nvSpPr>
      <xdr:spPr>
        <a:xfrm rot="10800000">
          <a:off x="11612880" y="1514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82</xdr:row>
      <xdr:rowOff>0</xdr:rowOff>
    </xdr:from>
    <xdr:to>
      <xdr:col>28</xdr:col>
      <xdr:colOff>83820</xdr:colOff>
      <xdr:row>82</xdr:row>
      <xdr:rowOff>114300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07C901A3-A957-4AB9-AF7D-E83C4A262861}"/>
            </a:ext>
          </a:extLst>
        </xdr:cNvPr>
        <xdr:cNvSpPr/>
      </xdr:nvSpPr>
      <xdr:spPr>
        <a:xfrm rot="10800000">
          <a:off x="11612880" y="15339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83</xdr:row>
      <xdr:rowOff>0</xdr:rowOff>
    </xdr:from>
    <xdr:to>
      <xdr:col>28</xdr:col>
      <xdr:colOff>83820</xdr:colOff>
      <xdr:row>83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C29D740F-96A2-4B7F-9864-186F40C24CAD}"/>
            </a:ext>
          </a:extLst>
        </xdr:cNvPr>
        <xdr:cNvSpPr/>
      </xdr:nvSpPr>
      <xdr:spPr>
        <a:xfrm rot="10800000">
          <a:off x="11612880" y="15537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84</xdr:row>
      <xdr:rowOff>0</xdr:rowOff>
    </xdr:from>
    <xdr:to>
      <xdr:col>28</xdr:col>
      <xdr:colOff>83820</xdr:colOff>
      <xdr:row>84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A59AB5D6-B694-49B7-A53D-3E333701720A}"/>
            </a:ext>
          </a:extLst>
        </xdr:cNvPr>
        <xdr:cNvSpPr/>
      </xdr:nvSpPr>
      <xdr:spPr>
        <a:xfrm rot="10800000">
          <a:off x="11612880" y="15735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85</xdr:row>
      <xdr:rowOff>0</xdr:rowOff>
    </xdr:from>
    <xdr:to>
      <xdr:col>28</xdr:col>
      <xdr:colOff>83820</xdr:colOff>
      <xdr:row>85</xdr:row>
      <xdr:rowOff>114300</xdr:rowOff>
    </xdr:to>
    <xdr:sp macro="" textlink="">
      <xdr:nvSpPr>
        <xdr:cNvPr id="98" name="Arrow: Down 97">
          <a:extLst>
            <a:ext uri="{FF2B5EF4-FFF2-40B4-BE49-F238E27FC236}">
              <a16:creationId xmlns:a16="http://schemas.microsoft.com/office/drawing/2014/main" id="{3247D568-6607-4EB0-90B0-426766102067}"/>
            </a:ext>
          </a:extLst>
        </xdr:cNvPr>
        <xdr:cNvSpPr/>
      </xdr:nvSpPr>
      <xdr:spPr>
        <a:xfrm rot="10800000">
          <a:off x="11612880" y="15918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86</xdr:row>
      <xdr:rowOff>0</xdr:rowOff>
    </xdr:from>
    <xdr:to>
      <xdr:col>28</xdr:col>
      <xdr:colOff>83820</xdr:colOff>
      <xdr:row>86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640D2FC6-A766-4A4E-A7EF-DEE4CF19647D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87</xdr:row>
      <xdr:rowOff>0</xdr:rowOff>
    </xdr:from>
    <xdr:to>
      <xdr:col>28</xdr:col>
      <xdr:colOff>83820</xdr:colOff>
      <xdr:row>87</xdr:row>
      <xdr:rowOff>114300</xdr:rowOff>
    </xdr:to>
    <xdr:sp macro="" textlink="">
      <xdr:nvSpPr>
        <xdr:cNvPr id="96" name="Arrow: Down 95">
          <a:extLst>
            <a:ext uri="{FF2B5EF4-FFF2-40B4-BE49-F238E27FC236}">
              <a16:creationId xmlns:a16="http://schemas.microsoft.com/office/drawing/2014/main" id="{BA0A0827-6DE6-4E3E-B382-3045EFFABB32}"/>
            </a:ext>
          </a:extLst>
        </xdr:cNvPr>
        <xdr:cNvSpPr/>
      </xdr:nvSpPr>
      <xdr:spPr>
        <a:xfrm>
          <a:off x="11612880" y="16283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88</xdr:row>
      <xdr:rowOff>0</xdr:rowOff>
    </xdr:from>
    <xdr:to>
      <xdr:col>28</xdr:col>
      <xdr:colOff>83820</xdr:colOff>
      <xdr:row>88</xdr:row>
      <xdr:rowOff>114300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544421F5-0F30-43A3-8B82-7AF3B0567B48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89</xdr:row>
      <xdr:rowOff>0</xdr:rowOff>
    </xdr:from>
    <xdr:to>
      <xdr:col>28</xdr:col>
      <xdr:colOff>83820</xdr:colOff>
      <xdr:row>89</xdr:row>
      <xdr:rowOff>114300</xdr:rowOff>
    </xdr:to>
    <xdr:sp macro="" textlink="">
      <xdr:nvSpPr>
        <xdr:cNvPr id="99" name="Arrow: Down 98">
          <a:extLst>
            <a:ext uri="{FF2B5EF4-FFF2-40B4-BE49-F238E27FC236}">
              <a16:creationId xmlns:a16="http://schemas.microsoft.com/office/drawing/2014/main" id="{12CEA806-8C89-4DB7-8EC7-E4924D43B6FB}"/>
            </a:ext>
          </a:extLst>
        </xdr:cNvPr>
        <xdr:cNvSpPr/>
      </xdr:nvSpPr>
      <xdr:spPr>
        <a:xfrm rot="10800000">
          <a:off x="11612880" y="16649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90</xdr:row>
      <xdr:rowOff>0</xdr:rowOff>
    </xdr:from>
    <xdr:to>
      <xdr:col>28</xdr:col>
      <xdr:colOff>83820</xdr:colOff>
      <xdr:row>90</xdr:row>
      <xdr:rowOff>114300</xdr:rowOff>
    </xdr:to>
    <xdr:sp macro="" textlink="">
      <xdr:nvSpPr>
        <xdr:cNvPr id="100" name="Arrow: Down 99">
          <a:extLst>
            <a:ext uri="{FF2B5EF4-FFF2-40B4-BE49-F238E27FC236}">
              <a16:creationId xmlns:a16="http://schemas.microsoft.com/office/drawing/2014/main" id="{AF40614E-6EFC-4C96-96E4-31D8502791C9}"/>
            </a:ext>
          </a:extLst>
        </xdr:cNvPr>
        <xdr:cNvSpPr/>
      </xdr:nvSpPr>
      <xdr:spPr>
        <a:xfrm rot="10800000">
          <a:off x="11612880" y="16832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91</xdr:row>
      <xdr:rowOff>0</xdr:rowOff>
    </xdr:from>
    <xdr:to>
      <xdr:col>28</xdr:col>
      <xdr:colOff>83820</xdr:colOff>
      <xdr:row>91</xdr:row>
      <xdr:rowOff>114300</xdr:rowOff>
    </xdr:to>
    <xdr:sp macro="" textlink="">
      <xdr:nvSpPr>
        <xdr:cNvPr id="104" name="Arrow: Down 103">
          <a:extLst>
            <a:ext uri="{FF2B5EF4-FFF2-40B4-BE49-F238E27FC236}">
              <a16:creationId xmlns:a16="http://schemas.microsoft.com/office/drawing/2014/main" id="{D331026C-DF8F-4967-ADC1-FF548A66FCF6}"/>
            </a:ext>
          </a:extLst>
        </xdr:cNvPr>
        <xdr:cNvSpPr/>
      </xdr:nvSpPr>
      <xdr:spPr>
        <a:xfrm rot="10800000">
          <a:off x="116128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92</xdr:row>
      <xdr:rowOff>0</xdr:rowOff>
    </xdr:from>
    <xdr:to>
      <xdr:col>28</xdr:col>
      <xdr:colOff>83820</xdr:colOff>
      <xdr:row>92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7B966DE7-D619-4358-89D3-F17782EEB327}"/>
            </a:ext>
          </a:extLst>
        </xdr:cNvPr>
        <xdr:cNvSpPr/>
      </xdr:nvSpPr>
      <xdr:spPr>
        <a:xfrm>
          <a:off x="11612880" y="17388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93</xdr:row>
      <xdr:rowOff>0</xdr:rowOff>
    </xdr:from>
    <xdr:to>
      <xdr:col>28</xdr:col>
      <xdr:colOff>83820</xdr:colOff>
      <xdr:row>93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47EECA7C-C20F-4BA7-83BE-633A52919536}"/>
            </a:ext>
          </a:extLst>
        </xdr:cNvPr>
        <xdr:cNvSpPr/>
      </xdr:nvSpPr>
      <xdr:spPr>
        <a:xfrm>
          <a:off x="11612880" y="17381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94</xdr:row>
      <xdr:rowOff>0</xdr:rowOff>
    </xdr:from>
    <xdr:to>
      <xdr:col>28</xdr:col>
      <xdr:colOff>83820</xdr:colOff>
      <xdr:row>94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EF07D103-A5A8-4642-ABD3-CC78B307FA0A}"/>
            </a:ext>
          </a:extLst>
        </xdr:cNvPr>
        <xdr:cNvSpPr/>
      </xdr:nvSpPr>
      <xdr:spPr>
        <a:xfrm>
          <a:off x="11612880" y="17746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95</xdr:row>
      <xdr:rowOff>0</xdr:rowOff>
    </xdr:from>
    <xdr:to>
      <xdr:col>28</xdr:col>
      <xdr:colOff>83820</xdr:colOff>
      <xdr:row>95</xdr:row>
      <xdr:rowOff>114300</xdr:rowOff>
    </xdr:to>
    <xdr:sp macro="" textlink="">
      <xdr:nvSpPr>
        <xdr:cNvPr id="106" name="Arrow: Down 105">
          <a:extLst>
            <a:ext uri="{FF2B5EF4-FFF2-40B4-BE49-F238E27FC236}">
              <a16:creationId xmlns:a16="http://schemas.microsoft.com/office/drawing/2014/main" id="{252B8931-8A02-4BD8-8FEA-9A7E8039C915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96</xdr:row>
      <xdr:rowOff>0</xdr:rowOff>
    </xdr:from>
    <xdr:to>
      <xdr:col>28</xdr:col>
      <xdr:colOff>83820</xdr:colOff>
      <xdr:row>96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80843F92-C6E3-4872-85D6-01F129A8B45F}"/>
            </a:ext>
          </a:extLst>
        </xdr:cNvPr>
        <xdr:cNvSpPr/>
      </xdr:nvSpPr>
      <xdr:spPr>
        <a:xfrm rot="10800000">
          <a:off x="11612880" y="17929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97</xdr:row>
      <xdr:rowOff>0</xdr:rowOff>
    </xdr:from>
    <xdr:to>
      <xdr:col>28</xdr:col>
      <xdr:colOff>83820</xdr:colOff>
      <xdr:row>97</xdr:row>
      <xdr:rowOff>114300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B203A764-4AC8-43FE-86C3-0BBCD1F3CB79}"/>
            </a:ext>
          </a:extLst>
        </xdr:cNvPr>
        <xdr:cNvSpPr/>
      </xdr:nvSpPr>
      <xdr:spPr>
        <a:xfrm rot="10800000">
          <a:off x="11612880" y="18112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98</xdr:row>
      <xdr:rowOff>0</xdr:rowOff>
    </xdr:from>
    <xdr:to>
      <xdr:col>28</xdr:col>
      <xdr:colOff>83820</xdr:colOff>
      <xdr:row>98</xdr:row>
      <xdr:rowOff>114300</xdr:rowOff>
    </xdr:to>
    <xdr:sp macro="" textlink="">
      <xdr:nvSpPr>
        <xdr:cNvPr id="112" name="Arrow: Down 111">
          <a:extLst>
            <a:ext uri="{FF2B5EF4-FFF2-40B4-BE49-F238E27FC236}">
              <a16:creationId xmlns:a16="http://schemas.microsoft.com/office/drawing/2014/main" id="{305A3BE3-82E9-4896-AA2B-F7059E12D31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99</xdr:row>
      <xdr:rowOff>0</xdr:rowOff>
    </xdr:from>
    <xdr:to>
      <xdr:col>28</xdr:col>
      <xdr:colOff>83820</xdr:colOff>
      <xdr:row>99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28B87D41-8C52-45E0-86DD-48F54F219C77}"/>
            </a:ext>
          </a:extLst>
        </xdr:cNvPr>
        <xdr:cNvSpPr/>
      </xdr:nvSpPr>
      <xdr:spPr>
        <a:xfrm>
          <a:off x="11612880" y="1847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100</xdr:row>
      <xdr:rowOff>0</xdr:rowOff>
    </xdr:from>
    <xdr:to>
      <xdr:col>28</xdr:col>
      <xdr:colOff>83820</xdr:colOff>
      <xdr:row>100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E2BDB706-C169-40FC-92C9-D94EC45B51F9}"/>
            </a:ext>
          </a:extLst>
        </xdr:cNvPr>
        <xdr:cNvSpPr/>
      </xdr:nvSpPr>
      <xdr:spPr>
        <a:xfrm>
          <a:off x="11612880" y="18661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101</xdr:row>
      <xdr:rowOff>0</xdr:rowOff>
    </xdr:from>
    <xdr:to>
      <xdr:col>28</xdr:col>
      <xdr:colOff>83820</xdr:colOff>
      <xdr:row>101</xdr:row>
      <xdr:rowOff>114300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B5D23E5D-058C-46AF-935D-A9B47370B6F8}"/>
            </a:ext>
          </a:extLst>
        </xdr:cNvPr>
        <xdr:cNvSpPr/>
      </xdr:nvSpPr>
      <xdr:spPr>
        <a:xfrm>
          <a:off x="11612880" y="18844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102</xdr:row>
      <xdr:rowOff>0</xdr:rowOff>
    </xdr:from>
    <xdr:to>
      <xdr:col>28</xdr:col>
      <xdr:colOff>83820</xdr:colOff>
      <xdr:row>102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64E031A-D09E-449F-A73D-B0B234C5757E}"/>
            </a:ext>
          </a:extLst>
        </xdr:cNvPr>
        <xdr:cNvSpPr/>
      </xdr:nvSpPr>
      <xdr:spPr>
        <a:xfrm>
          <a:off x="11803380" y="19027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103</xdr:row>
      <xdr:rowOff>0</xdr:rowOff>
    </xdr:from>
    <xdr:to>
      <xdr:col>28</xdr:col>
      <xdr:colOff>83820</xdr:colOff>
      <xdr:row>103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C418EDFA-18FA-49C5-B326-3ED9858D7B8E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104</xdr:row>
      <xdr:rowOff>0</xdr:rowOff>
    </xdr:from>
    <xdr:to>
      <xdr:col>28</xdr:col>
      <xdr:colOff>83820</xdr:colOff>
      <xdr:row>104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04F05858-D19D-4933-BC4B-8323FAF2A278}"/>
            </a:ext>
          </a:extLst>
        </xdr:cNvPr>
        <xdr:cNvSpPr/>
      </xdr:nvSpPr>
      <xdr:spPr>
        <a:xfrm>
          <a:off x="11803380" y="19392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105</xdr:row>
      <xdr:rowOff>0</xdr:rowOff>
    </xdr:from>
    <xdr:to>
      <xdr:col>28</xdr:col>
      <xdr:colOff>83820</xdr:colOff>
      <xdr:row>105</xdr:row>
      <xdr:rowOff>114300</xdr:rowOff>
    </xdr:to>
    <xdr:sp macro="" textlink="">
      <xdr:nvSpPr>
        <xdr:cNvPr id="111" name="Arrow: Down 110">
          <a:extLst>
            <a:ext uri="{FF2B5EF4-FFF2-40B4-BE49-F238E27FC236}">
              <a16:creationId xmlns:a16="http://schemas.microsoft.com/office/drawing/2014/main" id="{9B117132-D902-434D-AD6A-8CA56B4EEF36}"/>
            </a:ext>
          </a:extLst>
        </xdr:cNvPr>
        <xdr:cNvSpPr/>
      </xdr:nvSpPr>
      <xdr:spPr>
        <a:xfrm>
          <a:off x="11803380" y="19575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106</xdr:row>
      <xdr:rowOff>0</xdr:rowOff>
    </xdr:from>
    <xdr:to>
      <xdr:col>28</xdr:col>
      <xdr:colOff>83820</xdr:colOff>
      <xdr:row>106</xdr:row>
      <xdr:rowOff>114300</xdr:rowOff>
    </xdr:to>
    <xdr:sp macro="" textlink="">
      <xdr:nvSpPr>
        <xdr:cNvPr id="116" name="Arrow: Down 115">
          <a:extLst>
            <a:ext uri="{FF2B5EF4-FFF2-40B4-BE49-F238E27FC236}">
              <a16:creationId xmlns:a16="http://schemas.microsoft.com/office/drawing/2014/main" id="{0B7B67E6-2B97-45F3-A298-67CEA040ABBC}"/>
            </a:ext>
          </a:extLst>
        </xdr:cNvPr>
        <xdr:cNvSpPr/>
      </xdr:nvSpPr>
      <xdr:spPr>
        <a:xfrm>
          <a:off x="11803380" y="19758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107</xdr:row>
      <xdr:rowOff>0</xdr:rowOff>
    </xdr:from>
    <xdr:to>
      <xdr:col>28</xdr:col>
      <xdr:colOff>83820</xdr:colOff>
      <xdr:row>107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603C2505-9E1B-42B6-BD77-4584261B6FF4}"/>
            </a:ext>
          </a:extLst>
        </xdr:cNvPr>
        <xdr:cNvSpPr/>
      </xdr:nvSpPr>
      <xdr:spPr>
        <a:xfrm>
          <a:off x="11803380" y="19941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108</xdr:row>
      <xdr:rowOff>0</xdr:rowOff>
    </xdr:from>
    <xdr:to>
      <xdr:col>28</xdr:col>
      <xdr:colOff>83820</xdr:colOff>
      <xdr:row>108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AA181258-B002-48E9-9826-C3B027497B9B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109</xdr:row>
      <xdr:rowOff>0</xdr:rowOff>
    </xdr:from>
    <xdr:to>
      <xdr:col>28</xdr:col>
      <xdr:colOff>83820</xdr:colOff>
      <xdr:row>109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D3B696C3-35C6-4C00-A30F-A2F366FCA77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110</xdr:row>
      <xdr:rowOff>0</xdr:rowOff>
    </xdr:from>
    <xdr:to>
      <xdr:col>28</xdr:col>
      <xdr:colOff>83820</xdr:colOff>
      <xdr:row>110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9F7C1D66-D8B3-4802-8212-69DBF79C159F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111</xdr:row>
      <xdr:rowOff>0</xdr:rowOff>
    </xdr:from>
    <xdr:to>
      <xdr:col>28</xdr:col>
      <xdr:colOff>83820</xdr:colOff>
      <xdr:row>111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E91D113C-8087-4306-A44E-860AF9B9D0F3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112</xdr:row>
      <xdr:rowOff>0</xdr:rowOff>
    </xdr:from>
    <xdr:to>
      <xdr:col>28</xdr:col>
      <xdr:colOff>83820</xdr:colOff>
      <xdr:row>112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EC2C4429-A4B8-462C-9502-E7A63530B69F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113</xdr:row>
      <xdr:rowOff>0</xdr:rowOff>
    </xdr:from>
    <xdr:to>
      <xdr:col>28</xdr:col>
      <xdr:colOff>83820</xdr:colOff>
      <xdr:row>113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2B564377-EA76-41D7-8675-BBCD221DD470}"/>
            </a:ext>
          </a:extLst>
        </xdr:cNvPr>
        <xdr:cNvSpPr/>
      </xdr:nvSpPr>
      <xdr:spPr>
        <a:xfrm>
          <a:off x="11803380" y="2103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114</xdr:row>
      <xdr:rowOff>0</xdr:rowOff>
    </xdr:from>
    <xdr:to>
      <xdr:col>28</xdr:col>
      <xdr:colOff>83820</xdr:colOff>
      <xdr:row>114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91722AF9-9694-4DB4-9820-705A5B6D81E3}"/>
            </a:ext>
          </a:extLst>
        </xdr:cNvPr>
        <xdr:cNvSpPr/>
      </xdr:nvSpPr>
      <xdr:spPr>
        <a:xfrm>
          <a:off x="11803380" y="2122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115</xdr:row>
      <xdr:rowOff>0</xdr:rowOff>
    </xdr:from>
    <xdr:to>
      <xdr:col>28</xdr:col>
      <xdr:colOff>83820</xdr:colOff>
      <xdr:row>115</xdr:row>
      <xdr:rowOff>114300</xdr:rowOff>
    </xdr:to>
    <xdr:sp macro="" textlink="">
      <xdr:nvSpPr>
        <xdr:cNvPr id="118" name="Arrow: Down 117">
          <a:extLst>
            <a:ext uri="{FF2B5EF4-FFF2-40B4-BE49-F238E27FC236}">
              <a16:creationId xmlns:a16="http://schemas.microsoft.com/office/drawing/2014/main" id="{DA3171A7-6925-49E6-8D8A-61978AC12C61}"/>
            </a:ext>
          </a:extLst>
        </xdr:cNvPr>
        <xdr:cNvSpPr/>
      </xdr:nvSpPr>
      <xdr:spPr>
        <a:xfrm>
          <a:off x="11803380" y="2140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116</xdr:row>
      <xdr:rowOff>0</xdr:rowOff>
    </xdr:from>
    <xdr:to>
      <xdr:col>28</xdr:col>
      <xdr:colOff>83820</xdr:colOff>
      <xdr:row>116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B06208D8-D6C3-46D6-B267-1A1605A9F832}"/>
            </a:ext>
          </a:extLst>
        </xdr:cNvPr>
        <xdr:cNvSpPr/>
      </xdr:nvSpPr>
      <xdr:spPr>
        <a:xfrm>
          <a:off x="11803380" y="2158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117</xdr:row>
      <xdr:rowOff>0</xdr:rowOff>
    </xdr:from>
    <xdr:to>
      <xdr:col>28</xdr:col>
      <xdr:colOff>83820</xdr:colOff>
      <xdr:row>117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2240E10C-602A-47BA-8958-33E2286299EB}"/>
            </a:ext>
          </a:extLst>
        </xdr:cNvPr>
        <xdr:cNvSpPr/>
      </xdr:nvSpPr>
      <xdr:spPr>
        <a:xfrm>
          <a:off x="11803380" y="2177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118</xdr:row>
      <xdr:rowOff>0</xdr:rowOff>
    </xdr:from>
    <xdr:to>
      <xdr:col>28</xdr:col>
      <xdr:colOff>83820</xdr:colOff>
      <xdr:row>118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AC2CB8EE-0E6C-4E1F-9196-CEBE7E523599}"/>
            </a:ext>
          </a:extLst>
        </xdr:cNvPr>
        <xdr:cNvSpPr/>
      </xdr:nvSpPr>
      <xdr:spPr>
        <a:xfrm>
          <a:off x="11803380" y="2195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119</xdr:row>
      <xdr:rowOff>0</xdr:rowOff>
    </xdr:from>
    <xdr:to>
      <xdr:col>28</xdr:col>
      <xdr:colOff>83820</xdr:colOff>
      <xdr:row>119</xdr:row>
      <xdr:rowOff>114300</xdr:rowOff>
    </xdr:to>
    <xdr:sp macro="" textlink="">
      <xdr:nvSpPr>
        <xdr:cNvPr id="131" name="Arrow: Down 130">
          <a:extLst>
            <a:ext uri="{FF2B5EF4-FFF2-40B4-BE49-F238E27FC236}">
              <a16:creationId xmlns:a16="http://schemas.microsoft.com/office/drawing/2014/main" id="{916EAC12-5C83-47F0-B655-11818865048F}"/>
            </a:ext>
          </a:extLst>
        </xdr:cNvPr>
        <xdr:cNvSpPr/>
      </xdr:nvSpPr>
      <xdr:spPr>
        <a:xfrm>
          <a:off x="11803380" y="2213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120</xdr:row>
      <xdr:rowOff>0</xdr:rowOff>
    </xdr:from>
    <xdr:to>
      <xdr:col>28</xdr:col>
      <xdr:colOff>83820</xdr:colOff>
      <xdr:row>120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7C9A79A0-F98F-43C9-A1B1-F34376F8A37F}"/>
            </a:ext>
          </a:extLst>
        </xdr:cNvPr>
        <xdr:cNvSpPr/>
      </xdr:nvSpPr>
      <xdr:spPr>
        <a:xfrm>
          <a:off x="11803380" y="2231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121</xdr:row>
      <xdr:rowOff>0</xdr:rowOff>
    </xdr:from>
    <xdr:to>
      <xdr:col>28</xdr:col>
      <xdr:colOff>83820</xdr:colOff>
      <xdr:row>121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5033E43C-54EE-4D43-B6BC-B82E4694E84C}"/>
            </a:ext>
          </a:extLst>
        </xdr:cNvPr>
        <xdr:cNvSpPr/>
      </xdr:nvSpPr>
      <xdr:spPr>
        <a:xfrm>
          <a:off x="11803380" y="2250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122</xdr:row>
      <xdr:rowOff>0</xdr:rowOff>
    </xdr:from>
    <xdr:to>
      <xdr:col>28</xdr:col>
      <xdr:colOff>83820</xdr:colOff>
      <xdr:row>122</xdr:row>
      <xdr:rowOff>114300</xdr:rowOff>
    </xdr:to>
    <xdr:sp macro="" textlink="">
      <xdr:nvSpPr>
        <xdr:cNvPr id="135" name="Arrow: Down 134">
          <a:extLst>
            <a:ext uri="{FF2B5EF4-FFF2-40B4-BE49-F238E27FC236}">
              <a16:creationId xmlns:a16="http://schemas.microsoft.com/office/drawing/2014/main" id="{6706F9A5-3821-4954-B517-AD3AC8036C90}"/>
            </a:ext>
          </a:extLst>
        </xdr:cNvPr>
        <xdr:cNvSpPr/>
      </xdr:nvSpPr>
      <xdr:spPr>
        <a:xfrm>
          <a:off x="11803380" y="2268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123</xdr:row>
      <xdr:rowOff>0</xdr:rowOff>
    </xdr:from>
    <xdr:to>
      <xdr:col>28</xdr:col>
      <xdr:colOff>83820</xdr:colOff>
      <xdr:row>123</xdr:row>
      <xdr:rowOff>114300</xdr:rowOff>
    </xdr:to>
    <xdr:sp macro="" textlink="">
      <xdr:nvSpPr>
        <xdr:cNvPr id="138" name="Arrow: Down 137">
          <a:extLst>
            <a:ext uri="{FF2B5EF4-FFF2-40B4-BE49-F238E27FC236}">
              <a16:creationId xmlns:a16="http://schemas.microsoft.com/office/drawing/2014/main" id="{DBF2BEAC-72F5-40AB-BF25-842BE363E2B1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124</xdr:row>
      <xdr:rowOff>0</xdr:rowOff>
    </xdr:from>
    <xdr:to>
      <xdr:col>28</xdr:col>
      <xdr:colOff>83820</xdr:colOff>
      <xdr:row>124</xdr:row>
      <xdr:rowOff>114300</xdr:rowOff>
    </xdr:to>
    <xdr:sp macro="" textlink="">
      <xdr:nvSpPr>
        <xdr:cNvPr id="139" name="Arrow: Down 138">
          <a:extLst>
            <a:ext uri="{FF2B5EF4-FFF2-40B4-BE49-F238E27FC236}">
              <a16:creationId xmlns:a16="http://schemas.microsoft.com/office/drawing/2014/main" id="{9DD0C338-5FA4-45F1-A2D5-A5189D51B6ED}"/>
            </a:ext>
          </a:extLst>
        </xdr:cNvPr>
        <xdr:cNvSpPr/>
      </xdr:nvSpPr>
      <xdr:spPr>
        <a:xfrm rot="10800000">
          <a:off x="11803380" y="23050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125</xdr:row>
      <xdr:rowOff>0</xdr:rowOff>
    </xdr:from>
    <xdr:to>
      <xdr:col>28</xdr:col>
      <xdr:colOff>83820</xdr:colOff>
      <xdr:row>125</xdr:row>
      <xdr:rowOff>114300</xdr:rowOff>
    </xdr:to>
    <xdr:sp macro="" textlink="">
      <xdr:nvSpPr>
        <xdr:cNvPr id="140" name="Arrow: Down 139">
          <a:extLst>
            <a:ext uri="{FF2B5EF4-FFF2-40B4-BE49-F238E27FC236}">
              <a16:creationId xmlns:a16="http://schemas.microsoft.com/office/drawing/2014/main" id="{D4473209-040F-4E0E-B7A1-A8DA3774350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126</xdr:row>
      <xdr:rowOff>0</xdr:rowOff>
    </xdr:from>
    <xdr:to>
      <xdr:col>28</xdr:col>
      <xdr:colOff>83820</xdr:colOff>
      <xdr:row>126</xdr:row>
      <xdr:rowOff>114300</xdr:rowOff>
    </xdr:to>
    <xdr:sp macro="" textlink="">
      <xdr:nvSpPr>
        <xdr:cNvPr id="142" name="Arrow: Down 141">
          <a:extLst>
            <a:ext uri="{FF2B5EF4-FFF2-40B4-BE49-F238E27FC236}">
              <a16:creationId xmlns:a16="http://schemas.microsoft.com/office/drawing/2014/main" id="{7D3F94A4-93F5-4B01-957A-11400BC1A5C7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127</xdr:row>
      <xdr:rowOff>0</xdr:rowOff>
    </xdr:from>
    <xdr:to>
      <xdr:col>28</xdr:col>
      <xdr:colOff>83820</xdr:colOff>
      <xdr:row>127</xdr:row>
      <xdr:rowOff>114300</xdr:rowOff>
    </xdr:to>
    <xdr:sp macro="" textlink="">
      <xdr:nvSpPr>
        <xdr:cNvPr id="144" name="Arrow: Down 143">
          <a:extLst>
            <a:ext uri="{FF2B5EF4-FFF2-40B4-BE49-F238E27FC236}">
              <a16:creationId xmlns:a16="http://schemas.microsoft.com/office/drawing/2014/main" id="{3F7CF259-6E87-4ECA-A964-63BD5FCF1FF4}"/>
            </a:ext>
          </a:extLst>
        </xdr:cNvPr>
        <xdr:cNvSpPr/>
      </xdr:nvSpPr>
      <xdr:spPr>
        <a:xfrm>
          <a:off x="11803380" y="2359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128</xdr:row>
      <xdr:rowOff>0</xdr:rowOff>
    </xdr:from>
    <xdr:to>
      <xdr:col>28</xdr:col>
      <xdr:colOff>83820</xdr:colOff>
      <xdr:row>128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5774972C-47AC-4FFE-993E-29FF5AFFFE67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129</xdr:row>
      <xdr:rowOff>0</xdr:rowOff>
    </xdr:from>
    <xdr:to>
      <xdr:col>28</xdr:col>
      <xdr:colOff>83820</xdr:colOff>
      <xdr:row>129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064AD02-2972-43D7-B816-6CA71D96B061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130</xdr:row>
      <xdr:rowOff>0</xdr:rowOff>
    </xdr:from>
    <xdr:to>
      <xdr:col>28</xdr:col>
      <xdr:colOff>83820</xdr:colOff>
      <xdr:row>130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7E9CDF2B-7670-47B9-9DF7-9E0194788C99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131</xdr:row>
      <xdr:rowOff>0</xdr:rowOff>
    </xdr:from>
    <xdr:to>
      <xdr:col>28</xdr:col>
      <xdr:colOff>83820</xdr:colOff>
      <xdr:row>131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C4CE6E74-8B22-4753-ACF3-B3ED3308FCCA}"/>
            </a:ext>
          </a:extLst>
        </xdr:cNvPr>
        <xdr:cNvSpPr/>
      </xdr:nvSpPr>
      <xdr:spPr>
        <a:xfrm rot="10800000">
          <a:off x="11803380" y="2433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132</xdr:row>
      <xdr:rowOff>0</xdr:rowOff>
    </xdr:from>
    <xdr:to>
      <xdr:col>28</xdr:col>
      <xdr:colOff>83820</xdr:colOff>
      <xdr:row>132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CB4C492C-2D8B-4750-8119-F6F3A85E7128}"/>
            </a:ext>
          </a:extLst>
        </xdr:cNvPr>
        <xdr:cNvSpPr/>
      </xdr:nvSpPr>
      <xdr:spPr>
        <a:xfrm rot="10800000">
          <a:off x="11803380" y="2451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133</xdr:row>
      <xdr:rowOff>0</xdr:rowOff>
    </xdr:from>
    <xdr:to>
      <xdr:col>28</xdr:col>
      <xdr:colOff>83820</xdr:colOff>
      <xdr:row>133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3B259D3E-7326-4DEF-AD6F-E87E2F0481C2}"/>
            </a:ext>
          </a:extLst>
        </xdr:cNvPr>
        <xdr:cNvSpPr/>
      </xdr:nvSpPr>
      <xdr:spPr>
        <a:xfrm>
          <a:off x="11803380" y="2487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134</xdr:row>
      <xdr:rowOff>0</xdr:rowOff>
    </xdr:from>
    <xdr:to>
      <xdr:col>28</xdr:col>
      <xdr:colOff>83820</xdr:colOff>
      <xdr:row>134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3C265BFF-B76D-457E-96E6-909523530ED1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135</xdr:row>
      <xdr:rowOff>0</xdr:rowOff>
    </xdr:from>
    <xdr:to>
      <xdr:col>28</xdr:col>
      <xdr:colOff>83820</xdr:colOff>
      <xdr:row>135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FE7CAE4E-5F58-4409-858E-8483016F8413}"/>
            </a:ext>
          </a:extLst>
        </xdr:cNvPr>
        <xdr:cNvSpPr/>
      </xdr:nvSpPr>
      <xdr:spPr>
        <a:xfrm>
          <a:off x="11803380" y="2506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136</xdr:row>
      <xdr:rowOff>0</xdr:rowOff>
    </xdr:from>
    <xdr:to>
      <xdr:col>28</xdr:col>
      <xdr:colOff>83820</xdr:colOff>
      <xdr:row>136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10542596-BC0F-4B9F-BA2E-7E1EB4F1AAD0}"/>
            </a:ext>
          </a:extLst>
        </xdr:cNvPr>
        <xdr:cNvSpPr/>
      </xdr:nvSpPr>
      <xdr:spPr>
        <a:xfrm>
          <a:off x="11803380" y="2524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137</xdr:row>
      <xdr:rowOff>0</xdr:rowOff>
    </xdr:from>
    <xdr:to>
      <xdr:col>28</xdr:col>
      <xdr:colOff>83820</xdr:colOff>
      <xdr:row>137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3FA8B422-DBA6-4A73-A967-8BDD3D768C11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138</xdr:row>
      <xdr:rowOff>0</xdr:rowOff>
    </xdr:from>
    <xdr:to>
      <xdr:col>28</xdr:col>
      <xdr:colOff>83820</xdr:colOff>
      <xdr:row>138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6C677CB9-C52C-41F7-9229-C7D359EA21B8}"/>
            </a:ext>
          </a:extLst>
        </xdr:cNvPr>
        <xdr:cNvSpPr/>
      </xdr:nvSpPr>
      <xdr:spPr>
        <a:xfrm rot="10800000">
          <a:off x="11803380" y="2561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139</xdr:row>
      <xdr:rowOff>0</xdr:rowOff>
    </xdr:from>
    <xdr:to>
      <xdr:col>28</xdr:col>
      <xdr:colOff>83820</xdr:colOff>
      <xdr:row>139</xdr:row>
      <xdr:rowOff>114300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72B5136B-C772-4B57-81B8-9382E285E6F1}"/>
            </a:ext>
          </a:extLst>
        </xdr:cNvPr>
        <xdr:cNvSpPr/>
      </xdr:nvSpPr>
      <xdr:spPr>
        <a:xfrm rot="10800000">
          <a:off x="11803380" y="25793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140</xdr:row>
      <xdr:rowOff>0</xdr:rowOff>
    </xdr:from>
    <xdr:to>
      <xdr:col>28</xdr:col>
      <xdr:colOff>83820</xdr:colOff>
      <xdr:row>140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2DD54026-2385-4F42-A3C2-E7ED0422D41D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141</xdr:row>
      <xdr:rowOff>0</xdr:rowOff>
    </xdr:from>
    <xdr:to>
      <xdr:col>28</xdr:col>
      <xdr:colOff>83820</xdr:colOff>
      <xdr:row>141</xdr:row>
      <xdr:rowOff>114300</xdr:rowOff>
    </xdr:to>
    <xdr:sp macro="" textlink="">
      <xdr:nvSpPr>
        <xdr:cNvPr id="164" name="Arrow: Down 163">
          <a:extLst>
            <a:ext uri="{FF2B5EF4-FFF2-40B4-BE49-F238E27FC236}">
              <a16:creationId xmlns:a16="http://schemas.microsoft.com/office/drawing/2014/main" id="{69863C41-044F-42A2-912B-14A7ECF393BB}"/>
            </a:ext>
          </a:extLst>
        </xdr:cNvPr>
        <xdr:cNvSpPr/>
      </xdr:nvSpPr>
      <xdr:spPr>
        <a:xfrm>
          <a:off x="11803380" y="2615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142</xdr:row>
      <xdr:rowOff>0</xdr:rowOff>
    </xdr:from>
    <xdr:to>
      <xdr:col>28</xdr:col>
      <xdr:colOff>83820</xdr:colOff>
      <xdr:row>142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E69DD497-C7BE-4985-BC35-190FF0B6B088}"/>
            </a:ext>
          </a:extLst>
        </xdr:cNvPr>
        <xdr:cNvSpPr/>
      </xdr:nvSpPr>
      <xdr:spPr>
        <a:xfrm>
          <a:off x="11803380" y="2634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143</xdr:row>
      <xdr:rowOff>0</xdr:rowOff>
    </xdr:from>
    <xdr:to>
      <xdr:col>28</xdr:col>
      <xdr:colOff>83820</xdr:colOff>
      <xdr:row>143</xdr:row>
      <xdr:rowOff>114300</xdr:rowOff>
    </xdr:to>
    <xdr:sp macro="" textlink="">
      <xdr:nvSpPr>
        <xdr:cNvPr id="148" name="Arrow: Down 147">
          <a:extLst>
            <a:ext uri="{FF2B5EF4-FFF2-40B4-BE49-F238E27FC236}">
              <a16:creationId xmlns:a16="http://schemas.microsoft.com/office/drawing/2014/main" id="{D6E92128-ACA9-4B9D-9EDF-C1E0BB98D000}"/>
            </a:ext>
          </a:extLst>
        </xdr:cNvPr>
        <xdr:cNvSpPr/>
      </xdr:nvSpPr>
      <xdr:spPr>
        <a:xfrm>
          <a:off x="11803380" y="2652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144</xdr:row>
      <xdr:rowOff>0</xdr:rowOff>
    </xdr:from>
    <xdr:to>
      <xdr:col>28</xdr:col>
      <xdr:colOff>83820</xdr:colOff>
      <xdr:row>144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A21EC505-4945-43DE-9FA8-2A71FA0902E9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145</xdr:row>
      <xdr:rowOff>0</xdr:rowOff>
    </xdr:from>
    <xdr:to>
      <xdr:col>28</xdr:col>
      <xdr:colOff>83820</xdr:colOff>
      <xdr:row>145</xdr:row>
      <xdr:rowOff>114300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4081BC35-0A05-480C-85C5-6442B95BA9B6}"/>
            </a:ext>
          </a:extLst>
        </xdr:cNvPr>
        <xdr:cNvSpPr/>
      </xdr:nvSpPr>
      <xdr:spPr>
        <a:xfrm rot="10800000">
          <a:off x="11803380" y="26890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146</xdr:row>
      <xdr:rowOff>0</xdr:rowOff>
    </xdr:from>
    <xdr:to>
      <xdr:col>28</xdr:col>
      <xdr:colOff>83820</xdr:colOff>
      <xdr:row>146</xdr:row>
      <xdr:rowOff>114300</xdr:rowOff>
    </xdr:to>
    <xdr:sp macro="" textlink="">
      <xdr:nvSpPr>
        <xdr:cNvPr id="152" name="Arrow: Down 151">
          <a:extLst>
            <a:ext uri="{FF2B5EF4-FFF2-40B4-BE49-F238E27FC236}">
              <a16:creationId xmlns:a16="http://schemas.microsoft.com/office/drawing/2014/main" id="{06B824FC-3FB5-474A-B67F-4E9C02FA1A36}"/>
            </a:ext>
          </a:extLst>
        </xdr:cNvPr>
        <xdr:cNvSpPr/>
      </xdr:nvSpPr>
      <xdr:spPr>
        <a:xfrm rot="10800000">
          <a:off x="11803380" y="2707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147</xdr:row>
      <xdr:rowOff>0</xdr:rowOff>
    </xdr:from>
    <xdr:to>
      <xdr:col>28</xdr:col>
      <xdr:colOff>83820</xdr:colOff>
      <xdr:row>147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013276CD-9DFB-4432-9E8E-49A9F356FE86}"/>
            </a:ext>
          </a:extLst>
        </xdr:cNvPr>
        <xdr:cNvSpPr/>
      </xdr:nvSpPr>
      <xdr:spPr>
        <a:xfrm rot="10800000">
          <a:off x="11803380" y="27256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148</xdr:row>
      <xdr:rowOff>0</xdr:rowOff>
    </xdr:from>
    <xdr:to>
      <xdr:col>28</xdr:col>
      <xdr:colOff>83820</xdr:colOff>
      <xdr:row>148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E700CB2F-451E-4344-BF30-07762BDD6776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149</xdr:row>
      <xdr:rowOff>0</xdr:rowOff>
    </xdr:from>
    <xdr:to>
      <xdr:col>28</xdr:col>
      <xdr:colOff>83820</xdr:colOff>
      <xdr:row>149</xdr:row>
      <xdr:rowOff>114300</xdr:rowOff>
    </xdr:to>
    <xdr:sp macro="" textlink="">
      <xdr:nvSpPr>
        <xdr:cNvPr id="166" name="Arrow: Down 165">
          <a:extLst>
            <a:ext uri="{FF2B5EF4-FFF2-40B4-BE49-F238E27FC236}">
              <a16:creationId xmlns:a16="http://schemas.microsoft.com/office/drawing/2014/main" id="{A17D9D00-99D2-41AF-A54A-C75F72C3ECFF}"/>
            </a:ext>
          </a:extLst>
        </xdr:cNvPr>
        <xdr:cNvSpPr/>
      </xdr:nvSpPr>
      <xdr:spPr>
        <a:xfrm>
          <a:off x="11803380" y="2762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150</xdr:row>
      <xdr:rowOff>0</xdr:rowOff>
    </xdr:from>
    <xdr:to>
      <xdr:col>28</xdr:col>
      <xdr:colOff>83820</xdr:colOff>
      <xdr:row>150</xdr:row>
      <xdr:rowOff>114300</xdr:rowOff>
    </xdr:to>
    <xdr:sp macro="" textlink="">
      <xdr:nvSpPr>
        <xdr:cNvPr id="165" name="Arrow: Down 164">
          <a:extLst>
            <a:ext uri="{FF2B5EF4-FFF2-40B4-BE49-F238E27FC236}">
              <a16:creationId xmlns:a16="http://schemas.microsoft.com/office/drawing/2014/main" id="{B0418E2C-7975-4562-8288-067E5253B254}"/>
            </a:ext>
          </a:extLst>
        </xdr:cNvPr>
        <xdr:cNvSpPr/>
      </xdr:nvSpPr>
      <xdr:spPr>
        <a:xfrm>
          <a:off x="11803380" y="2780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151</xdr:row>
      <xdr:rowOff>0</xdr:rowOff>
    </xdr:from>
    <xdr:to>
      <xdr:col>28</xdr:col>
      <xdr:colOff>83820</xdr:colOff>
      <xdr:row>151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D6E5E69A-5069-4B54-A04E-615F0625BA5B}"/>
            </a:ext>
          </a:extLst>
        </xdr:cNvPr>
        <xdr:cNvSpPr/>
      </xdr:nvSpPr>
      <xdr:spPr>
        <a:xfrm rot="10800000">
          <a:off x="11803380" y="2817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152</xdr:row>
      <xdr:rowOff>0</xdr:rowOff>
    </xdr:from>
    <xdr:to>
      <xdr:col>28</xdr:col>
      <xdr:colOff>83820</xdr:colOff>
      <xdr:row>152</xdr:row>
      <xdr:rowOff>114300</xdr:rowOff>
    </xdr:to>
    <xdr:sp macro="" textlink="">
      <xdr:nvSpPr>
        <xdr:cNvPr id="171" name="Arrow: Down 170">
          <a:extLst>
            <a:ext uri="{FF2B5EF4-FFF2-40B4-BE49-F238E27FC236}">
              <a16:creationId xmlns:a16="http://schemas.microsoft.com/office/drawing/2014/main" id="{935B34CC-FEE7-4357-872B-E47A295E276C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153</xdr:row>
      <xdr:rowOff>0</xdr:rowOff>
    </xdr:from>
    <xdr:to>
      <xdr:col>28</xdr:col>
      <xdr:colOff>83820</xdr:colOff>
      <xdr:row>153</xdr:row>
      <xdr:rowOff>114300</xdr:rowOff>
    </xdr:to>
    <xdr:sp macro="" textlink="">
      <xdr:nvSpPr>
        <xdr:cNvPr id="172" name="Arrow: Down 171">
          <a:extLst>
            <a:ext uri="{FF2B5EF4-FFF2-40B4-BE49-F238E27FC236}">
              <a16:creationId xmlns:a16="http://schemas.microsoft.com/office/drawing/2014/main" id="{258A5F2E-3B31-40DD-944A-1AE91F4719A0}"/>
            </a:ext>
          </a:extLst>
        </xdr:cNvPr>
        <xdr:cNvSpPr/>
      </xdr:nvSpPr>
      <xdr:spPr>
        <a:xfrm rot="10800000">
          <a:off x="11803380" y="28354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154</xdr:row>
      <xdr:rowOff>0</xdr:rowOff>
    </xdr:from>
    <xdr:to>
      <xdr:col>28</xdr:col>
      <xdr:colOff>83820</xdr:colOff>
      <xdr:row>154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0F4000A7-03EF-4921-9E51-6FB2341AA939}"/>
            </a:ext>
          </a:extLst>
        </xdr:cNvPr>
        <xdr:cNvSpPr/>
      </xdr:nvSpPr>
      <xdr:spPr>
        <a:xfrm rot="10800000">
          <a:off x="11803380" y="28536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155</xdr:row>
      <xdr:rowOff>0</xdr:rowOff>
    </xdr:from>
    <xdr:to>
      <xdr:col>28</xdr:col>
      <xdr:colOff>83820</xdr:colOff>
      <xdr:row>155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789BB356-D1A8-4C5E-A2C8-5060C0F1A0DA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156</xdr:row>
      <xdr:rowOff>0</xdr:rowOff>
    </xdr:from>
    <xdr:to>
      <xdr:col>28</xdr:col>
      <xdr:colOff>83820</xdr:colOff>
      <xdr:row>156</xdr:row>
      <xdr:rowOff>114300</xdr:rowOff>
    </xdr:to>
    <xdr:sp macro="" textlink="">
      <xdr:nvSpPr>
        <xdr:cNvPr id="178" name="Arrow: Down 177">
          <a:extLst>
            <a:ext uri="{FF2B5EF4-FFF2-40B4-BE49-F238E27FC236}">
              <a16:creationId xmlns:a16="http://schemas.microsoft.com/office/drawing/2014/main" id="{44E6D267-6B6F-4538-9D61-814B40210D08}"/>
            </a:ext>
          </a:extLst>
        </xdr:cNvPr>
        <xdr:cNvSpPr/>
      </xdr:nvSpPr>
      <xdr:spPr>
        <a:xfrm>
          <a:off x="11803380" y="28902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157</xdr:row>
      <xdr:rowOff>0</xdr:rowOff>
    </xdr:from>
    <xdr:to>
      <xdr:col>28</xdr:col>
      <xdr:colOff>83820</xdr:colOff>
      <xdr:row>157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8B953CA8-E799-4FDA-AE4B-F34DC2BBF61F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158</xdr:row>
      <xdr:rowOff>0</xdr:rowOff>
    </xdr:from>
    <xdr:to>
      <xdr:col>28</xdr:col>
      <xdr:colOff>83820</xdr:colOff>
      <xdr:row>158</xdr:row>
      <xdr:rowOff>114300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84F42571-3E5A-47C5-A388-55F8C759C553}"/>
            </a:ext>
          </a:extLst>
        </xdr:cNvPr>
        <xdr:cNvSpPr/>
      </xdr:nvSpPr>
      <xdr:spPr>
        <a:xfrm rot="10800000">
          <a:off x="11803380" y="29268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159</xdr:row>
      <xdr:rowOff>0</xdr:rowOff>
    </xdr:from>
    <xdr:to>
      <xdr:col>28</xdr:col>
      <xdr:colOff>83820</xdr:colOff>
      <xdr:row>159</xdr:row>
      <xdr:rowOff>114300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1D2919D2-D6DB-4AFF-A642-916D4DFDCF26}"/>
            </a:ext>
          </a:extLst>
        </xdr:cNvPr>
        <xdr:cNvSpPr/>
      </xdr:nvSpPr>
      <xdr:spPr>
        <a:xfrm rot="10800000">
          <a:off x="11803380" y="29451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160</xdr:row>
      <xdr:rowOff>0</xdr:rowOff>
    </xdr:from>
    <xdr:to>
      <xdr:col>28</xdr:col>
      <xdr:colOff>83820</xdr:colOff>
      <xdr:row>160</xdr:row>
      <xdr:rowOff>114300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9307F5B5-2799-458D-B3A9-92CC190A6735}"/>
            </a:ext>
          </a:extLst>
        </xdr:cNvPr>
        <xdr:cNvSpPr/>
      </xdr:nvSpPr>
      <xdr:spPr>
        <a:xfrm rot="10800000">
          <a:off x="11803380" y="29634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161</xdr:row>
      <xdr:rowOff>0</xdr:rowOff>
    </xdr:from>
    <xdr:to>
      <xdr:col>28</xdr:col>
      <xdr:colOff>83820</xdr:colOff>
      <xdr:row>161</xdr:row>
      <xdr:rowOff>114300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A5C66E21-F383-41E1-938A-9C173B5B311B}"/>
            </a:ext>
          </a:extLst>
        </xdr:cNvPr>
        <xdr:cNvSpPr/>
      </xdr:nvSpPr>
      <xdr:spPr>
        <a:xfrm rot="10800000">
          <a:off x="11803380" y="29817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162</xdr:row>
      <xdr:rowOff>0</xdr:rowOff>
    </xdr:from>
    <xdr:to>
      <xdr:col>28</xdr:col>
      <xdr:colOff>83820</xdr:colOff>
      <xdr:row>162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44DF6A42-4D23-4023-9C7A-4B4189E480F3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163</xdr:row>
      <xdr:rowOff>0</xdr:rowOff>
    </xdr:from>
    <xdr:to>
      <xdr:col>28</xdr:col>
      <xdr:colOff>83820</xdr:colOff>
      <xdr:row>163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3DB92C4F-40AC-49CE-93F8-3227D2E8E6A2}"/>
            </a:ext>
          </a:extLst>
        </xdr:cNvPr>
        <xdr:cNvSpPr/>
      </xdr:nvSpPr>
      <xdr:spPr>
        <a:xfrm>
          <a:off x="11803380" y="30182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164</xdr:row>
      <xdr:rowOff>0</xdr:rowOff>
    </xdr:from>
    <xdr:to>
      <xdr:col>28</xdr:col>
      <xdr:colOff>83820</xdr:colOff>
      <xdr:row>164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6634F015-3F6A-4B15-A235-D381FC2A00E6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165</xdr:row>
      <xdr:rowOff>0</xdr:rowOff>
    </xdr:from>
    <xdr:to>
      <xdr:col>28</xdr:col>
      <xdr:colOff>83820</xdr:colOff>
      <xdr:row>165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24BECBD3-EC78-470D-8F25-A76BBB646A21}"/>
            </a:ext>
          </a:extLst>
        </xdr:cNvPr>
        <xdr:cNvSpPr/>
      </xdr:nvSpPr>
      <xdr:spPr>
        <a:xfrm rot="10800000">
          <a:off x="11803380" y="30548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166</xdr:row>
      <xdr:rowOff>0</xdr:rowOff>
    </xdr:from>
    <xdr:to>
      <xdr:col>28</xdr:col>
      <xdr:colOff>83820</xdr:colOff>
      <xdr:row>166</xdr:row>
      <xdr:rowOff>114300</xdr:rowOff>
    </xdr:to>
    <xdr:sp macro="" textlink="">
      <xdr:nvSpPr>
        <xdr:cNvPr id="185" name="Arrow: Down 184">
          <a:extLst>
            <a:ext uri="{FF2B5EF4-FFF2-40B4-BE49-F238E27FC236}">
              <a16:creationId xmlns:a16="http://schemas.microsoft.com/office/drawing/2014/main" id="{72360416-8DC6-4693-9DBE-49A3711109B2}"/>
            </a:ext>
          </a:extLst>
        </xdr:cNvPr>
        <xdr:cNvSpPr/>
      </xdr:nvSpPr>
      <xdr:spPr>
        <a:xfrm rot="10800000">
          <a:off x="11803380" y="30731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167</xdr:row>
      <xdr:rowOff>0</xdr:rowOff>
    </xdr:from>
    <xdr:to>
      <xdr:col>28</xdr:col>
      <xdr:colOff>83820</xdr:colOff>
      <xdr:row>167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298D79C9-882F-4E04-BB19-08055E82800B}"/>
            </a:ext>
          </a:extLst>
        </xdr:cNvPr>
        <xdr:cNvSpPr/>
      </xdr:nvSpPr>
      <xdr:spPr>
        <a:xfrm rot="10800000">
          <a:off x="11803380" y="30914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168</xdr:row>
      <xdr:rowOff>0</xdr:rowOff>
    </xdr:from>
    <xdr:to>
      <xdr:col>28</xdr:col>
      <xdr:colOff>83820</xdr:colOff>
      <xdr:row>168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F66E442-4B4C-4D76-BCA1-F6851F610760}"/>
            </a:ext>
          </a:extLst>
        </xdr:cNvPr>
        <xdr:cNvSpPr/>
      </xdr:nvSpPr>
      <xdr:spPr>
        <a:xfrm rot="10800000">
          <a:off x="11803380" y="31097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169</xdr:row>
      <xdr:rowOff>0</xdr:rowOff>
    </xdr:from>
    <xdr:to>
      <xdr:col>28</xdr:col>
      <xdr:colOff>83820</xdr:colOff>
      <xdr:row>169</xdr:row>
      <xdr:rowOff>114300</xdr:rowOff>
    </xdr:to>
    <xdr:sp macro="" textlink="">
      <xdr:nvSpPr>
        <xdr:cNvPr id="186" name="Arrow: Down 185">
          <a:extLst>
            <a:ext uri="{FF2B5EF4-FFF2-40B4-BE49-F238E27FC236}">
              <a16:creationId xmlns:a16="http://schemas.microsoft.com/office/drawing/2014/main" id="{268ABF79-0B72-4FBF-AD11-C25215DB7268}"/>
            </a:ext>
          </a:extLst>
        </xdr:cNvPr>
        <xdr:cNvSpPr/>
      </xdr:nvSpPr>
      <xdr:spPr>
        <a:xfrm>
          <a:off x="11803380" y="31462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170</xdr:row>
      <xdr:rowOff>0</xdr:rowOff>
    </xdr:from>
    <xdr:to>
      <xdr:col>28</xdr:col>
      <xdr:colOff>83820</xdr:colOff>
      <xdr:row>170</xdr:row>
      <xdr:rowOff>114300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5D3BDA3B-0D5C-4D41-819B-1191BE6B0D38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171</xdr:row>
      <xdr:rowOff>0</xdr:rowOff>
    </xdr:from>
    <xdr:to>
      <xdr:col>28</xdr:col>
      <xdr:colOff>83820</xdr:colOff>
      <xdr:row>171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1A319BCE-CF85-4403-B68C-F7EDFB8C1CE1}"/>
            </a:ext>
          </a:extLst>
        </xdr:cNvPr>
        <xdr:cNvSpPr/>
      </xdr:nvSpPr>
      <xdr:spPr>
        <a:xfrm rot="10800000">
          <a:off x="11803380" y="31645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172</xdr:row>
      <xdr:rowOff>0</xdr:rowOff>
    </xdr:from>
    <xdr:to>
      <xdr:col>28</xdr:col>
      <xdr:colOff>83820</xdr:colOff>
      <xdr:row>172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CF6923B1-7D77-40F3-A3C0-7937D80CF5E8}"/>
            </a:ext>
          </a:extLst>
        </xdr:cNvPr>
        <xdr:cNvSpPr/>
      </xdr:nvSpPr>
      <xdr:spPr>
        <a:xfrm rot="10800000">
          <a:off x="11803380" y="31828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173</xdr:row>
      <xdr:rowOff>0</xdr:rowOff>
    </xdr:from>
    <xdr:to>
      <xdr:col>28</xdr:col>
      <xdr:colOff>83820</xdr:colOff>
      <xdr:row>173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C8BC37AD-C434-4BB7-B7AE-FE6AB56B94E7}"/>
            </a:ext>
          </a:extLst>
        </xdr:cNvPr>
        <xdr:cNvSpPr/>
      </xdr:nvSpPr>
      <xdr:spPr>
        <a:xfrm rot="10800000">
          <a:off x="11803380" y="32011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174</xdr:row>
      <xdr:rowOff>0</xdr:rowOff>
    </xdr:from>
    <xdr:to>
      <xdr:col>28</xdr:col>
      <xdr:colOff>83820</xdr:colOff>
      <xdr:row>174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A58CF172-F2D8-4DA6-89FD-68F2FAE04DA4}"/>
            </a:ext>
          </a:extLst>
        </xdr:cNvPr>
        <xdr:cNvSpPr/>
      </xdr:nvSpPr>
      <xdr:spPr>
        <a:xfrm rot="10800000">
          <a:off x="11803380" y="32194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175</xdr:row>
      <xdr:rowOff>0</xdr:rowOff>
    </xdr:from>
    <xdr:to>
      <xdr:col>28</xdr:col>
      <xdr:colOff>83820</xdr:colOff>
      <xdr:row>175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53DD8C40-6BD9-44A7-BCB0-97456593428A}"/>
            </a:ext>
          </a:extLst>
        </xdr:cNvPr>
        <xdr:cNvSpPr/>
      </xdr:nvSpPr>
      <xdr:spPr>
        <a:xfrm rot="10800000">
          <a:off x="11803380" y="3237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176</xdr:row>
      <xdr:rowOff>0</xdr:rowOff>
    </xdr:from>
    <xdr:to>
      <xdr:col>28</xdr:col>
      <xdr:colOff>83820</xdr:colOff>
      <xdr:row>176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0F74C8C0-CE54-4AFB-A003-33D376E0019D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177</xdr:row>
      <xdr:rowOff>0</xdr:rowOff>
    </xdr:from>
    <xdr:to>
      <xdr:col>28</xdr:col>
      <xdr:colOff>83820</xdr:colOff>
      <xdr:row>177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E96CFBC7-8616-4707-A16C-B71CFDDA4F2F}"/>
            </a:ext>
          </a:extLst>
        </xdr:cNvPr>
        <xdr:cNvSpPr/>
      </xdr:nvSpPr>
      <xdr:spPr>
        <a:xfrm>
          <a:off x="11803380" y="32743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178</xdr:row>
      <xdr:rowOff>0</xdr:rowOff>
    </xdr:from>
    <xdr:to>
      <xdr:col>28</xdr:col>
      <xdr:colOff>83820</xdr:colOff>
      <xdr:row>178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08012365-0C69-45EE-9334-CC31E7675C87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179</xdr:row>
      <xdr:rowOff>0</xdr:rowOff>
    </xdr:from>
    <xdr:to>
      <xdr:col>28</xdr:col>
      <xdr:colOff>83820</xdr:colOff>
      <xdr:row>179</xdr:row>
      <xdr:rowOff>114300</xdr:rowOff>
    </xdr:to>
    <xdr:sp macro="" textlink="">
      <xdr:nvSpPr>
        <xdr:cNvPr id="196" name="Arrow: Down 195">
          <a:extLst>
            <a:ext uri="{FF2B5EF4-FFF2-40B4-BE49-F238E27FC236}">
              <a16:creationId xmlns:a16="http://schemas.microsoft.com/office/drawing/2014/main" id="{AA52A398-B49A-4B52-B020-D6F9ABAF16D4}"/>
            </a:ext>
          </a:extLst>
        </xdr:cNvPr>
        <xdr:cNvSpPr/>
      </xdr:nvSpPr>
      <xdr:spPr>
        <a:xfrm rot="10800000">
          <a:off x="11803380" y="17015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180</xdr:row>
      <xdr:rowOff>0</xdr:rowOff>
    </xdr:from>
    <xdr:to>
      <xdr:col>28</xdr:col>
      <xdr:colOff>83820</xdr:colOff>
      <xdr:row>180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23B770F7-35C3-43C2-9EC9-C3DFAC1C9450}"/>
            </a:ext>
          </a:extLst>
        </xdr:cNvPr>
        <xdr:cNvSpPr/>
      </xdr:nvSpPr>
      <xdr:spPr>
        <a:xfrm rot="10800000">
          <a:off x="11803380" y="17198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181</xdr:row>
      <xdr:rowOff>0</xdr:rowOff>
    </xdr:from>
    <xdr:to>
      <xdr:col>28</xdr:col>
      <xdr:colOff>83820</xdr:colOff>
      <xdr:row>181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F583438B-E3EF-41ED-885C-E5119576DD5B}"/>
            </a:ext>
          </a:extLst>
        </xdr:cNvPr>
        <xdr:cNvSpPr/>
      </xdr:nvSpPr>
      <xdr:spPr>
        <a:xfrm rot="10800000">
          <a:off x="11803380" y="17381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182</xdr:row>
      <xdr:rowOff>0</xdr:rowOff>
    </xdr:from>
    <xdr:to>
      <xdr:col>28</xdr:col>
      <xdr:colOff>83820</xdr:colOff>
      <xdr:row>182</xdr:row>
      <xdr:rowOff>114300</xdr:rowOff>
    </xdr:to>
    <xdr:sp macro="" textlink="">
      <xdr:nvSpPr>
        <xdr:cNvPr id="199" name="Arrow: Down 198">
          <a:extLst>
            <a:ext uri="{FF2B5EF4-FFF2-40B4-BE49-F238E27FC236}">
              <a16:creationId xmlns:a16="http://schemas.microsoft.com/office/drawing/2014/main" id="{18CA8307-8F3E-494A-8DE8-952AE58A6289}"/>
            </a:ext>
          </a:extLst>
        </xdr:cNvPr>
        <xdr:cNvSpPr/>
      </xdr:nvSpPr>
      <xdr:spPr>
        <a:xfrm rot="10800000">
          <a:off x="11803380" y="17564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183</xdr:row>
      <xdr:rowOff>0</xdr:rowOff>
    </xdr:from>
    <xdr:to>
      <xdr:col>28</xdr:col>
      <xdr:colOff>83820</xdr:colOff>
      <xdr:row>183</xdr:row>
      <xdr:rowOff>114300</xdr:rowOff>
    </xdr:to>
    <xdr:sp macro="" textlink="">
      <xdr:nvSpPr>
        <xdr:cNvPr id="204" name="Arrow: Down 203">
          <a:extLst>
            <a:ext uri="{FF2B5EF4-FFF2-40B4-BE49-F238E27FC236}">
              <a16:creationId xmlns:a16="http://schemas.microsoft.com/office/drawing/2014/main" id="{6D62601D-38C8-4F20-B593-6367C895B4F8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184</xdr:row>
      <xdr:rowOff>0</xdr:rowOff>
    </xdr:from>
    <xdr:to>
      <xdr:col>28</xdr:col>
      <xdr:colOff>83820</xdr:colOff>
      <xdr:row>184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08530636-69EE-455D-9F1B-7844F917E039}"/>
            </a:ext>
          </a:extLst>
        </xdr:cNvPr>
        <xdr:cNvSpPr/>
      </xdr:nvSpPr>
      <xdr:spPr>
        <a:xfrm>
          <a:off x="11803380" y="17929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185</xdr:row>
      <xdr:rowOff>0</xdr:rowOff>
    </xdr:from>
    <xdr:to>
      <xdr:col>28</xdr:col>
      <xdr:colOff>83820</xdr:colOff>
      <xdr:row>185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513B6CE0-1F7C-4C97-B7DD-AD9189684A47}"/>
            </a:ext>
          </a:extLst>
        </xdr:cNvPr>
        <xdr:cNvSpPr/>
      </xdr:nvSpPr>
      <xdr:spPr>
        <a:xfrm rot="10800000">
          <a:off x="11803380" y="18295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186</xdr:row>
      <xdr:rowOff>0</xdr:rowOff>
    </xdr:from>
    <xdr:to>
      <xdr:col>28</xdr:col>
      <xdr:colOff>83820</xdr:colOff>
      <xdr:row>186</xdr:row>
      <xdr:rowOff>114300</xdr:rowOff>
    </xdr:to>
    <xdr:sp macro="" textlink="">
      <xdr:nvSpPr>
        <xdr:cNvPr id="208" name="Arrow: Down 207">
          <a:extLst>
            <a:ext uri="{FF2B5EF4-FFF2-40B4-BE49-F238E27FC236}">
              <a16:creationId xmlns:a16="http://schemas.microsoft.com/office/drawing/2014/main" id="{4D3B4CC8-D5DF-4C89-BDCC-C7FA6CE9FDD1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187</xdr:row>
      <xdr:rowOff>0</xdr:rowOff>
    </xdr:from>
    <xdr:to>
      <xdr:col>28</xdr:col>
      <xdr:colOff>83820</xdr:colOff>
      <xdr:row>187</xdr:row>
      <xdr:rowOff>114300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44115B54-3134-4F3E-9591-C1AFC5424484}"/>
            </a:ext>
          </a:extLst>
        </xdr:cNvPr>
        <xdr:cNvSpPr/>
      </xdr:nvSpPr>
      <xdr:spPr>
        <a:xfrm rot="10800000">
          <a:off x="11803380" y="18478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188</xdr:row>
      <xdr:rowOff>0</xdr:rowOff>
    </xdr:from>
    <xdr:to>
      <xdr:col>28</xdr:col>
      <xdr:colOff>83820</xdr:colOff>
      <xdr:row>188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580D1142-E65B-44E4-B567-DAAB4680C334}"/>
            </a:ext>
          </a:extLst>
        </xdr:cNvPr>
        <xdr:cNvSpPr/>
      </xdr:nvSpPr>
      <xdr:spPr>
        <a:xfrm rot="10800000">
          <a:off x="11803380" y="18661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189</xdr:row>
      <xdr:rowOff>0</xdr:rowOff>
    </xdr:from>
    <xdr:to>
      <xdr:col>28</xdr:col>
      <xdr:colOff>83820</xdr:colOff>
      <xdr:row>189</xdr:row>
      <xdr:rowOff>114300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446DFEC4-436F-47E4-96B2-299D7E071042}"/>
            </a:ext>
          </a:extLst>
        </xdr:cNvPr>
        <xdr:cNvSpPr/>
      </xdr:nvSpPr>
      <xdr:spPr>
        <a:xfrm rot="10800000">
          <a:off x="11803380" y="18844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190</xdr:row>
      <xdr:rowOff>0</xdr:rowOff>
    </xdr:from>
    <xdr:to>
      <xdr:col>28</xdr:col>
      <xdr:colOff>83820</xdr:colOff>
      <xdr:row>190</xdr:row>
      <xdr:rowOff>114300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81A60978-18EE-4056-B3B7-AB06A61D7335}"/>
            </a:ext>
          </a:extLst>
        </xdr:cNvPr>
        <xdr:cNvSpPr/>
      </xdr:nvSpPr>
      <xdr:spPr>
        <a:xfrm>
          <a:off x="11803380" y="19210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191</xdr:row>
      <xdr:rowOff>0</xdr:rowOff>
    </xdr:from>
    <xdr:to>
      <xdr:col>28</xdr:col>
      <xdr:colOff>83820</xdr:colOff>
      <xdr:row>191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3FE31784-AE56-4E34-8B46-2303A54D8355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192</xdr:row>
      <xdr:rowOff>0</xdr:rowOff>
    </xdr:from>
    <xdr:to>
      <xdr:col>28</xdr:col>
      <xdr:colOff>83820</xdr:colOff>
      <xdr:row>192</xdr:row>
      <xdr:rowOff>114300</xdr:rowOff>
    </xdr:to>
    <xdr:sp macro="" textlink="">
      <xdr:nvSpPr>
        <xdr:cNvPr id="202" name="Arrow: Down 201">
          <a:extLst>
            <a:ext uri="{FF2B5EF4-FFF2-40B4-BE49-F238E27FC236}">
              <a16:creationId xmlns:a16="http://schemas.microsoft.com/office/drawing/2014/main" id="{CADD74F4-B58A-4A6C-8E44-0E7B12B1E889}"/>
            </a:ext>
          </a:extLst>
        </xdr:cNvPr>
        <xdr:cNvSpPr/>
      </xdr:nvSpPr>
      <xdr:spPr>
        <a:xfrm rot="10800000">
          <a:off x="11803380" y="19392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193</xdr:row>
      <xdr:rowOff>0</xdr:rowOff>
    </xdr:from>
    <xdr:to>
      <xdr:col>28</xdr:col>
      <xdr:colOff>83820</xdr:colOff>
      <xdr:row>193</xdr:row>
      <xdr:rowOff>114300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6C1A01DF-D83B-470B-89AA-4D4FB4EB5C92}"/>
            </a:ext>
          </a:extLst>
        </xdr:cNvPr>
        <xdr:cNvSpPr/>
      </xdr:nvSpPr>
      <xdr:spPr>
        <a:xfrm rot="10800000">
          <a:off x="11803380" y="19575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194</xdr:row>
      <xdr:rowOff>0</xdr:rowOff>
    </xdr:from>
    <xdr:to>
      <xdr:col>28</xdr:col>
      <xdr:colOff>83820</xdr:colOff>
      <xdr:row>194</xdr:row>
      <xdr:rowOff>114300</xdr:rowOff>
    </xdr:to>
    <xdr:sp macro="" textlink="">
      <xdr:nvSpPr>
        <xdr:cNvPr id="211" name="Arrow: Down 210">
          <a:extLst>
            <a:ext uri="{FF2B5EF4-FFF2-40B4-BE49-F238E27FC236}">
              <a16:creationId xmlns:a16="http://schemas.microsoft.com/office/drawing/2014/main" id="{2D42E5D5-361D-4BEB-A81C-B1B61272BD54}"/>
            </a:ext>
          </a:extLst>
        </xdr:cNvPr>
        <xdr:cNvSpPr/>
      </xdr:nvSpPr>
      <xdr:spPr>
        <a:xfrm rot="10800000">
          <a:off x="11803380" y="19758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195</xdr:row>
      <xdr:rowOff>0</xdr:rowOff>
    </xdr:from>
    <xdr:to>
      <xdr:col>28</xdr:col>
      <xdr:colOff>83820</xdr:colOff>
      <xdr:row>195</xdr:row>
      <xdr:rowOff>114300</xdr:rowOff>
    </xdr:to>
    <xdr:sp macro="" textlink="">
      <xdr:nvSpPr>
        <xdr:cNvPr id="213" name="Arrow: Down 212">
          <a:extLst>
            <a:ext uri="{FF2B5EF4-FFF2-40B4-BE49-F238E27FC236}">
              <a16:creationId xmlns:a16="http://schemas.microsoft.com/office/drawing/2014/main" id="{F22F32FF-53B7-4414-905E-02E0693F432C}"/>
            </a:ext>
          </a:extLst>
        </xdr:cNvPr>
        <xdr:cNvSpPr/>
      </xdr:nvSpPr>
      <xdr:spPr>
        <a:xfrm>
          <a:off x="11803380" y="20124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196</xdr:row>
      <xdr:rowOff>0</xdr:rowOff>
    </xdr:from>
    <xdr:to>
      <xdr:col>28</xdr:col>
      <xdr:colOff>83820</xdr:colOff>
      <xdr:row>196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C99A61E9-8C50-47EA-8D01-7A28F80B6576}"/>
            </a:ext>
          </a:extLst>
        </xdr:cNvPr>
        <xdr:cNvSpPr/>
      </xdr:nvSpPr>
      <xdr:spPr>
        <a:xfrm>
          <a:off x="11803380" y="2030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197</xdr:row>
      <xdr:rowOff>0</xdr:rowOff>
    </xdr:from>
    <xdr:to>
      <xdr:col>28</xdr:col>
      <xdr:colOff>83820</xdr:colOff>
      <xdr:row>197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41EFB0A0-3487-4392-B0DC-2E76C19DFFA6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198</xdr:row>
      <xdr:rowOff>0</xdr:rowOff>
    </xdr:from>
    <xdr:to>
      <xdr:col>28</xdr:col>
      <xdr:colOff>83820</xdr:colOff>
      <xdr:row>198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89114FD1-806E-4732-8477-6C3667C52CCA}"/>
            </a:ext>
          </a:extLst>
        </xdr:cNvPr>
        <xdr:cNvSpPr/>
      </xdr:nvSpPr>
      <xdr:spPr>
        <a:xfrm rot="10800000">
          <a:off x="11803380" y="20490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199</xdr:row>
      <xdr:rowOff>0</xdr:rowOff>
    </xdr:from>
    <xdr:to>
      <xdr:col>28</xdr:col>
      <xdr:colOff>83820</xdr:colOff>
      <xdr:row>199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E0E015DA-076F-408E-831A-B7DA9B50FF66}"/>
            </a:ext>
          </a:extLst>
        </xdr:cNvPr>
        <xdr:cNvSpPr/>
      </xdr:nvSpPr>
      <xdr:spPr>
        <a:xfrm rot="10800000">
          <a:off x="11803380" y="2067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200</xdr:row>
      <xdr:rowOff>0</xdr:rowOff>
    </xdr:from>
    <xdr:to>
      <xdr:col>28</xdr:col>
      <xdr:colOff>83820</xdr:colOff>
      <xdr:row>200</xdr:row>
      <xdr:rowOff>114300</xdr:rowOff>
    </xdr:to>
    <xdr:sp macro="" textlink="">
      <xdr:nvSpPr>
        <xdr:cNvPr id="217" name="Arrow: Down 216">
          <a:extLst>
            <a:ext uri="{FF2B5EF4-FFF2-40B4-BE49-F238E27FC236}">
              <a16:creationId xmlns:a16="http://schemas.microsoft.com/office/drawing/2014/main" id="{00CE59F9-3A2D-45B5-B9A0-1A4FC9990E7B}"/>
            </a:ext>
          </a:extLst>
        </xdr:cNvPr>
        <xdr:cNvSpPr/>
      </xdr:nvSpPr>
      <xdr:spPr>
        <a:xfrm rot="10800000">
          <a:off x="11803380" y="2085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201</xdr:row>
      <xdr:rowOff>0</xdr:rowOff>
    </xdr:from>
    <xdr:to>
      <xdr:col>28</xdr:col>
      <xdr:colOff>83820</xdr:colOff>
      <xdr:row>201</xdr:row>
      <xdr:rowOff>114300</xdr:rowOff>
    </xdr:to>
    <xdr:sp macro="" textlink="">
      <xdr:nvSpPr>
        <xdr:cNvPr id="215" name="Arrow: Down 214">
          <a:extLst>
            <a:ext uri="{FF2B5EF4-FFF2-40B4-BE49-F238E27FC236}">
              <a16:creationId xmlns:a16="http://schemas.microsoft.com/office/drawing/2014/main" id="{EBD1D496-63F1-450D-92D6-8C7887FA3E3D}"/>
            </a:ext>
          </a:extLst>
        </xdr:cNvPr>
        <xdr:cNvSpPr/>
      </xdr:nvSpPr>
      <xdr:spPr>
        <a:xfrm rot="10800000">
          <a:off x="11803380" y="2103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202</xdr:row>
      <xdr:rowOff>0</xdr:rowOff>
    </xdr:from>
    <xdr:to>
      <xdr:col>28</xdr:col>
      <xdr:colOff>83820</xdr:colOff>
      <xdr:row>202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C74A79CF-861C-49CF-8D3C-CD7C1448F4C0}"/>
            </a:ext>
          </a:extLst>
        </xdr:cNvPr>
        <xdr:cNvSpPr/>
      </xdr:nvSpPr>
      <xdr:spPr>
        <a:xfrm rot="10800000">
          <a:off x="11803380" y="2122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203</xdr:row>
      <xdr:rowOff>0</xdr:rowOff>
    </xdr:from>
    <xdr:to>
      <xdr:col>28</xdr:col>
      <xdr:colOff>83820</xdr:colOff>
      <xdr:row>203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D2198615-5E59-48BB-AA66-29E95765C0B0}"/>
            </a:ext>
          </a:extLst>
        </xdr:cNvPr>
        <xdr:cNvSpPr/>
      </xdr:nvSpPr>
      <xdr:spPr>
        <a:xfrm rot="10800000">
          <a:off x="11803380" y="2140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204</xdr:row>
      <xdr:rowOff>0</xdr:rowOff>
    </xdr:from>
    <xdr:to>
      <xdr:col>28</xdr:col>
      <xdr:colOff>83820</xdr:colOff>
      <xdr:row>204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7E0BF32D-D098-4EC4-84E8-CE26B5E1EB7C}"/>
            </a:ext>
          </a:extLst>
        </xdr:cNvPr>
        <xdr:cNvSpPr/>
      </xdr:nvSpPr>
      <xdr:spPr>
        <a:xfrm rot="10800000">
          <a:off x="11803380" y="2158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205</xdr:row>
      <xdr:rowOff>0</xdr:rowOff>
    </xdr:from>
    <xdr:to>
      <xdr:col>28</xdr:col>
      <xdr:colOff>83820</xdr:colOff>
      <xdr:row>205</xdr:row>
      <xdr:rowOff>114300</xdr:rowOff>
    </xdr:to>
    <xdr:sp macro="" textlink="">
      <xdr:nvSpPr>
        <xdr:cNvPr id="224" name="Arrow: Down 223">
          <a:extLst>
            <a:ext uri="{FF2B5EF4-FFF2-40B4-BE49-F238E27FC236}">
              <a16:creationId xmlns:a16="http://schemas.microsoft.com/office/drawing/2014/main" id="{96985E43-CC33-4F09-A499-76A3A99BA5BF}"/>
            </a:ext>
          </a:extLst>
        </xdr:cNvPr>
        <xdr:cNvSpPr/>
      </xdr:nvSpPr>
      <xdr:spPr>
        <a:xfrm rot="10800000">
          <a:off x="11803380" y="2177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206</xdr:row>
      <xdr:rowOff>0</xdr:rowOff>
    </xdr:from>
    <xdr:to>
      <xdr:col>28</xdr:col>
      <xdr:colOff>83820</xdr:colOff>
      <xdr:row>206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6A38A8B3-06E6-4F5C-BB41-5EA618C3B206}"/>
            </a:ext>
          </a:extLst>
        </xdr:cNvPr>
        <xdr:cNvSpPr/>
      </xdr:nvSpPr>
      <xdr:spPr>
        <a:xfrm rot="10800000">
          <a:off x="11803380" y="2195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207</xdr:row>
      <xdr:rowOff>0</xdr:rowOff>
    </xdr:from>
    <xdr:to>
      <xdr:col>28</xdr:col>
      <xdr:colOff>83820</xdr:colOff>
      <xdr:row>207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9F2ED279-07F4-4C9D-BA65-CEAD3AC89E3E}"/>
            </a:ext>
          </a:extLst>
        </xdr:cNvPr>
        <xdr:cNvSpPr/>
      </xdr:nvSpPr>
      <xdr:spPr>
        <a:xfrm rot="10800000">
          <a:off x="11803380" y="22136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208</xdr:row>
      <xdr:rowOff>0</xdr:rowOff>
    </xdr:from>
    <xdr:to>
      <xdr:col>28</xdr:col>
      <xdr:colOff>83820</xdr:colOff>
      <xdr:row>208</xdr:row>
      <xdr:rowOff>114300</xdr:rowOff>
    </xdr:to>
    <xdr:sp macro="" textlink="">
      <xdr:nvSpPr>
        <xdr:cNvPr id="225" name="Arrow: Down 224">
          <a:extLst>
            <a:ext uri="{FF2B5EF4-FFF2-40B4-BE49-F238E27FC236}">
              <a16:creationId xmlns:a16="http://schemas.microsoft.com/office/drawing/2014/main" id="{7C021097-DCE2-4A90-8C40-25FBFDC8F148}"/>
            </a:ext>
          </a:extLst>
        </xdr:cNvPr>
        <xdr:cNvSpPr/>
      </xdr:nvSpPr>
      <xdr:spPr>
        <a:xfrm rot="10800000">
          <a:off x="11803380" y="2231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209</xdr:row>
      <xdr:rowOff>0</xdr:rowOff>
    </xdr:from>
    <xdr:to>
      <xdr:col>28</xdr:col>
      <xdr:colOff>83820</xdr:colOff>
      <xdr:row>209</xdr:row>
      <xdr:rowOff>114300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67463B83-599B-499C-B69E-AE703690EBCD}"/>
            </a:ext>
          </a:extLst>
        </xdr:cNvPr>
        <xdr:cNvSpPr/>
      </xdr:nvSpPr>
      <xdr:spPr>
        <a:xfrm rot="10800000">
          <a:off x="11803380" y="22501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211</xdr:row>
      <xdr:rowOff>0</xdr:rowOff>
    </xdr:from>
    <xdr:to>
      <xdr:col>28</xdr:col>
      <xdr:colOff>83820</xdr:colOff>
      <xdr:row>211</xdr:row>
      <xdr:rowOff>114300</xdr:rowOff>
    </xdr:to>
    <xdr:sp macro="" textlink="">
      <xdr:nvSpPr>
        <xdr:cNvPr id="229" name="Arrow: Down 228">
          <a:extLst>
            <a:ext uri="{FF2B5EF4-FFF2-40B4-BE49-F238E27FC236}">
              <a16:creationId xmlns:a16="http://schemas.microsoft.com/office/drawing/2014/main" id="{71311B86-84D2-426D-B3DB-8DDA3BF26C17}"/>
            </a:ext>
          </a:extLst>
        </xdr:cNvPr>
        <xdr:cNvSpPr/>
      </xdr:nvSpPr>
      <xdr:spPr>
        <a:xfrm>
          <a:off x="11803380" y="2305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212</xdr:row>
      <xdr:rowOff>0</xdr:rowOff>
    </xdr:from>
    <xdr:to>
      <xdr:col>28</xdr:col>
      <xdr:colOff>83820</xdr:colOff>
      <xdr:row>212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FE02506B-2FBC-424F-BC5E-6357D42EEC5E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210</xdr:row>
      <xdr:rowOff>0</xdr:rowOff>
    </xdr:from>
    <xdr:to>
      <xdr:col>28</xdr:col>
      <xdr:colOff>83820</xdr:colOff>
      <xdr:row>210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2A8FF5F7-BA7B-4BF9-B204-5C742475E83E}"/>
            </a:ext>
          </a:extLst>
        </xdr:cNvPr>
        <xdr:cNvSpPr/>
      </xdr:nvSpPr>
      <xdr:spPr>
        <a:xfrm rot="10800000">
          <a:off x="11803380" y="2286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213</xdr:row>
      <xdr:rowOff>0</xdr:rowOff>
    </xdr:from>
    <xdr:to>
      <xdr:col>28</xdr:col>
      <xdr:colOff>83820</xdr:colOff>
      <xdr:row>213</xdr:row>
      <xdr:rowOff>114300</xdr:rowOff>
    </xdr:to>
    <xdr:sp macro="" textlink="">
      <xdr:nvSpPr>
        <xdr:cNvPr id="236" name="Arrow: Down 235">
          <a:extLst>
            <a:ext uri="{FF2B5EF4-FFF2-40B4-BE49-F238E27FC236}">
              <a16:creationId xmlns:a16="http://schemas.microsoft.com/office/drawing/2014/main" id="{8A063BB7-ABA5-43DA-A093-5CC7832253D6}"/>
            </a:ext>
          </a:extLst>
        </xdr:cNvPr>
        <xdr:cNvSpPr/>
      </xdr:nvSpPr>
      <xdr:spPr>
        <a:xfrm rot="10800000">
          <a:off x="11803380" y="2323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214</xdr:row>
      <xdr:rowOff>0</xdr:rowOff>
    </xdr:from>
    <xdr:to>
      <xdr:col>28</xdr:col>
      <xdr:colOff>83820</xdr:colOff>
      <xdr:row>214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4F0025AC-1A5C-4A2F-925E-5911FFD08858}"/>
            </a:ext>
          </a:extLst>
        </xdr:cNvPr>
        <xdr:cNvSpPr/>
      </xdr:nvSpPr>
      <xdr:spPr>
        <a:xfrm rot="10800000">
          <a:off x="11803380" y="23416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215</xdr:row>
      <xdr:rowOff>0</xdr:rowOff>
    </xdr:from>
    <xdr:to>
      <xdr:col>28</xdr:col>
      <xdr:colOff>83820</xdr:colOff>
      <xdr:row>215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07B21E86-261F-484D-83B6-A1CAF93E9178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216</xdr:row>
      <xdr:rowOff>0</xdr:rowOff>
    </xdr:from>
    <xdr:to>
      <xdr:col>28</xdr:col>
      <xdr:colOff>83820</xdr:colOff>
      <xdr:row>216</xdr:row>
      <xdr:rowOff>114300</xdr:rowOff>
    </xdr:to>
    <xdr:sp macro="" textlink="">
      <xdr:nvSpPr>
        <xdr:cNvPr id="231" name="Arrow: Down 230">
          <a:extLst>
            <a:ext uri="{FF2B5EF4-FFF2-40B4-BE49-F238E27FC236}">
              <a16:creationId xmlns:a16="http://schemas.microsoft.com/office/drawing/2014/main" id="{BA0C8444-6860-473A-B93B-B685B0782F5D}"/>
            </a:ext>
          </a:extLst>
        </xdr:cNvPr>
        <xdr:cNvSpPr/>
      </xdr:nvSpPr>
      <xdr:spPr>
        <a:xfrm>
          <a:off x="11803380" y="2378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217</xdr:row>
      <xdr:rowOff>0</xdr:rowOff>
    </xdr:from>
    <xdr:to>
      <xdr:col>28</xdr:col>
      <xdr:colOff>83820</xdr:colOff>
      <xdr:row>217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E2FF1B70-4B2C-4177-BFDF-9D936A323617}"/>
            </a:ext>
          </a:extLst>
        </xdr:cNvPr>
        <xdr:cNvSpPr/>
      </xdr:nvSpPr>
      <xdr:spPr>
        <a:xfrm>
          <a:off x="11803380" y="2396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0</xdr:colOff>
      <xdr:row>218</xdr:row>
      <xdr:rowOff>0</xdr:rowOff>
    </xdr:from>
    <xdr:to>
      <xdr:col>28</xdr:col>
      <xdr:colOff>83820</xdr:colOff>
      <xdr:row>218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9753CFC7-7D9D-40EA-BB81-A9461F142D6F}"/>
            </a:ext>
          </a:extLst>
        </xdr:cNvPr>
        <xdr:cNvSpPr/>
      </xdr:nvSpPr>
      <xdr:spPr>
        <a:xfrm>
          <a:off x="11803380" y="2414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A1:CL355"/>
  <sheetViews>
    <sheetView tabSelected="1" topLeftCell="C250" zoomScaleNormal="100" workbookViewId="0">
      <selection activeCell="H274" sqref="H274:BT275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1.554687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2.21875" customWidth="1"/>
    <col min="14" max="14" width="10.44140625" customWidth="1"/>
    <col min="15" max="15" width="9.44140625" customWidth="1"/>
    <col min="16" max="16" width="1.21875" customWidth="1"/>
    <col min="17" max="17" width="10" hidden="1" customWidth="1" outlineLevel="1"/>
    <col min="18" max="18" width="1.21875" hidden="1" customWidth="1" outlineLevel="1"/>
    <col min="19" max="19" width="10.5546875" hidden="1" customWidth="1" outlineLevel="1"/>
    <col min="20" max="21" width="1.21875" hidden="1" customWidth="1" outlineLevel="1"/>
    <col min="22" max="22" width="5.109375" customWidth="1" collapsed="1"/>
    <col min="23" max="23" width="8.88671875" customWidth="1"/>
    <col min="24" max="24" width="1.77734375" customWidth="1"/>
    <col min="25" max="25" width="2.5546875" customWidth="1"/>
    <col min="26" max="26" width="1.6640625" customWidth="1"/>
    <col min="27" max="27" width="9.5546875" customWidth="1"/>
    <col min="28" max="28" width="2.33203125" customWidth="1"/>
    <col min="29" max="29" width="5.6640625" customWidth="1"/>
    <col min="30" max="30" width="1" customWidth="1"/>
    <col min="31" max="31" width="8.109375" customWidth="1"/>
    <col min="32" max="32" width="1.6640625" customWidth="1"/>
    <col min="33" max="33" width="12.5546875" hidden="1" customWidth="1" outlineLevel="1"/>
    <col min="34" max="34" width="11" hidden="1" customWidth="1" outlineLevel="1"/>
    <col min="35" max="35" width="8.109375" hidden="1" customWidth="1" outlineLevel="1"/>
    <col min="36" max="36" width="2.21875" hidden="1" customWidth="1" outlineLevel="1"/>
    <col min="37" max="37" width="3.5546875" customWidth="1" collapsed="1"/>
    <col min="38" max="38" width="9" customWidth="1"/>
    <col min="39" max="39" width="1" customWidth="1"/>
    <col min="40" max="40" width="1.44140625" customWidth="1"/>
    <col min="41" max="41" width="1.21875" customWidth="1"/>
    <col min="42" max="42" width="10.5546875" customWidth="1"/>
    <col min="43" max="43" width="1.33203125" customWidth="1"/>
    <col min="44" max="44" width="10.21875" customWidth="1"/>
    <col min="45" max="45" width="1.5546875" customWidth="1"/>
    <col min="46" max="46" width="2.21875" customWidth="1"/>
    <col min="47" max="47" width="1.33203125" customWidth="1"/>
    <col min="48" max="48" width="7.44140625" customWidth="1"/>
    <col min="49" max="49" width="2" customWidth="1"/>
    <col min="50" max="50" width="9.21875" customWidth="1"/>
    <col min="51" max="51" width="0.88671875" customWidth="1"/>
    <col min="52" max="52" width="4" customWidth="1"/>
    <col min="53" max="53" width="13.88671875" customWidth="1"/>
    <col min="54" max="54" width="1.109375" customWidth="1"/>
    <col min="55" max="55" width="11.77734375" customWidth="1"/>
    <col min="56" max="56" width="1.33203125" customWidth="1"/>
    <col min="57" max="57" width="8.77734375" customWidth="1"/>
    <col min="58" max="58" width="1.109375" customWidth="1"/>
    <col min="59" max="59" width="11.33203125" customWidth="1"/>
    <col min="60" max="60" width="1.109375" customWidth="1"/>
    <col min="61" max="61" width="3.88671875" customWidth="1"/>
    <col min="62" max="62" width="1.44140625" hidden="1" customWidth="1" outlineLevel="1"/>
    <col min="63" max="63" width="15.109375" hidden="1" customWidth="1" outlineLevel="1"/>
    <col min="64" max="64" width="0.88671875" hidden="1" customWidth="1" outlineLevel="1"/>
    <col min="65" max="65" width="6.88671875" hidden="1" customWidth="1" outlineLevel="1"/>
    <col min="66" max="66" width="10.109375" customWidth="1" collapsed="1"/>
    <col min="67" max="67" width="0.88671875" customWidth="1"/>
    <col min="68" max="68" width="11.5546875" customWidth="1"/>
    <col min="69" max="69" width="1" customWidth="1"/>
    <col min="70" max="70" width="6.88671875" customWidth="1"/>
    <col min="71" max="71" width="1.109375" customWidth="1"/>
    <col min="72" max="72" width="3.44140625" customWidth="1"/>
    <col min="73" max="73" width="0.77734375" customWidth="1"/>
    <col min="74" max="74" width="1.88671875" customWidth="1"/>
    <col min="75" max="75" width="6.6640625" customWidth="1"/>
    <col min="76" max="76" width="1.77734375" customWidth="1"/>
    <col min="77" max="77" width="10.109375" bestFit="1" customWidth="1"/>
    <col min="78" max="78" width="2.109375" customWidth="1"/>
    <col min="79" max="79" width="9.77734375" customWidth="1"/>
    <col min="80" max="80" width="1.33203125" customWidth="1"/>
    <col min="81" max="81" width="9" bestFit="1" customWidth="1"/>
    <col min="82" max="82" width="1.109375" customWidth="1"/>
    <col min="83" max="83" width="3.21875" customWidth="1"/>
    <col min="84" max="84" width="1.44140625" customWidth="1"/>
    <col min="85" max="85" width="7.77734375" customWidth="1"/>
    <col min="86" max="86" width="1" customWidth="1"/>
    <col min="87" max="87" width="7.21875" customWidth="1"/>
    <col min="88" max="88" width="1.44140625" customWidth="1"/>
    <col min="89" max="89" width="4.77734375" customWidth="1"/>
    <col min="90" max="90" width="12.21875" customWidth="1"/>
  </cols>
  <sheetData>
    <row r="1" spans="2:90" ht="15.6" x14ac:dyDescent="0.3">
      <c r="B1" s="618" t="s">
        <v>5</v>
      </c>
      <c r="C1" s="618"/>
      <c r="D1" s="618"/>
    </row>
    <row r="2" spans="2:90" ht="15.6" x14ac:dyDescent="0.3">
      <c r="B2" s="618" t="s">
        <v>6</v>
      </c>
      <c r="C2" s="618"/>
      <c r="D2" s="618"/>
      <c r="E2" s="9"/>
      <c r="F2" s="9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</row>
    <row r="3" spans="2:90" ht="16.2" thickBot="1" x14ac:dyDescent="0.35">
      <c r="B3" s="621" t="s">
        <v>13</v>
      </c>
      <c r="C3" s="621"/>
      <c r="D3" s="166"/>
      <c r="E3" s="166"/>
      <c r="F3" s="166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</row>
    <row r="4" spans="2:90" ht="16.2" thickBot="1" x14ac:dyDescent="0.35">
      <c r="E4" s="9"/>
      <c r="F4" s="9"/>
      <c r="J4" s="619" t="s">
        <v>11</v>
      </c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  <c r="AC4" s="620"/>
      <c r="AD4" s="11"/>
      <c r="AE4" s="325"/>
      <c r="AF4" s="447"/>
      <c r="AG4" s="447"/>
      <c r="AH4" s="447"/>
      <c r="AI4" s="447"/>
      <c r="AJ4" s="12"/>
      <c r="AL4" s="598" t="s">
        <v>14</v>
      </c>
      <c r="AM4" s="599"/>
      <c r="AN4" s="599"/>
      <c r="AO4" s="599"/>
      <c r="AP4" s="599"/>
      <c r="AQ4" s="599"/>
      <c r="AR4" s="599"/>
      <c r="AS4" s="599"/>
      <c r="AT4" s="599"/>
      <c r="AU4" s="599"/>
      <c r="AV4" s="599"/>
      <c r="AW4" s="599"/>
      <c r="AX4" s="599"/>
      <c r="AY4" s="599"/>
      <c r="AZ4" s="599"/>
      <c r="BA4" s="599"/>
      <c r="BB4" s="599"/>
      <c r="BC4" s="599"/>
      <c r="BD4" s="599"/>
      <c r="BE4" s="599"/>
      <c r="BF4" s="599"/>
      <c r="BG4" s="599"/>
      <c r="BH4" s="599"/>
      <c r="BI4" s="599"/>
      <c r="BJ4" s="599"/>
      <c r="BK4" s="599"/>
      <c r="BL4" s="599"/>
      <c r="BM4" s="599"/>
      <c r="BN4" s="599"/>
      <c r="BO4" s="599"/>
      <c r="BP4" s="599"/>
      <c r="BQ4" s="599"/>
      <c r="BR4" s="599"/>
      <c r="BS4" s="599"/>
      <c r="BT4" s="599"/>
      <c r="BU4" s="600"/>
      <c r="BV4" s="180"/>
      <c r="BW4" s="180"/>
      <c r="BX4" s="180"/>
      <c r="BY4" s="180"/>
      <c r="BZ4" s="180"/>
      <c r="CA4" s="180"/>
      <c r="CB4" s="180"/>
      <c r="CC4" s="180"/>
      <c r="CD4" s="180"/>
      <c r="CE4" s="180"/>
      <c r="CF4" s="180"/>
      <c r="CG4" s="180"/>
      <c r="CH4" s="180"/>
      <c r="CI4" s="180"/>
      <c r="CJ4" s="61"/>
      <c r="CK4" s="61"/>
    </row>
    <row r="5" spans="2:90" x14ac:dyDescent="0.3"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</row>
    <row r="6" spans="2:90" x14ac:dyDescent="0.3">
      <c r="D6" s="333" t="s">
        <v>7</v>
      </c>
      <c r="E6" s="334"/>
      <c r="F6" s="622" t="s">
        <v>12</v>
      </c>
      <c r="G6" s="622"/>
      <c r="H6" s="622"/>
      <c r="I6" s="622"/>
      <c r="J6" s="622"/>
      <c r="K6" s="622"/>
      <c r="L6" s="622"/>
      <c r="M6" s="335"/>
      <c r="N6" s="542"/>
      <c r="O6" s="335"/>
      <c r="P6" s="336"/>
      <c r="Q6" s="628" t="s">
        <v>124</v>
      </c>
      <c r="R6" s="622"/>
      <c r="S6" s="622"/>
      <c r="T6" s="622"/>
      <c r="U6" s="629"/>
      <c r="V6" s="3"/>
      <c r="W6" s="8" t="s">
        <v>7</v>
      </c>
      <c r="X6" s="30"/>
      <c r="Y6" s="623">
        <v>1.2500000000000001E-2</v>
      </c>
      <c r="Z6" s="623"/>
      <c r="AA6" s="623"/>
      <c r="AB6" s="623"/>
      <c r="AC6" s="623"/>
      <c r="AD6" s="623"/>
      <c r="AE6" s="623"/>
      <c r="AF6" s="623"/>
      <c r="AG6" s="623"/>
      <c r="AH6" s="623"/>
      <c r="AI6" s="623"/>
      <c r="AJ6" s="624"/>
      <c r="AK6" s="3"/>
      <c r="AL6" s="607" t="s">
        <v>27</v>
      </c>
      <c r="AM6" s="608"/>
      <c r="AN6" s="608"/>
      <c r="AO6" s="608"/>
      <c r="AP6" s="608"/>
      <c r="AQ6" s="608"/>
      <c r="AR6" s="608"/>
      <c r="AS6" s="608"/>
      <c r="AT6" s="608"/>
      <c r="AU6" s="608"/>
      <c r="AV6" s="608"/>
      <c r="AW6" s="608"/>
      <c r="AX6" s="608"/>
      <c r="AY6" s="609"/>
      <c r="AZ6" s="3"/>
      <c r="BA6" s="610" t="s">
        <v>7</v>
      </c>
      <c r="BB6" s="602"/>
      <c r="BC6" s="602"/>
      <c r="BD6" s="97"/>
      <c r="BE6" s="601" t="s">
        <v>26</v>
      </c>
      <c r="BF6" s="601"/>
      <c r="BG6" s="601"/>
      <c r="BH6" s="601"/>
      <c r="BI6" s="601"/>
      <c r="BJ6" s="601"/>
      <c r="BK6" s="601"/>
      <c r="BL6" s="601"/>
      <c r="BM6" s="601"/>
      <c r="BN6" s="601"/>
      <c r="BO6" s="601"/>
      <c r="BP6" s="601"/>
      <c r="BQ6" s="601"/>
      <c r="BR6" s="602"/>
      <c r="BS6" s="602"/>
      <c r="BT6" s="602"/>
      <c r="BU6" s="603"/>
      <c r="BV6" s="3"/>
    </row>
    <row r="7" spans="2:90" ht="16.2" x14ac:dyDescent="0.3">
      <c r="D7" s="604" t="s">
        <v>20</v>
      </c>
      <c r="E7" s="605"/>
      <c r="F7" s="605"/>
      <c r="G7" s="605"/>
      <c r="H7" s="605"/>
      <c r="I7" s="605"/>
      <c r="J7" s="605"/>
      <c r="K7" s="465"/>
      <c r="L7" s="465"/>
      <c r="M7" s="465"/>
      <c r="N7" s="541"/>
      <c r="O7" s="465"/>
      <c r="P7" s="466"/>
      <c r="Q7" s="448"/>
      <c r="R7" s="449"/>
      <c r="S7" s="449"/>
      <c r="T7" s="449"/>
      <c r="U7" s="337"/>
      <c r="V7" s="3"/>
      <c r="W7" s="625" t="s">
        <v>35</v>
      </c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7"/>
      <c r="AK7" s="3"/>
      <c r="AL7" s="604" t="s">
        <v>76</v>
      </c>
      <c r="AM7" s="605"/>
      <c r="AN7" s="605"/>
      <c r="AO7" s="605"/>
      <c r="AP7" s="605"/>
      <c r="AQ7" s="605"/>
      <c r="AR7" s="605"/>
      <c r="AS7" s="605"/>
      <c r="AT7" s="605"/>
      <c r="AU7" s="605"/>
      <c r="AV7" s="605"/>
      <c r="AW7" s="605"/>
      <c r="AX7" s="605"/>
      <c r="AY7" s="606"/>
      <c r="BA7" s="604" t="s">
        <v>25</v>
      </c>
      <c r="BB7" s="605"/>
      <c r="BC7" s="605"/>
      <c r="BD7" s="605"/>
      <c r="BE7" s="605"/>
      <c r="BF7" s="605"/>
      <c r="BG7" s="605"/>
      <c r="BH7" s="605"/>
      <c r="BI7" s="605"/>
      <c r="BJ7" s="605"/>
      <c r="BK7" s="605"/>
      <c r="BL7" s="605"/>
      <c r="BM7" s="605"/>
      <c r="BN7" s="605"/>
      <c r="BO7" s="605"/>
      <c r="BP7" s="605"/>
      <c r="BQ7" s="605"/>
      <c r="BR7" s="605"/>
      <c r="BS7" s="605"/>
      <c r="BT7" s="605"/>
      <c r="BU7" s="606"/>
      <c r="BW7" s="174" t="s">
        <v>18</v>
      </c>
    </row>
    <row r="8" spans="2:90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28"/>
      <c r="N8" s="328"/>
      <c r="O8" s="331" t="s">
        <v>115</v>
      </c>
      <c r="P8" s="338"/>
      <c r="Q8" s="452" t="s">
        <v>1</v>
      </c>
      <c r="R8" s="328"/>
      <c r="S8" s="53" t="s">
        <v>79</v>
      </c>
      <c r="T8" s="328"/>
      <c r="U8" s="338"/>
      <c r="W8" s="455" t="s">
        <v>1</v>
      </c>
      <c r="X8" s="456"/>
      <c r="Y8" s="457" t="s">
        <v>15</v>
      </c>
      <c r="Z8" s="456"/>
      <c r="AA8" s="458" t="s">
        <v>2</v>
      </c>
      <c r="AB8" s="456"/>
      <c r="AC8" s="459" t="s">
        <v>3</v>
      </c>
      <c r="AD8" s="456"/>
      <c r="AE8" s="460" t="s">
        <v>115</v>
      </c>
      <c r="AF8" s="461"/>
      <c r="AG8" s="455" t="s">
        <v>1</v>
      </c>
      <c r="AH8" s="454"/>
      <c r="AI8" s="460" t="s">
        <v>125</v>
      </c>
      <c r="AJ8" s="48"/>
      <c r="AL8" s="20" t="s">
        <v>1</v>
      </c>
      <c r="AM8" s="326"/>
      <c r="AN8" s="344" t="s">
        <v>15</v>
      </c>
      <c r="AO8" s="326"/>
      <c r="AP8" s="73" t="s">
        <v>2</v>
      </c>
      <c r="AQ8" s="326"/>
      <c r="AR8" s="327" t="s">
        <v>3</v>
      </c>
      <c r="AS8" s="326"/>
      <c r="AT8" s="344" t="s">
        <v>15</v>
      </c>
      <c r="AU8" s="326"/>
      <c r="AV8" s="345" t="s">
        <v>16</v>
      </c>
      <c r="AW8" s="342"/>
      <c r="AX8" s="346" t="s">
        <v>115</v>
      </c>
      <c r="AY8" s="347"/>
      <c r="BA8" s="596" t="s">
        <v>1</v>
      </c>
      <c r="BB8" s="597"/>
      <c r="BC8" s="597"/>
      <c r="BD8" s="64"/>
      <c r="BE8" s="597" t="s">
        <v>24</v>
      </c>
      <c r="BF8" s="597"/>
      <c r="BG8" s="597"/>
      <c r="BH8" s="597"/>
      <c r="BI8" s="611"/>
      <c r="BJ8" s="612" t="s">
        <v>124</v>
      </c>
      <c r="BK8" s="613"/>
      <c r="BL8" s="613"/>
      <c r="BM8" s="614"/>
      <c r="BN8" s="596" t="s">
        <v>24</v>
      </c>
      <c r="BO8" s="597"/>
      <c r="BP8" s="597"/>
      <c r="BQ8" s="64"/>
      <c r="BR8" s="105"/>
      <c r="BS8" s="464"/>
      <c r="BT8" s="106"/>
      <c r="BU8" s="181"/>
    </row>
    <row r="9" spans="2:90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15"/>
      <c r="P9" s="40"/>
      <c r="Q9" s="14"/>
      <c r="R9" s="15"/>
      <c r="S9" s="15"/>
      <c r="T9" s="15"/>
      <c r="U9" s="40"/>
      <c r="W9" s="31"/>
      <c r="X9" s="32"/>
      <c r="Y9" s="32"/>
      <c r="Z9" s="32"/>
      <c r="AA9" s="33">
        <f>1295-1092</f>
        <v>203</v>
      </c>
      <c r="AB9" s="32"/>
      <c r="AC9" s="45"/>
      <c r="AD9" s="32"/>
      <c r="AE9" s="32"/>
      <c r="AF9" s="48"/>
      <c r="AG9" s="32"/>
      <c r="AH9" s="32"/>
      <c r="AI9" s="32"/>
      <c r="AJ9" s="48"/>
      <c r="AL9" s="21"/>
      <c r="AM9" s="22"/>
      <c r="AN9" s="22"/>
      <c r="AO9" s="22"/>
      <c r="AP9" s="22"/>
      <c r="AQ9" s="22"/>
      <c r="AR9" s="22"/>
      <c r="AS9" s="22"/>
      <c r="AT9" s="22"/>
      <c r="AU9" s="22"/>
      <c r="AV9" s="139"/>
      <c r="AW9" s="139"/>
      <c r="AX9" s="22"/>
      <c r="AY9" s="348"/>
      <c r="BA9" s="450" t="s">
        <v>36</v>
      </c>
      <c r="BB9" s="64"/>
      <c r="BC9" s="98" t="s">
        <v>2</v>
      </c>
      <c r="BD9" s="65"/>
      <c r="BE9" s="451" t="s">
        <v>36</v>
      </c>
      <c r="BF9" s="64"/>
      <c r="BG9" s="63" t="s">
        <v>10</v>
      </c>
      <c r="BH9" s="155"/>
      <c r="BI9" s="462" t="s">
        <v>15</v>
      </c>
      <c r="BJ9" s="64"/>
      <c r="BK9" s="451" t="s">
        <v>126</v>
      </c>
      <c r="BL9" s="64"/>
      <c r="BM9" s="63" t="s">
        <v>10</v>
      </c>
      <c r="BN9" s="463" t="s">
        <v>115</v>
      </c>
      <c r="BO9" s="64"/>
      <c r="BP9" s="104" t="s">
        <v>2</v>
      </c>
      <c r="BQ9" s="352"/>
      <c r="BR9" s="105" t="s">
        <v>22</v>
      </c>
      <c r="BS9" s="64"/>
      <c r="BT9" s="106" t="s">
        <v>15</v>
      </c>
      <c r="BU9" s="182"/>
    </row>
    <row r="10" spans="2:90" x14ac:dyDescent="0.3">
      <c r="B10" s="17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/>
      <c r="O10" s="16">
        <f t="shared" ref="O10:O41" si="2">+H10/BW10</f>
        <v>19436</v>
      </c>
      <c r="P10" s="41"/>
      <c r="Q10" s="17"/>
      <c r="R10" s="16"/>
      <c r="S10" s="16"/>
      <c r="T10" s="16"/>
      <c r="U10" s="41"/>
      <c r="V10" s="1"/>
      <c r="W10" s="34">
        <f>49+3</f>
        <v>52</v>
      </c>
      <c r="X10" s="33"/>
      <c r="Y10" s="33"/>
      <c r="Z10" s="33"/>
      <c r="AA10" s="33">
        <f t="shared" ref="AA10:AA23" si="3">+AA9+W10</f>
        <v>255</v>
      </c>
      <c r="AB10" s="33"/>
      <c r="AC10" s="46">
        <f t="shared" ref="AC10:AC41" si="4">+AA10/H10</f>
        <v>1.3119983535706935E-2</v>
      </c>
      <c r="AD10" s="231"/>
      <c r="AE10" s="33">
        <f t="shared" ref="AE10:AE41" si="5">+AA10/BW10</f>
        <v>255</v>
      </c>
      <c r="AF10" s="50"/>
      <c r="AG10" s="33"/>
      <c r="AH10" s="33"/>
      <c r="AI10" s="33"/>
      <c r="AJ10" s="49"/>
      <c r="AK10" s="1"/>
      <c r="AL10" s="23"/>
      <c r="AM10" s="24"/>
      <c r="AN10" s="24"/>
      <c r="AO10" s="24"/>
      <c r="AP10" s="24">
        <v>176</v>
      </c>
      <c r="AQ10" s="24"/>
      <c r="AR10" s="24"/>
      <c r="AS10" s="24"/>
      <c r="AT10" s="24"/>
      <c r="AU10" s="24"/>
      <c r="AV10" s="139"/>
      <c r="AW10" s="139"/>
      <c r="AX10" s="22"/>
      <c r="AY10" s="348"/>
      <c r="AZ10" s="1"/>
      <c r="BA10" s="66"/>
      <c r="BB10" s="67"/>
      <c r="BC10" s="67"/>
      <c r="BD10" s="67"/>
      <c r="BE10" s="67"/>
      <c r="BF10" s="67"/>
      <c r="BG10" s="67"/>
      <c r="BH10" s="67"/>
      <c r="BI10" s="183"/>
      <c r="BJ10" s="67"/>
      <c r="BK10" s="67"/>
      <c r="BL10" s="67"/>
      <c r="BM10" s="67"/>
      <c r="BN10" s="66"/>
      <c r="BO10" s="67"/>
      <c r="BP10" s="67"/>
      <c r="BQ10" s="67"/>
      <c r="BR10" s="70"/>
      <c r="BS10" s="67"/>
      <c r="BT10" s="67"/>
      <c r="BU10" s="183"/>
      <c r="BV10" s="1"/>
      <c r="BW10">
        <v>1</v>
      </c>
    </row>
    <row r="11" spans="2:90" x14ac:dyDescent="0.3">
      <c r="B11" s="476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60"/>
      <c r="O11" s="16">
        <f t="shared" si="2"/>
        <v>12130</v>
      </c>
      <c r="P11" s="42"/>
      <c r="Q11" s="453"/>
      <c r="R11" s="60"/>
      <c r="S11" s="60"/>
      <c r="T11" s="60"/>
      <c r="U11" s="42"/>
      <c r="V11" s="477"/>
      <c r="W11" s="34">
        <v>46</v>
      </c>
      <c r="X11" s="33"/>
      <c r="Y11" s="33"/>
      <c r="Z11" s="33"/>
      <c r="AA11" s="33">
        <f t="shared" si="3"/>
        <v>301</v>
      </c>
      <c r="AB11" s="33"/>
      <c r="AC11" s="46">
        <f t="shared" si="4"/>
        <v>1.2407254740313274E-2</v>
      </c>
      <c r="AD11" s="231"/>
      <c r="AE11" s="33">
        <f t="shared" si="5"/>
        <v>150.5</v>
      </c>
      <c r="AF11" s="50"/>
      <c r="AG11" s="33"/>
      <c r="AH11" s="33"/>
      <c r="AI11" s="33"/>
      <c r="AJ11" s="49"/>
      <c r="AK11" s="1"/>
      <c r="AL11" s="23">
        <f t="shared" ref="AL11:AL51" si="7">+AP11-AP10</f>
        <v>0</v>
      </c>
      <c r="AM11" s="24"/>
      <c r="AN11" s="24"/>
      <c r="AO11" s="24"/>
      <c r="AP11" s="24">
        <v>176</v>
      </c>
      <c r="AQ11" s="24"/>
      <c r="AR11" s="24"/>
      <c r="AS11" s="24"/>
      <c r="AT11" s="24"/>
      <c r="AU11" s="24"/>
      <c r="AV11" s="139"/>
      <c r="AW11" s="139"/>
      <c r="AX11" s="22"/>
      <c r="AY11" s="348"/>
      <c r="AZ11" s="1"/>
      <c r="BA11" s="66"/>
      <c r="BB11" s="67"/>
      <c r="BC11" s="67"/>
      <c r="BD11" s="67"/>
      <c r="BE11" s="67"/>
      <c r="BF11" s="67"/>
      <c r="BG11" s="67"/>
      <c r="BH11" s="67"/>
      <c r="BI11" s="183"/>
      <c r="BJ11" s="67"/>
      <c r="BK11" s="67"/>
      <c r="BL11" s="67"/>
      <c r="BM11" s="67"/>
      <c r="BN11" s="66"/>
      <c r="BO11" s="67"/>
      <c r="BP11" s="67"/>
      <c r="BQ11" s="67"/>
      <c r="BR11" s="70"/>
      <c r="BS11" s="67"/>
      <c r="BT11" s="67"/>
      <c r="BU11" s="183"/>
      <c r="BV11" s="1"/>
      <c r="BW11">
        <f>+BW10+1</f>
        <v>2</v>
      </c>
    </row>
    <row r="12" spans="2:90" x14ac:dyDescent="0.3">
      <c r="B12" s="39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60"/>
      <c r="O12" s="16">
        <f t="shared" si="2"/>
        <v>11199.666666666666</v>
      </c>
      <c r="P12" s="42"/>
      <c r="Q12" s="453"/>
      <c r="R12" s="60"/>
      <c r="S12" s="60"/>
      <c r="T12" s="60"/>
      <c r="U12" s="42"/>
      <c r="V12" s="1"/>
      <c r="W12" s="34">
        <f>117-4</f>
        <v>113</v>
      </c>
      <c r="X12" s="33"/>
      <c r="Y12" s="33"/>
      <c r="Z12" s="33"/>
      <c r="AA12" s="33">
        <f t="shared" si="3"/>
        <v>414</v>
      </c>
      <c r="AB12" s="33"/>
      <c r="AC12" s="46">
        <f t="shared" si="4"/>
        <v>1.2321795291526534E-2</v>
      </c>
      <c r="AD12" s="231"/>
      <c r="AE12" s="33">
        <f t="shared" si="5"/>
        <v>138</v>
      </c>
      <c r="AF12" s="50"/>
      <c r="AG12" s="33"/>
      <c r="AH12" s="33"/>
      <c r="AI12" s="33"/>
      <c r="AJ12" s="49"/>
      <c r="AK12" s="1"/>
      <c r="AL12" s="23">
        <f t="shared" si="7"/>
        <v>2</v>
      </c>
      <c r="AM12" s="24"/>
      <c r="AN12" s="24"/>
      <c r="AO12" s="24"/>
      <c r="AP12" s="24">
        <v>178</v>
      </c>
      <c r="AQ12" s="24"/>
      <c r="AR12" s="25">
        <f t="shared" ref="AR12:AR51" si="8">+AL12/AP11</f>
        <v>1.1363636363636364E-2</v>
      </c>
      <c r="AS12" s="25"/>
      <c r="AT12" s="25"/>
      <c r="AU12" s="24"/>
      <c r="AV12" s="341">
        <f t="shared" ref="AV12:AV43" si="9">+AP12/H12</f>
        <v>5.2977767195452243E-3</v>
      </c>
      <c r="AW12" s="341"/>
      <c r="AX12" s="24">
        <f t="shared" ref="AX12:AX43" si="10">+AP12/BW12</f>
        <v>59.333333333333336</v>
      </c>
      <c r="AY12" s="349"/>
      <c r="AZ12" s="1"/>
      <c r="BA12" s="66"/>
      <c r="BB12" s="67"/>
      <c r="BC12" s="67"/>
      <c r="BD12" s="67"/>
      <c r="BE12" s="67"/>
      <c r="BF12" s="67"/>
      <c r="BG12" s="67"/>
      <c r="BH12" s="67"/>
      <c r="BI12" s="183"/>
      <c r="BJ12" s="67"/>
      <c r="BK12" s="67"/>
      <c r="BL12" s="67"/>
      <c r="BM12" s="67"/>
      <c r="BN12" s="66"/>
      <c r="BO12" s="67"/>
      <c r="BP12" s="67"/>
      <c r="BQ12" s="67"/>
      <c r="BR12" s="70"/>
      <c r="BS12" s="67"/>
      <c r="BT12" s="67"/>
      <c r="BU12" s="183"/>
      <c r="BV12" s="1"/>
      <c r="BW12">
        <f t="shared" ref="BW12:BW76" si="11">+BW11+1</f>
        <v>3</v>
      </c>
    </row>
    <row r="13" spans="2:90" x14ac:dyDescent="0.3">
      <c r="B13" s="17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60"/>
      <c r="O13" s="16">
        <f t="shared" si="2"/>
        <v>10941.75</v>
      </c>
      <c r="P13" s="42"/>
      <c r="Q13" s="453"/>
      <c r="R13" s="60"/>
      <c r="S13" s="60"/>
      <c r="T13" s="60"/>
      <c r="U13" s="42"/>
      <c r="V13" s="1"/>
      <c r="W13" s="34">
        <f>140+1</f>
        <v>141</v>
      </c>
      <c r="X13" s="33"/>
      <c r="Y13" s="33"/>
      <c r="Z13" s="33"/>
      <c r="AA13" s="33">
        <f t="shared" si="3"/>
        <v>555</v>
      </c>
      <c r="AB13" s="33"/>
      <c r="AC13" s="46">
        <f t="shared" si="4"/>
        <v>1.2680786894235383E-2</v>
      </c>
      <c r="AD13" s="231"/>
      <c r="AE13" s="33">
        <f t="shared" si="5"/>
        <v>138.75</v>
      </c>
      <c r="AF13" s="50"/>
      <c r="AG13" s="33"/>
      <c r="AH13" s="33"/>
      <c r="AI13" s="33"/>
      <c r="AJ13" s="49"/>
      <c r="AK13" s="1"/>
      <c r="AL13" s="23">
        <f t="shared" si="7"/>
        <v>117</v>
      </c>
      <c r="AM13" s="24"/>
      <c r="AN13" s="24"/>
      <c r="AO13" s="24"/>
      <c r="AP13" s="24">
        <v>295</v>
      </c>
      <c r="AQ13" s="24"/>
      <c r="AR13" s="25">
        <f t="shared" si="8"/>
        <v>0.65730337078651691</v>
      </c>
      <c r="AS13" s="25"/>
      <c r="AT13" s="25"/>
      <c r="AU13" s="24"/>
      <c r="AV13" s="341">
        <f t="shared" si="9"/>
        <v>6.740238078917906E-3</v>
      </c>
      <c r="AW13" s="341"/>
      <c r="AX13" s="24">
        <f t="shared" si="10"/>
        <v>73.75</v>
      </c>
      <c r="AY13" s="351"/>
      <c r="AZ13" s="1"/>
      <c r="BA13" s="66"/>
      <c r="BB13" s="67"/>
      <c r="BC13" s="67"/>
      <c r="BD13" s="67"/>
      <c r="BE13" s="67"/>
      <c r="BF13" s="67"/>
      <c r="BG13" s="67"/>
      <c r="BH13" s="67"/>
      <c r="BI13" s="183"/>
      <c r="BJ13" s="67"/>
      <c r="BK13" s="67"/>
      <c r="BL13" s="67"/>
      <c r="BM13" s="67"/>
      <c r="BN13" s="66"/>
      <c r="BO13" s="67"/>
      <c r="BP13" s="67"/>
      <c r="BQ13" s="67"/>
      <c r="BR13" s="70"/>
      <c r="BS13" s="67"/>
      <c r="BT13" s="67"/>
      <c r="BU13" s="183"/>
      <c r="BV13" s="1"/>
      <c r="BW13">
        <f t="shared" si="11"/>
        <v>4</v>
      </c>
    </row>
    <row r="14" spans="2:90" x14ac:dyDescent="0.3">
      <c r="B14" s="17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60"/>
      <c r="O14" s="16">
        <f t="shared" si="2"/>
        <v>10971.2</v>
      </c>
      <c r="P14" s="42"/>
      <c r="Q14" s="453"/>
      <c r="R14" s="60"/>
      <c r="S14" s="60"/>
      <c r="T14" s="60"/>
      <c r="U14" s="42"/>
      <c r="V14" s="1"/>
      <c r="W14" s="34">
        <v>225</v>
      </c>
      <c r="X14" s="33"/>
      <c r="Y14" s="33"/>
      <c r="Z14" s="33"/>
      <c r="AA14" s="33">
        <f t="shared" si="3"/>
        <v>780</v>
      </c>
      <c r="AB14" s="33"/>
      <c r="AC14" s="46">
        <f t="shared" si="4"/>
        <v>1.4219046230129795E-2</v>
      </c>
      <c r="AD14" s="231"/>
      <c r="AE14" s="33">
        <f t="shared" si="5"/>
        <v>156</v>
      </c>
      <c r="AF14" s="50"/>
      <c r="AG14" s="33"/>
      <c r="AH14" s="33"/>
      <c r="AI14" s="33"/>
      <c r="AJ14" s="49"/>
      <c r="AK14" s="1"/>
      <c r="AL14" s="23">
        <f t="shared" si="7"/>
        <v>83</v>
      </c>
      <c r="AM14" s="24"/>
      <c r="AN14" s="24"/>
      <c r="AO14" s="24"/>
      <c r="AP14" s="24">
        <v>378</v>
      </c>
      <c r="AQ14" s="24"/>
      <c r="AR14" s="25">
        <f t="shared" si="8"/>
        <v>0.28135593220338984</v>
      </c>
      <c r="AS14" s="25"/>
      <c r="AT14" s="25"/>
      <c r="AU14" s="24"/>
      <c r="AV14" s="341">
        <f t="shared" si="9"/>
        <v>6.8907685576782849E-3</v>
      </c>
      <c r="AW14" s="341"/>
      <c r="AX14" s="24">
        <f t="shared" si="10"/>
        <v>75.599999999999994</v>
      </c>
      <c r="AY14" s="351"/>
      <c r="AZ14" s="1"/>
      <c r="BA14" s="66"/>
      <c r="BB14" s="67"/>
      <c r="BC14" s="67"/>
      <c r="BD14" s="67"/>
      <c r="BE14" s="67"/>
      <c r="BF14" s="67"/>
      <c r="BG14" s="67"/>
      <c r="BH14" s="67"/>
      <c r="BI14" s="183"/>
      <c r="BJ14" s="67"/>
      <c r="BK14" s="67"/>
      <c r="BL14" s="67"/>
      <c r="BM14" s="67"/>
      <c r="BN14" s="66"/>
      <c r="BO14" s="67"/>
      <c r="BP14" s="67"/>
      <c r="BQ14" s="67"/>
      <c r="BR14" s="70"/>
      <c r="BS14" s="67"/>
      <c r="BT14" s="67"/>
      <c r="BU14" s="183"/>
      <c r="BV14" s="1"/>
      <c r="BW14">
        <f t="shared" si="11"/>
        <v>5</v>
      </c>
      <c r="CL14" s="56"/>
    </row>
    <row r="15" spans="2:90" x14ac:dyDescent="0.3">
      <c r="B15" s="17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60"/>
      <c r="O15" s="16">
        <f t="shared" si="2"/>
        <v>11368.5</v>
      </c>
      <c r="P15" s="42"/>
      <c r="Q15" s="453"/>
      <c r="R15" s="60"/>
      <c r="S15" s="60"/>
      <c r="T15" s="60"/>
      <c r="U15" s="42"/>
      <c r="V15" s="1"/>
      <c r="W15" s="34">
        <v>247</v>
      </c>
      <c r="X15" s="33"/>
      <c r="Y15" s="33"/>
      <c r="Z15" s="33"/>
      <c r="AA15" s="33">
        <f t="shared" si="3"/>
        <v>1027</v>
      </c>
      <c r="AB15" s="33"/>
      <c r="AC15" s="46">
        <f t="shared" si="4"/>
        <v>1.5056222603392415E-2</v>
      </c>
      <c r="AD15" s="231"/>
      <c r="AE15" s="33">
        <f t="shared" si="5"/>
        <v>171.16666666666666</v>
      </c>
      <c r="AF15" s="50"/>
      <c r="AG15" s="33"/>
      <c r="AH15" s="33"/>
      <c r="AI15" s="33"/>
      <c r="AJ15" s="49"/>
      <c r="AK15" s="1"/>
      <c r="AL15" s="23">
        <f t="shared" si="7"/>
        <v>16</v>
      </c>
      <c r="AM15" s="24"/>
      <c r="AN15" s="24"/>
      <c r="AO15" s="24"/>
      <c r="AP15" s="24">
        <v>394</v>
      </c>
      <c r="AQ15" s="24"/>
      <c r="AR15" s="25">
        <f t="shared" si="8"/>
        <v>4.2328042328042326E-2</v>
      </c>
      <c r="AS15" s="25"/>
      <c r="AT15" s="25"/>
      <c r="AU15" s="24"/>
      <c r="AV15" s="341">
        <f t="shared" si="9"/>
        <v>5.7761944554397381E-3</v>
      </c>
      <c r="AW15" s="341"/>
      <c r="AX15" s="24">
        <f t="shared" si="10"/>
        <v>65.666666666666671</v>
      </c>
      <c r="AY15" s="351"/>
      <c r="AZ15" s="1"/>
      <c r="BA15" s="66"/>
      <c r="BB15" s="67"/>
      <c r="BC15" s="67"/>
      <c r="BD15" s="67"/>
      <c r="BE15" s="67"/>
      <c r="BF15" s="67"/>
      <c r="BG15" s="67"/>
      <c r="BH15" s="67"/>
      <c r="BI15" s="183"/>
      <c r="BJ15" s="67"/>
      <c r="BK15" s="67"/>
      <c r="BL15" s="67"/>
      <c r="BM15" s="67"/>
      <c r="BN15" s="66"/>
      <c r="BO15" s="67"/>
      <c r="BP15" s="67"/>
      <c r="BQ15" s="67"/>
      <c r="BR15" s="70"/>
      <c r="BS15" s="67"/>
      <c r="BT15" s="67"/>
      <c r="BU15" s="183"/>
      <c r="BV15" s="1"/>
      <c r="BW15">
        <f t="shared" si="11"/>
        <v>6</v>
      </c>
      <c r="CL15" s="56"/>
    </row>
    <row r="16" spans="2:90" x14ac:dyDescent="0.3">
      <c r="B16" s="17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60"/>
      <c r="O16" s="16">
        <f t="shared" si="2"/>
        <v>12205</v>
      </c>
      <c r="P16" s="42"/>
      <c r="Q16" s="453"/>
      <c r="R16" s="60"/>
      <c r="S16" s="60"/>
      <c r="T16" s="60"/>
      <c r="U16" s="42"/>
      <c r="V16" s="1"/>
      <c r="W16" s="34">
        <v>268</v>
      </c>
      <c r="X16" s="33"/>
      <c r="Y16" s="33"/>
      <c r="Z16" s="33"/>
      <c r="AA16" s="33">
        <f t="shared" si="3"/>
        <v>1295</v>
      </c>
      <c r="AB16" s="33"/>
      <c r="AC16" s="46">
        <f t="shared" si="4"/>
        <v>1.5157722244981565E-2</v>
      </c>
      <c r="AD16" s="231"/>
      <c r="AE16" s="33">
        <f t="shared" si="5"/>
        <v>185</v>
      </c>
      <c r="AF16" s="50"/>
      <c r="AG16" s="33"/>
      <c r="AH16" s="33"/>
      <c r="AI16" s="33"/>
      <c r="AJ16" s="49"/>
      <c r="AK16" s="1"/>
      <c r="AL16" s="23">
        <f t="shared" si="7"/>
        <v>1474</v>
      </c>
      <c r="AM16" s="24"/>
      <c r="AN16" s="24"/>
      <c r="AO16" s="24"/>
      <c r="AP16" s="24">
        <v>1868</v>
      </c>
      <c r="AQ16" s="24"/>
      <c r="AR16" s="25">
        <f t="shared" si="8"/>
        <v>3.7411167512690353</v>
      </c>
      <c r="AS16" s="25"/>
      <c r="AT16" s="25"/>
      <c r="AU16" s="24"/>
      <c r="AV16" s="341">
        <f t="shared" si="9"/>
        <v>2.1864575408205068E-2</v>
      </c>
      <c r="AW16" s="341"/>
      <c r="AX16" s="24">
        <f t="shared" si="10"/>
        <v>266.85714285714283</v>
      </c>
      <c r="AY16" s="351"/>
      <c r="AZ16" s="1"/>
      <c r="BA16" s="66"/>
      <c r="BB16" s="67"/>
      <c r="BC16" s="67"/>
      <c r="BD16" s="67"/>
      <c r="BE16" s="67"/>
      <c r="BF16" s="67"/>
      <c r="BG16" s="67"/>
      <c r="BH16" s="67"/>
      <c r="BI16" s="183"/>
      <c r="BJ16" s="67"/>
      <c r="BK16" s="67"/>
      <c r="BL16" s="67"/>
      <c r="BM16" s="67"/>
      <c r="BN16" s="66"/>
      <c r="BO16" s="67"/>
      <c r="BP16" s="67"/>
      <c r="BQ16" s="67"/>
      <c r="BR16" s="70"/>
      <c r="BS16" s="67"/>
      <c r="BT16" s="67"/>
      <c r="BU16" s="183"/>
      <c r="BV16" s="1"/>
      <c r="BW16">
        <f t="shared" si="11"/>
        <v>7</v>
      </c>
      <c r="CL16" s="56"/>
    </row>
    <row r="17" spans="2:90" x14ac:dyDescent="0.3">
      <c r="B17" s="17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60"/>
      <c r="O17" s="16">
        <f t="shared" si="2"/>
        <v>13015.75</v>
      </c>
      <c r="P17" s="42"/>
      <c r="Q17" s="453"/>
      <c r="R17" s="60"/>
      <c r="S17" s="60"/>
      <c r="T17" s="60"/>
      <c r="U17" s="42"/>
      <c r="V17" s="1"/>
      <c r="W17" s="34">
        <f>401-1</f>
        <v>400</v>
      </c>
      <c r="X17" s="33"/>
      <c r="Y17" s="33"/>
      <c r="Z17" s="33"/>
      <c r="AA17" s="33">
        <f t="shared" si="3"/>
        <v>1695</v>
      </c>
      <c r="AB17" s="33"/>
      <c r="AC17" s="46">
        <f t="shared" si="4"/>
        <v>1.6278355069819256E-2</v>
      </c>
      <c r="AD17" s="231"/>
      <c r="AE17" s="33">
        <f t="shared" si="5"/>
        <v>211.875</v>
      </c>
      <c r="AF17" s="50"/>
      <c r="AG17" s="33"/>
      <c r="AH17" s="33"/>
      <c r="AI17" s="33"/>
      <c r="AJ17" s="49"/>
      <c r="AK17" s="1"/>
      <c r="AL17" s="23">
        <f t="shared" si="7"/>
        <v>654</v>
      </c>
      <c r="AM17" s="24"/>
      <c r="AN17" s="24"/>
      <c r="AO17" s="24"/>
      <c r="AP17" s="24">
        <v>2522</v>
      </c>
      <c r="AQ17" s="24"/>
      <c r="AR17" s="25">
        <f t="shared" si="8"/>
        <v>0.3501070663811563</v>
      </c>
      <c r="AS17" s="25"/>
      <c r="AT17" s="25"/>
      <c r="AU17" s="24"/>
      <c r="AV17" s="341">
        <f t="shared" si="9"/>
        <v>2.4220655744002458E-2</v>
      </c>
      <c r="AW17" s="341"/>
      <c r="AX17" s="24">
        <f t="shared" si="10"/>
        <v>315.25</v>
      </c>
      <c r="AY17" s="351"/>
      <c r="AZ17" s="1"/>
      <c r="BA17" s="66"/>
      <c r="BB17" s="67"/>
      <c r="BC17" s="67"/>
      <c r="BD17" s="67"/>
      <c r="BE17" s="67"/>
      <c r="BF17" s="67"/>
      <c r="BG17" s="67"/>
      <c r="BH17" s="67"/>
      <c r="BI17" s="183"/>
      <c r="BJ17" s="67"/>
      <c r="BK17" s="67"/>
      <c r="BL17" s="67"/>
      <c r="BM17" s="67"/>
      <c r="BN17" s="66"/>
      <c r="BO17" s="67"/>
      <c r="BP17" s="67"/>
      <c r="BQ17" s="67"/>
      <c r="BR17" s="70"/>
      <c r="BS17" s="67"/>
      <c r="BT17" s="67"/>
      <c r="BU17" s="183"/>
      <c r="BV17" s="1"/>
      <c r="BW17">
        <f t="shared" si="11"/>
        <v>8</v>
      </c>
      <c r="CL17" s="56"/>
    </row>
    <row r="18" spans="2:90" x14ac:dyDescent="0.3">
      <c r="B18" s="476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60"/>
      <c r="O18" s="16">
        <f t="shared" si="2"/>
        <v>13730.888888888889</v>
      </c>
      <c r="P18" s="42"/>
      <c r="Q18" s="453"/>
      <c r="R18" s="60"/>
      <c r="S18" s="60"/>
      <c r="T18" s="60"/>
      <c r="U18" s="42"/>
      <c r="V18" s="477"/>
      <c r="W18" s="34">
        <v>525</v>
      </c>
      <c r="X18" s="33"/>
      <c r="Y18" s="33"/>
      <c r="Z18" s="33"/>
      <c r="AA18" s="33">
        <f t="shared" si="3"/>
        <v>2220</v>
      </c>
      <c r="AB18" s="33"/>
      <c r="AC18" s="46">
        <f t="shared" si="4"/>
        <v>1.7964362588810307E-2</v>
      </c>
      <c r="AD18" s="231"/>
      <c r="AE18" s="33">
        <f t="shared" si="5"/>
        <v>246.66666666666666</v>
      </c>
      <c r="AF18" s="50"/>
      <c r="AG18" s="33"/>
      <c r="AH18" s="33"/>
      <c r="AI18" s="33"/>
      <c r="AJ18" s="49"/>
      <c r="AK18" s="1"/>
      <c r="AL18" s="23">
        <f t="shared" si="7"/>
        <v>709</v>
      </c>
      <c r="AM18" s="24"/>
      <c r="AN18" s="24"/>
      <c r="AO18" s="24"/>
      <c r="AP18" s="24">
        <v>3231</v>
      </c>
      <c r="AQ18" s="24"/>
      <c r="AR18" s="25">
        <f t="shared" si="8"/>
        <v>0.28112609040444092</v>
      </c>
      <c r="AS18" s="25"/>
      <c r="AT18" s="25"/>
      <c r="AU18" s="24"/>
      <c r="AV18" s="341">
        <f t="shared" si="9"/>
        <v>2.6145430416417162E-2</v>
      </c>
      <c r="AW18" s="341"/>
      <c r="AX18" s="24">
        <f t="shared" si="10"/>
        <v>359</v>
      </c>
      <c r="AY18" s="351"/>
      <c r="AZ18" s="1"/>
      <c r="BA18" s="66"/>
      <c r="BB18" s="67"/>
      <c r="BC18" s="67"/>
      <c r="BD18" s="67"/>
      <c r="BE18" s="67"/>
      <c r="BF18" s="67"/>
      <c r="BG18" s="67"/>
      <c r="BH18" s="67"/>
      <c r="BI18" s="183"/>
      <c r="BJ18" s="67"/>
      <c r="BK18" s="67"/>
      <c r="BL18" s="67"/>
      <c r="BM18" s="67"/>
      <c r="BN18" s="66"/>
      <c r="BO18" s="67"/>
      <c r="BP18" s="67"/>
      <c r="BQ18" s="67"/>
      <c r="BR18" s="70"/>
      <c r="BS18" s="67"/>
      <c r="BT18" s="67"/>
      <c r="BU18" s="183"/>
      <c r="BV18" s="1"/>
      <c r="BW18">
        <f t="shared" si="11"/>
        <v>9</v>
      </c>
      <c r="CL18" s="56"/>
    </row>
    <row r="19" spans="2:90" x14ac:dyDescent="0.3">
      <c r="B19" s="390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60"/>
      <c r="O19" s="16">
        <f t="shared" si="2"/>
        <v>14349.1</v>
      </c>
      <c r="P19" s="42"/>
      <c r="Q19" s="453"/>
      <c r="R19" s="60"/>
      <c r="S19" s="60"/>
      <c r="T19" s="60"/>
      <c r="U19" s="42"/>
      <c r="V19" s="391"/>
      <c r="W19" s="34">
        <v>363</v>
      </c>
      <c r="X19" s="33"/>
      <c r="Y19" s="33"/>
      <c r="Z19" s="33"/>
      <c r="AA19" s="33">
        <f t="shared" si="3"/>
        <v>2583</v>
      </c>
      <c r="AB19" s="33"/>
      <c r="AC19" s="46">
        <f t="shared" si="4"/>
        <v>1.8001128990668403E-2</v>
      </c>
      <c r="AD19" s="231"/>
      <c r="AE19" s="33">
        <f t="shared" si="5"/>
        <v>258.3</v>
      </c>
      <c r="AF19" s="50"/>
      <c r="AG19" s="33"/>
      <c r="AH19" s="33"/>
      <c r="AI19" s="33"/>
      <c r="AJ19" s="49"/>
      <c r="AK19" s="391"/>
      <c r="AL19" s="23">
        <f t="shared" si="7"/>
        <v>1328</v>
      </c>
      <c r="AM19" s="24"/>
      <c r="AN19" s="24"/>
      <c r="AO19" s="24"/>
      <c r="AP19" s="24">
        <v>4559</v>
      </c>
      <c r="AQ19" s="24"/>
      <c r="AR19" s="25">
        <f t="shared" si="8"/>
        <v>0.41101826060043328</v>
      </c>
      <c r="AS19" s="25"/>
      <c r="AT19" s="25"/>
      <c r="AU19" s="24"/>
      <c r="AV19" s="341">
        <f t="shared" si="9"/>
        <v>3.1772027513920734E-2</v>
      </c>
      <c r="AW19" s="341"/>
      <c r="AX19" s="24">
        <f t="shared" si="10"/>
        <v>455.9</v>
      </c>
      <c r="AY19" s="351"/>
      <c r="AZ19" s="391"/>
      <c r="BA19" s="66"/>
      <c r="BB19" s="67"/>
      <c r="BC19" s="67"/>
      <c r="BD19" s="67"/>
      <c r="BE19" s="67"/>
      <c r="BF19" s="67"/>
      <c r="BG19" s="67"/>
      <c r="BH19" s="67"/>
      <c r="BI19" s="183"/>
      <c r="BJ19" s="67"/>
      <c r="BK19" s="67"/>
      <c r="BL19" s="67"/>
      <c r="BM19" s="67"/>
      <c r="BN19" s="66"/>
      <c r="BO19" s="67"/>
      <c r="BP19" s="67"/>
      <c r="BQ19" s="67"/>
      <c r="BR19" s="70"/>
      <c r="BS19" s="67"/>
      <c r="BT19" s="67"/>
      <c r="BU19" s="183"/>
      <c r="BV19" s="1"/>
      <c r="BW19">
        <f t="shared" si="11"/>
        <v>10</v>
      </c>
      <c r="CL19" s="56"/>
    </row>
    <row r="20" spans="2:90" x14ac:dyDescent="0.3">
      <c r="B20" s="171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60"/>
      <c r="O20" s="16">
        <f t="shared" si="2"/>
        <v>14894.90909090909</v>
      </c>
      <c r="P20" s="42"/>
      <c r="Q20" s="453"/>
      <c r="R20" s="60"/>
      <c r="S20" s="60"/>
      <c r="T20" s="60"/>
      <c r="U20" s="42"/>
      <c r="V20" s="10"/>
      <c r="W20" s="34">
        <f>573-15</f>
        <v>558</v>
      </c>
      <c r="X20" s="33"/>
      <c r="Y20" s="33"/>
      <c r="Z20" s="33"/>
      <c r="AA20" s="33">
        <f t="shared" si="3"/>
        <v>3141</v>
      </c>
      <c r="AB20" s="33"/>
      <c r="AC20" s="46">
        <f t="shared" si="4"/>
        <v>1.9170674544078514E-2</v>
      </c>
      <c r="AD20" s="231"/>
      <c r="AE20" s="33">
        <f t="shared" si="5"/>
        <v>285.54545454545456</v>
      </c>
      <c r="AF20" s="50"/>
      <c r="AG20" s="33"/>
      <c r="AH20" s="33"/>
      <c r="AI20" s="33"/>
      <c r="AJ20" s="49"/>
      <c r="AK20" s="10"/>
      <c r="AL20" s="23">
        <f t="shared" si="7"/>
        <v>947</v>
      </c>
      <c r="AM20" s="24"/>
      <c r="AN20" s="24"/>
      <c r="AO20" s="24"/>
      <c r="AP20" s="24">
        <v>5506</v>
      </c>
      <c r="AQ20" s="24"/>
      <c r="AR20" s="25">
        <f t="shared" si="8"/>
        <v>0.20772099144549244</v>
      </c>
      <c r="AS20" s="25"/>
      <c r="AT20" s="25"/>
      <c r="AU20" s="24"/>
      <c r="AV20" s="341">
        <f t="shared" si="9"/>
        <v>3.3605136593344888E-2</v>
      </c>
      <c r="AW20" s="341"/>
      <c r="AX20" s="24">
        <f t="shared" si="10"/>
        <v>500.54545454545456</v>
      </c>
      <c r="AY20" s="351"/>
      <c r="AZ20" s="10"/>
      <c r="BA20" s="66"/>
      <c r="BB20" s="67"/>
      <c r="BC20" s="67"/>
      <c r="BD20" s="67"/>
      <c r="BE20" s="67"/>
      <c r="BF20" s="67"/>
      <c r="BG20" s="67"/>
      <c r="BH20" s="67"/>
      <c r="BI20" s="183"/>
      <c r="BJ20" s="67"/>
      <c r="BK20" s="67"/>
      <c r="BL20" s="67"/>
      <c r="BM20" s="67"/>
      <c r="BN20" s="66"/>
      <c r="BO20" s="67"/>
      <c r="BP20" s="67"/>
      <c r="BQ20" s="67"/>
      <c r="BR20" s="70"/>
      <c r="BS20" s="67"/>
      <c r="BT20" s="67"/>
      <c r="BU20" s="183"/>
      <c r="BV20" s="1"/>
      <c r="BW20">
        <f t="shared" si="11"/>
        <v>11</v>
      </c>
      <c r="CL20" s="56"/>
    </row>
    <row r="21" spans="2:90" x14ac:dyDescent="0.3">
      <c r="B21" s="17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60"/>
      <c r="O21" s="16">
        <f t="shared" si="2"/>
        <v>15715.5</v>
      </c>
      <c r="P21" s="42"/>
      <c r="Q21" s="453"/>
      <c r="R21" s="60"/>
      <c r="S21" s="60"/>
      <c r="T21" s="60"/>
      <c r="U21" s="42"/>
      <c r="V21" s="1"/>
      <c r="W21" s="34">
        <f>748+164</f>
        <v>912</v>
      </c>
      <c r="X21" s="33"/>
      <c r="Y21" s="33"/>
      <c r="Z21" s="33"/>
      <c r="AA21" s="33">
        <f t="shared" si="3"/>
        <v>4053</v>
      </c>
      <c r="AB21" s="33"/>
      <c r="AC21" s="46">
        <f t="shared" si="4"/>
        <v>2.1491521109732431E-2</v>
      </c>
      <c r="AD21" s="33"/>
      <c r="AE21" s="33">
        <f t="shared" si="5"/>
        <v>337.75</v>
      </c>
      <c r="AF21" s="50"/>
      <c r="AG21" s="33"/>
      <c r="AH21" s="33"/>
      <c r="AI21" s="33"/>
      <c r="AJ21" s="50"/>
      <c r="AK21" s="1"/>
      <c r="AL21" s="23">
        <f t="shared" si="7"/>
        <v>1745</v>
      </c>
      <c r="AM21" s="24"/>
      <c r="AN21" s="24"/>
      <c r="AO21" s="24"/>
      <c r="AP21" s="24">
        <v>7251</v>
      </c>
      <c r="AQ21" s="24"/>
      <c r="AR21" s="25">
        <f t="shared" si="8"/>
        <v>0.31692698873955683</v>
      </c>
      <c r="AS21" s="25"/>
      <c r="AT21" s="25"/>
      <c r="AU21" s="24"/>
      <c r="AV21" s="341">
        <f t="shared" si="9"/>
        <v>3.8449301644872896E-2</v>
      </c>
      <c r="AW21" s="341"/>
      <c r="AX21" s="24">
        <f t="shared" si="10"/>
        <v>604.25</v>
      </c>
      <c r="AY21" s="351"/>
      <c r="AZ21" s="1"/>
      <c r="BA21" s="66"/>
      <c r="BB21" s="67"/>
      <c r="BC21" s="67"/>
      <c r="BD21" s="67"/>
      <c r="BE21" s="67"/>
      <c r="BF21" s="67"/>
      <c r="BG21" s="67"/>
      <c r="BH21" s="67"/>
      <c r="BI21" s="183"/>
      <c r="BJ21" s="67"/>
      <c r="BK21" s="67"/>
      <c r="BL21" s="67"/>
      <c r="BM21" s="67"/>
      <c r="BN21" s="66"/>
      <c r="BO21" s="67"/>
      <c r="BP21" s="67"/>
      <c r="BQ21" s="67"/>
      <c r="BR21" s="70"/>
      <c r="BS21" s="67"/>
      <c r="BT21" s="67"/>
      <c r="BU21" s="183"/>
      <c r="BV21" s="1"/>
      <c r="BW21">
        <f t="shared" si="11"/>
        <v>12</v>
      </c>
      <c r="CL21" s="56"/>
    </row>
    <row r="22" spans="2:90" x14ac:dyDescent="0.3">
      <c r="B22" s="17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60"/>
      <c r="O22" s="16">
        <f t="shared" si="2"/>
        <v>16543</v>
      </c>
      <c r="P22" s="42"/>
      <c r="Q22" s="453"/>
      <c r="R22" s="60"/>
      <c r="S22" s="60"/>
      <c r="T22" s="60"/>
      <c r="U22" s="42"/>
      <c r="V22" s="1"/>
      <c r="W22" s="34">
        <f>1046+3</f>
        <v>1049</v>
      </c>
      <c r="X22" s="33"/>
      <c r="Y22" s="33"/>
      <c r="Z22" s="33"/>
      <c r="AA22" s="33">
        <f t="shared" si="3"/>
        <v>5102</v>
      </c>
      <c r="AB22" s="33"/>
      <c r="AC22" s="46">
        <f t="shared" si="4"/>
        <v>2.3723722327361328E-2</v>
      </c>
      <c r="AD22" s="33"/>
      <c r="AE22" s="33">
        <f t="shared" si="5"/>
        <v>392.46153846153845</v>
      </c>
      <c r="AF22" s="50"/>
      <c r="AG22" s="33"/>
      <c r="AH22" s="33"/>
      <c r="AI22" s="33"/>
      <c r="AJ22" s="50"/>
      <c r="AK22" s="1"/>
      <c r="AL22" s="23">
        <f t="shared" si="7"/>
        <v>1627</v>
      </c>
      <c r="AM22" s="24"/>
      <c r="AN22" s="24"/>
      <c r="AO22" s="24"/>
      <c r="AP22" s="24">
        <v>8878</v>
      </c>
      <c r="AQ22" s="24"/>
      <c r="AR22" s="25">
        <f t="shared" si="8"/>
        <v>0.22438284374569026</v>
      </c>
      <c r="AS22" s="25"/>
      <c r="AT22" s="25"/>
      <c r="AU22" s="24"/>
      <c r="AV22" s="341">
        <f t="shared" si="9"/>
        <v>4.1281694790731849E-2</v>
      </c>
      <c r="AW22" s="341"/>
      <c r="AX22" s="24">
        <f t="shared" si="10"/>
        <v>682.92307692307691</v>
      </c>
      <c r="AY22" s="351"/>
      <c r="AZ22" s="1"/>
      <c r="BA22" s="66"/>
      <c r="BB22" s="67"/>
      <c r="BC22" s="67"/>
      <c r="BD22" s="67"/>
      <c r="BE22" s="67"/>
      <c r="BF22" s="67"/>
      <c r="BG22" s="67"/>
      <c r="BH22" s="67"/>
      <c r="BI22" s="183"/>
      <c r="BJ22" s="67"/>
      <c r="BK22" s="67"/>
      <c r="BL22" s="67"/>
      <c r="BM22" s="67"/>
      <c r="BN22" s="66"/>
      <c r="BO22" s="67"/>
      <c r="BP22" s="67"/>
      <c r="BQ22" s="67"/>
      <c r="BR22" s="70"/>
      <c r="BS22" s="67"/>
      <c r="BT22" s="67"/>
      <c r="BU22" s="183"/>
      <c r="BV22" s="1"/>
      <c r="BW22">
        <f t="shared" si="11"/>
        <v>13</v>
      </c>
    </row>
    <row r="23" spans="2:90" x14ac:dyDescent="0.3">
      <c r="B23" s="17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60"/>
      <c r="O23" s="16">
        <f t="shared" si="2"/>
        <v>17491.214285714286</v>
      </c>
      <c r="P23" s="42"/>
      <c r="Q23" s="453"/>
      <c r="R23" s="60"/>
      <c r="S23" s="60"/>
      <c r="T23" s="60"/>
      <c r="U23" s="42"/>
      <c r="V23" s="1"/>
      <c r="W23" s="34">
        <f>968+6</f>
        <v>974</v>
      </c>
      <c r="X23" s="33"/>
      <c r="Y23" s="33"/>
      <c r="Z23" s="33"/>
      <c r="AA23" s="33">
        <f t="shared" si="3"/>
        <v>6076</v>
      </c>
      <c r="AB23" s="33"/>
      <c r="AC23" s="46">
        <f t="shared" si="4"/>
        <v>2.4812456866100122E-2</v>
      </c>
      <c r="AD23" s="33"/>
      <c r="AE23" s="33">
        <f t="shared" si="5"/>
        <v>434</v>
      </c>
      <c r="AF23" s="50"/>
      <c r="AG23" s="33"/>
      <c r="AH23" s="33"/>
      <c r="AI23" s="33"/>
      <c r="AJ23" s="50"/>
      <c r="AK23" s="1"/>
      <c r="AL23" s="23">
        <f t="shared" si="7"/>
        <v>1525</v>
      </c>
      <c r="AM23" s="24"/>
      <c r="AN23" s="24"/>
      <c r="AO23" s="24"/>
      <c r="AP23" s="24">
        <v>10403</v>
      </c>
      <c r="AQ23" s="24"/>
      <c r="AR23" s="25">
        <f t="shared" si="8"/>
        <v>0.17177292182924081</v>
      </c>
      <c r="AS23" s="25"/>
      <c r="AT23" s="25"/>
      <c r="AU23" s="24"/>
      <c r="AV23" s="341">
        <f t="shared" si="9"/>
        <v>4.2482552465115141E-2</v>
      </c>
      <c r="AW23" s="341"/>
      <c r="AX23" s="24">
        <f t="shared" si="10"/>
        <v>743.07142857142856</v>
      </c>
      <c r="AY23" s="351"/>
      <c r="AZ23" s="1"/>
      <c r="BA23" s="66"/>
      <c r="BB23" s="67"/>
      <c r="BC23" s="67"/>
      <c r="BD23" s="67"/>
      <c r="BE23" s="67"/>
      <c r="BF23" s="67"/>
      <c r="BG23" s="67"/>
      <c r="BH23" s="67"/>
      <c r="BI23" s="183"/>
      <c r="BJ23" s="67"/>
      <c r="BK23" s="67"/>
      <c r="BL23" s="67"/>
      <c r="BM23" s="67"/>
      <c r="BN23" s="66"/>
      <c r="BO23" s="67"/>
      <c r="BP23" s="67"/>
      <c r="BQ23" s="67"/>
      <c r="BR23" s="70"/>
      <c r="BS23" s="67"/>
      <c r="BT23" s="67"/>
      <c r="BU23" s="183"/>
      <c r="BV23" s="1"/>
      <c r="BW23">
        <f t="shared" si="11"/>
        <v>14</v>
      </c>
    </row>
    <row r="24" spans="2:90" x14ac:dyDescent="0.3">
      <c r="B24" s="17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29" t="s">
        <v>47</v>
      </c>
      <c r="J24" s="38">
        <f t="shared" si="1"/>
        <v>0.13183761643600664</v>
      </c>
      <c r="K24" s="60"/>
      <c r="L24" s="60"/>
      <c r="M24" s="60"/>
      <c r="N24" s="60"/>
      <c r="O24" s="16">
        <f t="shared" si="2"/>
        <v>18631.400000000001</v>
      </c>
      <c r="P24" s="42"/>
      <c r="Q24" s="453"/>
      <c r="R24" s="60"/>
      <c r="S24" s="60"/>
      <c r="T24" s="60"/>
      <c r="U24" s="42"/>
      <c r="V24" s="1"/>
      <c r="W24" s="34">
        <f>7121-6076</f>
        <v>1045</v>
      </c>
      <c r="X24" s="33"/>
      <c r="Y24" s="33"/>
      <c r="Z24" s="33"/>
      <c r="AA24" s="33">
        <f>+AA23+W24+21+653</f>
        <v>7795</v>
      </c>
      <c r="AB24" s="339" t="s">
        <v>47</v>
      </c>
      <c r="AC24" s="46">
        <f t="shared" si="4"/>
        <v>2.7891981636735116E-2</v>
      </c>
      <c r="AD24" s="33"/>
      <c r="AE24" s="33">
        <f t="shared" si="5"/>
        <v>519.66666666666663</v>
      </c>
      <c r="AF24" s="50"/>
      <c r="AG24" s="33"/>
      <c r="AH24" s="33"/>
      <c r="AI24" s="33"/>
      <c r="AJ24" s="50"/>
      <c r="AK24" s="1"/>
      <c r="AL24" s="23">
        <f t="shared" si="7"/>
        <v>1835</v>
      </c>
      <c r="AM24" s="24"/>
      <c r="AN24" s="24"/>
      <c r="AO24" s="24"/>
      <c r="AP24" s="24">
        <v>12238</v>
      </c>
      <c r="AQ24" s="24"/>
      <c r="AR24" s="25">
        <f t="shared" si="8"/>
        <v>0.17639142555032203</v>
      </c>
      <c r="AS24" s="25"/>
      <c r="AT24" s="25"/>
      <c r="AU24" s="24"/>
      <c r="AV24" s="341">
        <f t="shared" si="9"/>
        <v>4.3789874441355278E-2</v>
      </c>
      <c r="AW24" s="341"/>
      <c r="AX24" s="24">
        <f t="shared" si="10"/>
        <v>815.86666666666667</v>
      </c>
      <c r="AY24" s="351"/>
      <c r="AZ24" s="1"/>
      <c r="BA24" s="66">
        <v>698344</v>
      </c>
      <c r="BB24" s="67"/>
      <c r="BC24" s="67">
        <f>+BA24</f>
        <v>698344</v>
      </c>
      <c r="BD24" s="67"/>
      <c r="BE24" s="67">
        <f t="shared" ref="BE24:BE68" si="12">+D24</f>
        <v>32284</v>
      </c>
      <c r="BF24" s="67"/>
      <c r="BG24" s="67"/>
      <c r="BH24" s="67"/>
      <c r="BI24" s="183"/>
      <c r="BJ24" s="67"/>
      <c r="BK24" s="67"/>
      <c r="BL24" s="67"/>
      <c r="BM24" s="67"/>
      <c r="BN24" s="66"/>
      <c r="BO24" s="67"/>
      <c r="BP24" s="67">
        <f>+BE24</f>
        <v>32284</v>
      </c>
      <c r="BQ24" s="67"/>
      <c r="BR24" s="74">
        <f t="shared" ref="BR24:BR68" si="13">+BP24/BC24</f>
        <v>4.6229365470312624E-2</v>
      </c>
      <c r="BS24" s="67"/>
      <c r="BT24" s="67"/>
      <c r="BU24" s="183"/>
      <c r="BV24" s="1"/>
      <c r="BW24">
        <f t="shared" si="11"/>
        <v>15</v>
      </c>
    </row>
    <row r="25" spans="2:90" x14ac:dyDescent="0.3">
      <c r="B25" s="476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/>
      <c r="O25" s="16">
        <f t="shared" si="2"/>
        <v>19604.1875</v>
      </c>
      <c r="P25" s="41"/>
      <c r="Q25" s="17"/>
      <c r="R25" s="16"/>
      <c r="S25" s="16"/>
      <c r="T25" s="16"/>
      <c r="U25" s="41"/>
      <c r="V25" s="477"/>
      <c r="W25" s="34">
        <f>1331-1</f>
        <v>1330</v>
      </c>
      <c r="X25" s="33"/>
      <c r="Y25" s="33"/>
      <c r="Z25" s="33"/>
      <c r="AA25" s="33">
        <f t="shared" ref="AA25:AA34" si="15">+AA24+W25</f>
        <v>9125</v>
      </c>
      <c r="AB25" s="33"/>
      <c r="AC25" s="46">
        <f t="shared" si="4"/>
        <v>2.9091361220657575E-2</v>
      </c>
      <c r="AD25" s="33"/>
      <c r="AE25" s="33">
        <f t="shared" si="5"/>
        <v>570.3125</v>
      </c>
      <c r="AF25" s="50"/>
      <c r="AG25" s="33"/>
      <c r="AH25" s="33"/>
      <c r="AI25" s="33"/>
      <c r="AJ25" s="50"/>
      <c r="AK25" s="1"/>
      <c r="AL25" s="23">
        <f t="shared" si="7"/>
        <v>2587</v>
      </c>
      <c r="AM25" s="24"/>
      <c r="AN25" s="24"/>
      <c r="AO25" s="24"/>
      <c r="AP25" s="24">
        <v>14825</v>
      </c>
      <c r="AQ25" s="24"/>
      <c r="AR25" s="25">
        <f t="shared" si="8"/>
        <v>0.21139075012256905</v>
      </c>
      <c r="AS25" s="25"/>
      <c r="AT25" s="25"/>
      <c r="AU25" s="24"/>
      <c r="AV25" s="341">
        <f t="shared" si="9"/>
        <v>4.726349918862998E-2</v>
      </c>
      <c r="AW25" s="341"/>
      <c r="AX25" s="24">
        <f t="shared" si="10"/>
        <v>926.5625</v>
      </c>
      <c r="AY25" s="351"/>
      <c r="AZ25" s="1"/>
      <c r="BA25" s="66">
        <v>934611</v>
      </c>
      <c r="BB25" s="67"/>
      <c r="BC25" s="67">
        <f>+BC24+BA25</f>
        <v>1632955</v>
      </c>
      <c r="BD25" s="67"/>
      <c r="BE25" s="67">
        <f t="shared" si="12"/>
        <v>34196</v>
      </c>
      <c r="BF25" s="67"/>
      <c r="BG25" s="67"/>
      <c r="BH25" s="67"/>
      <c r="BI25" s="183"/>
      <c r="BJ25" s="67"/>
      <c r="BK25" s="67"/>
      <c r="BL25" s="67"/>
      <c r="BM25" s="67"/>
      <c r="BN25" s="66"/>
      <c r="BO25" s="67"/>
      <c r="BP25" s="67">
        <f t="shared" ref="BP25:BP68" si="16">+BP24+BE25</f>
        <v>66480</v>
      </c>
      <c r="BQ25" s="67"/>
      <c r="BR25" s="74">
        <f t="shared" si="13"/>
        <v>4.0711470922346296E-2</v>
      </c>
      <c r="BS25" s="67"/>
      <c r="BT25" s="86"/>
      <c r="BU25" s="183"/>
      <c r="BV25" s="1"/>
      <c r="BW25">
        <f t="shared" si="11"/>
        <v>16</v>
      </c>
    </row>
    <row r="26" spans="2:90" x14ac:dyDescent="0.3">
      <c r="B26" s="390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/>
      <c r="O26" s="16">
        <f t="shared" si="2"/>
        <v>19940.176470588234</v>
      </c>
      <c r="P26" s="41"/>
      <c r="Q26" s="17">
        <f>SUM(D20:D26)</f>
        <v>193182</v>
      </c>
      <c r="R26" s="16"/>
      <c r="S26" s="16"/>
      <c r="T26" s="16"/>
      <c r="U26" s="41"/>
      <c r="V26" s="391"/>
      <c r="W26" s="34">
        <v>1165</v>
      </c>
      <c r="X26" s="33"/>
      <c r="Y26" s="33"/>
      <c r="Z26" s="33"/>
      <c r="AA26" s="33">
        <f t="shared" si="15"/>
        <v>10290</v>
      </c>
      <c r="AB26" s="33"/>
      <c r="AC26" s="46">
        <f t="shared" si="4"/>
        <v>3.0355504553325682E-2</v>
      </c>
      <c r="AD26" s="33"/>
      <c r="AE26" s="33">
        <f t="shared" si="5"/>
        <v>605.29411764705878</v>
      </c>
      <c r="AF26" s="50"/>
      <c r="AG26" s="33">
        <f>SUM(W20:W26)</f>
        <v>7033</v>
      </c>
      <c r="AH26" s="33"/>
      <c r="AI26" s="33"/>
      <c r="AJ26" s="50"/>
      <c r="AK26" s="391"/>
      <c r="AL26" s="23">
        <f t="shared" si="7"/>
        <v>3152</v>
      </c>
      <c r="AM26" s="24"/>
      <c r="AN26" s="24"/>
      <c r="AO26" s="24"/>
      <c r="AP26" s="24">
        <v>17977</v>
      </c>
      <c r="AQ26" s="24"/>
      <c r="AR26" s="25">
        <f t="shared" si="8"/>
        <v>0.21261382799325465</v>
      </c>
      <c r="AS26" s="25"/>
      <c r="AT26" s="25"/>
      <c r="AU26" s="24"/>
      <c r="AV26" s="341">
        <f t="shared" si="9"/>
        <v>5.3032157954823696E-2</v>
      </c>
      <c r="AW26" s="341"/>
      <c r="AX26" s="24">
        <f t="shared" si="10"/>
        <v>1057.4705882352941</v>
      </c>
      <c r="AY26" s="351"/>
      <c r="AZ26" s="391"/>
      <c r="BA26" s="66">
        <v>139414</v>
      </c>
      <c r="BB26" s="67"/>
      <c r="BC26" s="67">
        <f>+BC25+BA26</f>
        <v>1772369</v>
      </c>
      <c r="BD26" s="67"/>
      <c r="BE26" s="67">
        <f t="shared" si="12"/>
        <v>25316</v>
      </c>
      <c r="BF26" s="67"/>
      <c r="BG26" s="67"/>
      <c r="BH26" s="67"/>
      <c r="BI26" s="183"/>
      <c r="BJ26" s="67"/>
      <c r="BK26" s="67"/>
      <c r="BL26" s="67"/>
      <c r="BM26" s="67"/>
      <c r="BN26" s="66"/>
      <c r="BO26" s="67"/>
      <c r="BP26" s="67">
        <f t="shared" si="16"/>
        <v>91796</v>
      </c>
      <c r="BQ26" s="67"/>
      <c r="BR26" s="74">
        <f t="shared" si="13"/>
        <v>5.1792826437384087E-2</v>
      </c>
      <c r="BS26" s="67"/>
      <c r="BT26" s="86"/>
      <c r="BU26" s="183"/>
      <c r="BV26" s="1"/>
      <c r="BW26">
        <f t="shared" si="11"/>
        <v>17</v>
      </c>
    </row>
    <row r="27" spans="2:90" x14ac:dyDescent="0.3">
      <c r="B27" s="171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/>
      <c r="O27" s="16">
        <f t="shared" si="2"/>
        <v>20566.277777777777</v>
      </c>
      <c r="P27" s="41"/>
      <c r="Q27" s="17"/>
      <c r="R27" s="16"/>
      <c r="S27" s="16"/>
      <c r="T27" s="16"/>
      <c r="U27" s="41"/>
      <c r="V27" s="10"/>
      <c r="W27" s="34">
        <v>1255</v>
      </c>
      <c r="X27" s="33"/>
      <c r="Y27" s="33"/>
      <c r="Z27" s="33"/>
      <c r="AA27" s="33">
        <f t="shared" si="15"/>
        <v>11545</v>
      </c>
      <c r="AB27" s="33"/>
      <c r="AC27" s="46">
        <f t="shared" si="4"/>
        <v>3.1186435183809525E-2</v>
      </c>
      <c r="AD27" s="33"/>
      <c r="AE27" s="33">
        <f t="shared" si="5"/>
        <v>641.38888888888891</v>
      </c>
      <c r="AF27" s="50"/>
      <c r="AG27" s="33"/>
      <c r="AH27" s="33"/>
      <c r="AI27" s="33"/>
      <c r="AJ27" s="50"/>
      <c r="AK27" s="10"/>
      <c r="AL27" s="23">
        <f t="shared" si="7"/>
        <v>1694</v>
      </c>
      <c r="AM27" s="24"/>
      <c r="AN27" s="24"/>
      <c r="AO27" s="24"/>
      <c r="AP27" s="24">
        <v>19671</v>
      </c>
      <c r="AQ27" s="24"/>
      <c r="AR27" s="25">
        <f t="shared" si="8"/>
        <v>9.4231518050842747E-2</v>
      </c>
      <c r="AS27" s="25"/>
      <c r="AT27" s="25"/>
      <c r="AU27" s="24"/>
      <c r="AV27" s="341">
        <f t="shared" si="9"/>
        <v>5.3137147379880227E-2</v>
      </c>
      <c r="AW27" s="341"/>
      <c r="AX27" s="24">
        <f t="shared" si="10"/>
        <v>1092.8333333333333</v>
      </c>
      <c r="AY27" s="351"/>
      <c r="AZ27" s="10"/>
      <c r="BA27" s="66">
        <f t="shared" ref="BA27:BA51" si="17">+BC27-BC26</f>
        <v>142171</v>
      </c>
      <c r="BB27" s="67"/>
      <c r="BC27" s="67">
        <v>1914540</v>
      </c>
      <c r="BD27" s="67"/>
      <c r="BE27" s="67">
        <f t="shared" si="12"/>
        <v>31210</v>
      </c>
      <c r="BF27" s="67"/>
      <c r="BG27" s="67"/>
      <c r="BH27" s="67"/>
      <c r="BI27" s="183"/>
      <c r="BJ27" s="67"/>
      <c r="BK27" s="67"/>
      <c r="BL27" s="67"/>
      <c r="BM27" s="67"/>
      <c r="BN27" s="66"/>
      <c r="BO27" s="67"/>
      <c r="BP27" s="67">
        <f t="shared" si="16"/>
        <v>123006</v>
      </c>
      <c r="BQ27" s="67"/>
      <c r="BR27" s="74">
        <f t="shared" si="13"/>
        <v>6.4248331191826755E-2</v>
      </c>
      <c r="BS27" s="67"/>
      <c r="BT27" s="86"/>
      <c r="BU27" s="183"/>
      <c r="BV27" s="1"/>
      <c r="BW27">
        <f t="shared" si="11"/>
        <v>18</v>
      </c>
    </row>
    <row r="28" spans="2:90" x14ac:dyDescent="0.3">
      <c r="B28" s="17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/>
      <c r="O28" s="16">
        <f t="shared" si="2"/>
        <v>21244.894736842107</v>
      </c>
      <c r="P28" s="41"/>
      <c r="Q28" s="17"/>
      <c r="R28" s="16"/>
      <c r="S28" s="16"/>
      <c r="T28" s="16"/>
      <c r="U28" s="41"/>
      <c r="V28" s="1"/>
      <c r="W28" s="34">
        <v>1970</v>
      </c>
      <c r="X28" s="33"/>
      <c r="Y28" s="33"/>
      <c r="Z28" s="33"/>
      <c r="AA28" s="33">
        <f t="shared" si="15"/>
        <v>13515</v>
      </c>
      <c r="AB28" s="33"/>
      <c r="AC28" s="46">
        <f t="shared" si="4"/>
        <v>3.3481728117962704E-2</v>
      </c>
      <c r="AD28" s="33"/>
      <c r="AE28" s="33">
        <f t="shared" si="5"/>
        <v>711.31578947368416</v>
      </c>
      <c r="AF28" s="50"/>
      <c r="AG28" s="33"/>
      <c r="AH28" s="33"/>
      <c r="AI28" s="33"/>
      <c r="AJ28" s="50"/>
      <c r="AK28" s="1"/>
      <c r="AL28" s="23">
        <f t="shared" si="7"/>
        <v>2003</v>
      </c>
      <c r="AM28" s="24"/>
      <c r="AN28" s="24"/>
      <c r="AO28" s="24"/>
      <c r="AP28" s="24">
        <v>21674</v>
      </c>
      <c r="AQ28" s="24"/>
      <c r="AR28" s="25">
        <f t="shared" si="8"/>
        <v>0.10182502160540897</v>
      </c>
      <c r="AS28" s="25"/>
      <c r="AT28" s="25"/>
      <c r="AU28" s="24"/>
      <c r="AV28" s="341">
        <f t="shared" si="9"/>
        <v>5.3694633757212257E-2</v>
      </c>
      <c r="AW28" s="341"/>
      <c r="AX28" s="24">
        <f t="shared" si="10"/>
        <v>1140.7368421052631</v>
      </c>
      <c r="AY28" s="351"/>
      <c r="AZ28" s="1"/>
      <c r="BA28" s="66">
        <f t="shared" si="17"/>
        <v>161199</v>
      </c>
      <c r="BB28" s="67"/>
      <c r="BC28" s="67">
        <v>2075739</v>
      </c>
      <c r="BD28" s="67"/>
      <c r="BE28" s="67">
        <f t="shared" si="12"/>
        <v>33460</v>
      </c>
      <c r="BF28" s="67"/>
      <c r="BG28" s="67"/>
      <c r="BH28" s="67"/>
      <c r="BI28" s="183"/>
      <c r="BJ28" s="67"/>
      <c r="BK28" s="67"/>
      <c r="BL28" s="67"/>
      <c r="BM28" s="67"/>
      <c r="BN28" s="66"/>
      <c r="BO28" s="67"/>
      <c r="BP28" s="67">
        <f t="shared" si="16"/>
        <v>156466</v>
      </c>
      <c r="BQ28" s="67"/>
      <c r="BR28" s="74">
        <f t="shared" si="13"/>
        <v>7.5378455576544059E-2</v>
      </c>
      <c r="BS28" s="67"/>
      <c r="BT28" s="86"/>
      <c r="BU28" s="183"/>
      <c r="BV28" s="1"/>
      <c r="BW28">
        <f t="shared" si="11"/>
        <v>19</v>
      </c>
    </row>
    <row r="29" spans="2:90" x14ac:dyDescent="0.3">
      <c r="B29" s="17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/>
      <c r="O29" s="16">
        <f t="shared" si="2"/>
        <v>21779.4</v>
      </c>
      <c r="P29" s="41"/>
      <c r="Q29" s="17"/>
      <c r="R29" s="16"/>
      <c r="S29" s="16"/>
      <c r="T29" s="16"/>
      <c r="U29" s="41"/>
      <c r="V29" s="1"/>
      <c r="W29" s="34">
        <f>1940+10</f>
        <v>1950</v>
      </c>
      <c r="X29" s="33"/>
      <c r="Y29" s="33"/>
      <c r="Z29" s="33"/>
      <c r="AA29" s="33">
        <f t="shared" si="15"/>
        <v>15465</v>
      </c>
      <c r="AB29" s="33"/>
      <c r="AC29" s="46">
        <f t="shared" si="4"/>
        <v>3.5503732885203448E-2</v>
      </c>
      <c r="AD29" s="33"/>
      <c r="AE29" s="33">
        <f t="shared" si="5"/>
        <v>773.25</v>
      </c>
      <c r="AF29" s="50"/>
      <c r="AG29" s="33"/>
      <c r="AH29" s="33"/>
      <c r="AI29" s="33"/>
      <c r="AJ29" s="50"/>
      <c r="AK29" s="1"/>
      <c r="AL29" s="23">
        <f t="shared" si="7"/>
        <v>1217</v>
      </c>
      <c r="AM29" s="24"/>
      <c r="AN29" s="24"/>
      <c r="AO29" s="24"/>
      <c r="AP29" s="24">
        <v>22891</v>
      </c>
      <c r="AQ29" s="24"/>
      <c r="AR29" s="25">
        <f t="shared" si="8"/>
        <v>5.6150226077327677E-2</v>
      </c>
      <c r="AS29" s="25"/>
      <c r="AT29" s="25"/>
      <c r="AU29" s="24"/>
      <c r="AV29" s="341">
        <f t="shared" si="9"/>
        <v>5.2551952762702372E-2</v>
      </c>
      <c r="AW29" s="341"/>
      <c r="AX29" s="24">
        <f t="shared" si="10"/>
        <v>1144.55</v>
      </c>
      <c r="AY29" s="351"/>
      <c r="AZ29" s="1"/>
      <c r="BA29" s="66">
        <f t="shared" si="17"/>
        <v>133302</v>
      </c>
      <c r="BB29" s="67"/>
      <c r="BC29" s="67">
        <v>2209041</v>
      </c>
      <c r="BD29" s="67"/>
      <c r="BE29" s="67">
        <f t="shared" si="12"/>
        <v>31935</v>
      </c>
      <c r="BF29" s="67"/>
      <c r="BG29" s="67"/>
      <c r="BH29" s="67"/>
      <c r="BI29" s="183"/>
      <c r="BJ29" s="67"/>
      <c r="BK29" s="67"/>
      <c r="BL29" s="67"/>
      <c r="BM29" s="67"/>
      <c r="BN29" s="66"/>
      <c r="BO29" s="67"/>
      <c r="BP29" s="67">
        <f t="shared" si="16"/>
        <v>188401</v>
      </c>
      <c r="BQ29" s="67"/>
      <c r="BR29" s="74">
        <f t="shared" si="13"/>
        <v>8.528633013149145E-2</v>
      </c>
      <c r="BS29" s="67"/>
      <c r="BT29" s="86"/>
      <c r="BU29" s="183"/>
      <c r="BV29" s="1"/>
      <c r="BW29">
        <f t="shared" si="11"/>
        <v>20</v>
      </c>
    </row>
    <row r="30" spans="2:90" x14ac:dyDescent="0.3">
      <c r="B30" s="17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/>
      <c r="O30" s="16">
        <f t="shared" si="2"/>
        <v>22339.238095238095</v>
      </c>
      <c r="P30" s="41"/>
      <c r="Q30" s="17"/>
      <c r="R30" s="16"/>
      <c r="S30" s="16"/>
      <c r="T30" s="16"/>
      <c r="U30" s="41"/>
      <c r="V30" s="1"/>
      <c r="W30" s="34">
        <v>1900</v>
      </c>
      <c r="X30" s="33"/>
      <c r="Y30" s="33"/>
      <c r="Z30" s="33"/>
      <c r="AA30" s="33">
        <f t="shared" si="15"/>
        <v>17365</v>
      </c>
      <c r="AB30" s="33"/>
      <c r="AC30" s="46">
        <f t="shared" si="4"/>
        <v>3.7015799660644097E-2</v>
      </c>
      <c r="AD30" s="33"/>
      <c r="AE30" s="33">
        <f t="shared" si="5"/>
        <v>826.90476190476193</v>
      </c>
      <c r="AF30" s="50"/>
      <c r="AG30" s="33"/>
      <c r="AH30" s="33"/>
      <c r="AI30" s="33"/>
      <c r="AJ30" s="50"/>
      <c r="AK30" s="1"/>
      <c r="AL30" s="23">
        <f t="shared" si="7"/>
        <v>3037</v>
      </c>
      <c r="AM30" s="24"/>
      <c r="AN30" s="24"/>
      <c r="AO30" s="24"/>
      <c r="AP30" s="24">
        <v>25928</v>
      </c>
      <c r="AQ30" s="24"/>
      <c r="AR30" s="25">
        <f t="shared" si="8"/>
        <v>0.13267222926040803</v>
      </c>
      <c r="AS30" s="25"/>
      <c r="AT30" s="25"/>
      <c r="AU30" s="24"/>
      <c r="AV30" s="341">
        <f t="shared" si="9"/>
        <v>5.5268969398282755E-2</v>
      </c>
      <c r="AW30" s="341"/>
      <c r="AX30" s="24">
        <f t="shared" si="10"/>
        <v>1234.6666666666667</v>
      </c>
      <c r="AY30" s="351"/>
      <c r="AZ30" s="1"/>
      <c r="BA30" s="66">
        <f t="shared" si="17"/>
        <v>144055</v>
      </c>
      <c r="BB30" s="67"/>
      <c r="BC30" s="67">
        <v>2353096</v>
      </c>
      <c r="BD30" s="67"/>
      <c r="BE30" s="67">
        <f t="shared" si="12"/>
        <v>33536</v>
      </c>
      <c r="BF30" s="67"/>
      <c r="BG30" s="67"/>
      <c r="BH30" s="67"/>
      <c r="BI30" s="183"/>
      <c r="BJ30" s="67"/>
      <c r="BK30" s="67"/>
      <c r="BL30" s="67"/>
      <c r="BM30" s="67"/>
      <c r="BN30" s="66"/>
      <c r="BO30" s="67"/>
      <c r="BP30" s="67">
        <f t="shared" si="16"/>
        <v>221937</v>
      </c>
      <c r="BQ30" s="67"/>
      <c r="BR30" s="74">
        <f t="shared" si="13"/>
        <v>9.4317018940153735E-2</v>
      </c>
      <c r="BS30" s="67"/>
      <c r="BT30" s="86"/>
      <c r="BU30" s="183"/>
      <c r="BV30" s="1"/>
      <c r="BW30">
        <f t="shared" si="11"/>
        <v>21</v>
      </c>
    </row>
    <row r="31" spans="2:90" x14ac:dyDescent="0.3">
      <c r="B31" s="17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/>
      <c r="O31" s="16">
        <f t="shared" si="2"/>
        <v>22858</v>
      </c>
      <c r="P31" s="41"/>
      <c r="Q31" s="17"/>
      <c r="R31" s="16"/>
      <c r="S31" s="16"/>
      <c r="T31" s="16"/>
      <c r="U31" s="41"/>
      <c r="V31" s="1"/>
      <c r="W31" s="34">
        <v>2035</v>
      </c>
      <c r="X31" s="33"/>
      <c r="Y31" s="33"/>
      <c r="Z31" s="33"/>
      <c r="AA31" s="33">
        <f t="shared" si="15"/>
        <v>19400</v>
      </c>
      <c r="AB31" s="33"/>
      <c r="AC31" s="46">
        <f t="shared" si="4"/>
        <v>3.8578098775841362E-2</v>
      </c>
      <c r="AD31" s="33"/>
      <c r="AE31" s="33">
        <f t="shared" si="5"/>
        <v>881.81818181818187</v>
      </c>
      <c r="AF31" s="50"/>
      <c r="AG31" s="33"/>
      <c r="AH31" s="33"/>
      <c r="AI31" s="33"/>
      <c r="AJ31" s="50"/>
      <c r="AK31" s="1"/>
      <c r="AL31" s="23">
        <f t="shared" si="7"/>
        <v>1386</v>
      </c>
      <c r="AM31" s="24"/>
      <c r="AN31" s="24"/>
      <c r="AO31" s="24"/>
      <c r="AP31" s="24">
        <v>27314</v>
      </c>
      <c r="AQ31" s="24"/>
      <c r="AR31" s="25">
        <f t="shared" si="8"/>
        <v>5.3455723542116633E-2</v>
      </c>
      <c r="AS31" s="25"/>
      <c r="AT31" s="25"/>
      <c r="AU31" s="24"/>
      <c r="AV31" s="341">
        <f t="shared" si="9"/>
        <v>5.4315576802233555E-2</v>
      </c>
      <c r="AW31" s="341"/>
      <c r="AX31" s="24">
        <f t="shared" si="10"/>
        <v>1241.5454545454545</v>
      </c>
      <c r="AY31" s="351"/>
      <c r="AZ31" s="1"/>
      <c r="BA31" s="66">
        <f t="shared" si="17"/>
        <v>185792</v>
      </c>
      <c r="BB31" s="67"/>
      <c r="BC31" s="67">
        <v>2538888</v>
      </c>
      <c r="BD31" s="67"/>
      <c r="BE31" s="67">
        <f t="shared" si="12"/>
        <v>33752</v>
      </c>
      <c r="BF31" s="67"/>
      <c r="BG31" s="67"/>
      <c r="BH31" s="67"/>
      <c r="BI31" s="183"/>
      <c r="BJ31" s="67"/>
      <c r="BK31" s="67"/>
      <c r="BL31" s="67"/>
      <c r="BM31" s="67"/>
      <c r="BN31" s="66"/>
      <c r="BO31" s="67"/>
      <c r="BP31" s="67">
        <f t="shared" si="16"/>
        <v>255689</v>
      </c>
      <c r="BQ31" s="67"/>
      <c r="BR31" s="74">
        <f t="shared" si="13"/>
        <v>0.10070905057647285</v>
      </c>
      <c r="BS31" s="67"/>
      <c r="BT31" s="86"/>
      <c r="BU31" s="183"/>
      <c r="BV31" s="1"/>
      <c r="BW31">
        <f t="shared" si="11"/>
        <v>22</v>
      </c>
    </row>
    <row r="32" spans="2:90" x14ac:dyDescent="0.3">
      <c r="B32" s="476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/>
      <c r="O32" s="16">
        <f t="shared" si="2"/>
        <v>23168.652173913044</v>
      </c>
      <c r="P32" s="41"/>
      <c r="Q32" s="17"/>
      <c r="R32" s="16"/>
      <c r="S32" s="60"/>
      <c r="T32" s="16"/>
      <c r="U32" s="41"/>
      <c r="V32" s="477"/>
      <c r="W32" s="34">
        <v>1830</v>
      </c>
      <c r="X32" s="33"/>
      <c r="Y32" s="33"/>
      <c r="Z32" s="33"/>
      <c r="AA32" s="33">
        <f t="shared" si="15"/>
        <v>21230</v>
      </c>
      <c r="AB32" s="33"/>
      <c r="AC32" s="46">
        <f t="shared" si="4"/>
        <v>3.9840188860885868E-2</v>
      </c>
      <c r="AD32" s="33"/>
      <c r="AE32" s="33">
        <f t="shared" si="5"/>
        <v>923.04347826086962</v>
      </c>
      <c r="AF32" s="50"/>
      <c r="AG32" s="33"/>
      <c r="AH32" s="33"/>
      <c r="AI32" s="231"/>
      <c r="AJ32" s="50"/>
      <c r="AK32" s="1"/>
      <c r="AL32" s="23">
        <f t="shared" si="7"/>
        <v>3139</v>
      </c>
      <c r="AM32" s="24"/>
      <c r="AN32" s="24"/>
      <c r="AO32" s="24"/>
      <c r="AP32" s="24">
        <v>30453</v>
      </c>
      <c r="AQ32" s="24"/>
      <c r="AR32" s="25">
        <f t="shared" si="8"/>
        <v>0.1149227502379732</v>
      </c>
      <c r="AS32" s="25"/>
      <c r="AT32" s="25"/>
      <c r="AU32" s="24"/>
      <c r="AV32" s="341">
        <f t="shared" si="9"/>
        <v>5.7148058001910376E-2</v>
      </c>
      <c r="AW32" s="341"/>
      <c r="AX32" s="24">
        <f t="shared" si="10"/>
        <v>1324.0434782608695</v>
      </c>
      <c r="AY32" s="351"/>
      <c r="AZ32" s="1"/>
      <c r="BA32" s="66">
        <f t="shared" si="17"/>
        <v>131786</v>
      </c>
      <c r="BB32" s="67"/>
      <c r="BC32" s="67">
        <v>2670674</v>
      </c>
      <c r="BD32" s="67"/>
      <c r="BE32" s="67">
        <f t="shared" si="12"/>
        <v>30003</v>
      </c>
      <c r="BF32" s="67"/>
      <c r="BG32" s="67"/>
      <c r="BH32" s="67"/>
      <c r="BI32" s="183"/>
      <c r="BJ32" s="67"/>
      <c r="BK32" s="67"/>
      <c r="BL32" s="67"/>
      <c r="BM32" s="67"/>
      <c r="BN32" s="66"/>
      <c r="BO32" s="67"/>
      <c r="BP32" s="67">
        <f t="shared" si="16"/>
        <v>285692</v>
      </c>
      <c r="BQ32" s="67"/>
      <c r="BR32" s="74">
        <f t="shared" si="13"/>
        <v>0.10697374520439409</v>
      </c>
      <c r="BS32" s="67"/>
      <c r="BT32" s="86"/>
      <c r="BU32" s="183"/>
      <c r="BV32" s="1"/>
      <c r="BW32">
        <f t="shared" si="11"/>
        <v>23</v>
      </c>
    </row>
    <row r="33" spans="2:75" x14ac:dyDescent="0.3">
      <c r="B33" s="390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/>
      <c r="O33" s="16">
        <f t="shared" si="2"/>
        <v>23345.833333333332</v>
      </c>
      <c r="P33" s="41"/>
      <c r="Q33" s="17">
        <f>SUM(D27:D33)</f>
        <v>221317</v>
      </c>
      <c r="R33" s="16"/>
      <c r="S33" s="60">
        <f>+(Q33-Q26)/Q26</f>
        <v>0.14563986292718784</v>
      </c>
      <c r="T33" s="16"/>
      <c r="U33" s="41"/>
      <c r="V33" s="391"/>
      <c r="W33" s="34">
        <v>1528</v>
      </c>
      <c r="X33" s="33"/>
      <c r="Y33" s="33"/>
      <c r="Z33" s="33"/>
      <c r="AA33" s="33">
        <f t="shared" si="15"/>
        <v>22758</v>
      </c>
      <c r="AB33" s="33"/>
      <c r="AC33" s="46">
        <f t="shared" si="4"/>
        <v>4.0617526325182937E-2</v>
      </c>
      <c r="AD33" s="33"/>
      <c r="AE33" s="33">
        <f t="shared" si="5"/>
        <v>948.25</v>
      </c>
      <c r="AF33" s="50"/>
      <c r="AG33" s="33">
        <f>SUM(W27:W33)</f>
        <v>12468</v>
      </c>
      <c r="AH33" s="33"/>
      <c r="AI33" s="231">
        <f>+(AG33-AG26)/AG26</f>
        <v>0.77278544006824967</v>
      </c>
      <c r="AJ33" s="50"/>
      <c r="AK33" s="391"/>
      <c r="AL33" s="23">
        <f t="shared" si="7"/>
        <v>2181</v>
      </c>
      <c r="AM33" s="24"/>
      <c r="AN33" s="24"/>
      <c r="AO33" s="24"/>
      <c r="AP33" s="24">
        <v>32634</v>
      </c>
      <c r="AQ33" s="24"/>
      <c r="AR33" s="25">
        <f t="shared" si="8"/>
        <v>7.1618559747808092E-2</v>
      </c>
      <c r="AS33" s="25"/>
      <c r="AT33" s="25"/>
      <c r="AU33" s="24"/>
      <c r="AV33" s="341">
        <f t="shared" si="9"/>
        <v>5.8243797965375689E-2</v>
      </c>
      <c r="AW33" s="341"/>
      <c r="AX33" s="24">
        <f t="shared" si="10"/>
        <v>1359.75</v>
      </c>
      <c r="AY33" s="351"/>
      <c r="AZ33" s="391"/>
      <c r="BA33" s="66">
        <f t="shared" si="17"/>
        <v>161584</v>
      </c>
      <c r="BB33" s="67"/>
      <c r="BC33" s="67">
        <v>2832258</v>
      </c>
      <c r="BD33" s="67"/>
      <c r="BE33" s="67">
        <f t="shared" si="12"/>
        <v>27421</v>
      </c>
      <c r="BF33" s="67"/>
      <c r="BG33" s="67"/>
      <c r="BH33" s="67"/>
      <c r="BI33" s="183"/>
      <c r="BJ33" s="67"/>
      <c r="BK33" s="67"/>
      <c r="BL33" s="67"/>
      <c r="BM33" s="67"/>
      <c r="BN33" s="66"/>
      <c r="BO33" s="67"/>
      <c r="BP33" s="67">
        <f t="shared" si="16"/>
        <v>313113</v>
      </c>
      <c r="BQ33" s="67"/>
      <c r="BR33" s="74">
        <f t="shared" si="13"/>
        <v>0.1105524284863879</v>
      </c>
      <c r="BS33" s="67"/>
      <c r="BT33" s="86"/>
      <c r="BU33" s="183"/>
      <c r="BV33" s="1"/>
      <c r="BW33">
        <f t="shared" si="11"/>
        <v>24</v>
      </c>
    </row>
    <row r="34" spans="2:75" x14ac:dyDescent="0.3">
      <c r="B34" s="171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/>
      <c r="O34" s="16">
        <f t="shared" si="2"/>
        <v>23477.64</v>
      </c>
      <c r="P34" s="41"/>
      <c r="Q34" s="17"/>
      <c r="R34" s="16"/>
      <c r="S34" s="60"/>
      <c r="T34" s="16"/>
      <c r="U34" s="41"/>
      <c r="V34" s="10"/>
      <c r="W34" s="34">
        <v>1535</v>
      </c>
      <c r="X34" s="33"/>
      <c r="Y34" s="33"/>
      <c r="Z34" s="33"/>
      <c r="AA34" s="33">
        <f t="shared" si="15"/>
        <v>24293</v>
      </c>
      <c r="AB34" s="33"/>
      <c r="AC34" s="46">
        <f t="shared" si="4"/>
        <v>4.1389168587643389E-2</v>
      </c>
      <c r="AD34" s="33"/>
      <c r="AE34" s="33">
        <f t="shared" si="5"/>
        <v>971.72</v>
      </c>
      <c r="AF34" s="50"/>
      <c r="AG34" s="33"/>
      <c r="AH34" s="33"/>
      <c r="AI34" s="231"/>
      <c r="AJ34" s="50"/>
      <c r="AK34" s="10"/>
      <c r="AL34" s="23">
        <f t="shared" si="7"/>
        <v>3620</v>
      </c>
      <c r="AM34" s="24"/>
      <c r="AN34" s="24"/>
      <c r="AO34" s="24"/>
      <c r="AP34" s="24">
        <v>36254</v>
      </c>
      <c r="AQ34" s="24"/>
      <c r="AR34" s="25">
        <f t="shared" si="8"/>
        <v>0.11092725378439665</v>
      </c>
      <c r="AS34" s="25"/>
      <c r="AT34" s="25"/>
      <c r="AU34" s="24"/>
      <c r="AV34" s="341">
        <f t="shared" si="9"/>
        <v>6.1767707486783167E-2</v>
      </c>
      <c r="AW34" s="341"/>
      <c r="AX34" s="24">
        <f t="shared" si="10"/>
        <v>1450.16</v>
      </c>
      <c r="AY34" s="351"/>
      <c r="AZ34" s="10"/>
      <c r="BA34" s="66">
        <f t="shared" si="17"/>
        <v>111697</v>
      </c>
      <c r="BB34" s="67"/>
      <c r="BC34" s="67">
        <v>2943955</v>
      </c>
      <c r="BD34" s="67"/>
      <c r="BE34" s="67">
        <f t="shared" si="12"/>
        <v>26641</v>
      </c>
      <c r="BF34" s="67"/>
      <c r="BG34" s="67"/>
      <c r="BH34" s="67"/>
      <c r="BI34" s="183"/>
      <c r="BJ34" s="67"/>
      <c r="BK34" s="67"/>
      <c r="BL34" s="67"/>
      <c r="BM34" s="67"/>
      <c r="BN34" s="66"/>
      <c r="BO34" s="67"/>
      <c r="BP34" s="67">
        <f t="shared" si="16"/>
        <v>339754</v>
      </c>
      <c r="BQ34" s="67"/>
      <c r="BR34" s="74">
        <f t="shared" si="13"/>
        <v>0.11540733469091749</v>
      </c>
      <c r="BS34" s="67"/>
      <c r="BT34" s="86"/>
      <c r="BU34" s="183"/>
      <c r="BV34" s="1"/>
      <c r="BW34">
        <f t="shared" si="11"/>
        <v>25</v>
      </c>
    </row>
    <row r="35" spans="2:75" x14ac:dyDescent="0.3">
      <c r="B35" s="171">
        <f t="shared" si="6"/>
        <v>43935</v>
      </c>
      <c r="D35" s="17">
        <v>30720</v>
      </c>
      <c r="E35" s="16"/>
      <c r="F35" s="16"/>
      <c r="G35" s="16"/>
      <c r="H35" s="16">
        <f>+H34+D35+5109-168+16794+1462+194+2800</f>
        <v>643852</v>
      </c>
      <c r="I35" s="330" t="s">
        <v>68</v>
      </c>
      <c r="J35" s="38">
        <f t="shared" si="1"/>
        <v>5.2339161857835798E-2</v>
      </c>
      <c r="K35" s="16"/>
      <c r="L35" s="16"/>
      <c r="M35" s="16"/>
      <c r="N35" s="16"/>
      <c r="O35" s="16">
        <f t="shared" si="2"/>
        <v>24763.538461538461</v>
      </c>
      <c r="P35" s="41"/>
      <c r="Q35" s="17"/>
      <c r="R35" s="16"/>
      <c r="S35" s="16"/>
      <c r="T35" s="16"/>
      <c r="U35" s="41"/>
      <c r="V35" s="1"/>
      <c r="W35" s="34">
        <v>2407</v>
      </c>
      <c r="X35" s="33"/>
      <c r="Y35" s="33"/>
      <c r="Z35" s="33"/>
      <c r="AA35" s="33">
        <f>+AA34+W35+3778+317+73+3+2024</f>
        <v>32895</v>
      </c>
      <c r="AB35" s="340" t="s">
        <v>68</v>
      </c>
      <c r="AC35" s="46">
        <f t="shared" si="4"/>
        <v>5.1090933941340559E-2</v>
      </c>
      <c r="AD35" s="33"/>
      <c r="AE35" s="33">
        <f t="shared" si="5"/>
        <v>1265.1923076923076</v>
      </c>
      <c r="AF35" s="50"/>
      <c r="AG35" s="33"/>
      <c r="AH35" s="33"/>
      <c r="AI35" s="33"/>
      <c r="AJ35" s="50"/>
      <c r="AK35" s="1"/>
      <c r="AL35" s="23">
        <f t="shared" si="7"/>
        <v>2566</v>
      </c>
      <c r="AM35" s="24"/>
      <c r="AN35" s="24"/>
      <c r="AO35" s="24"/>
      <c r="AP35" s="24">
        <v>38820</v>
      </c>
      <c r="AQ35" s="24"/>
      <c r="AR35" s="25">
        <f t="shared" si="8"/>
        <v>7.0778396866552656E-2</v>
      </c>
      <c r="AS35" s="25"/>
      <c r="AT35" s="25"/>
      <c r="AU35" s="24"/>
      <c r="AV35" s="341">
        <f t="shared" si="9"/>
        <v>6.0293359343451598E-2</v>
      </c>
      <c r="AW35" s="341"/>
      <c r="AX35" s="24">
        <f t="shared" si="10"/>
        <v>1493.0769230769231</v>
      </c>
      <c r="AY35" s="351"/>
      <c r="AZ35" s="1"/>
      <c r="BA35" s="66">
        <f t="shared" si="17"/>
        <v>121064</v>
      </c>
      <c r="BB35" s="67"/>
      <c r="BC35" s="67">
        <v>3065019</v>
      </c>
      <c r="BD35" s="67"/>
      <c r="BE35" s="67">
        <f t="shared" si="12"/>
        <v>30720</v>
      </c>
      <c r="BF35" s="67"/>
      <c r="BG35" s="67"/>
      <c r="BH35" s="67"/>
      <c r="BI35" s="183"/>
      <c r="BJ35" s="67"/>
      <c r="BK35" s="67"/>
      <c r="BL35" s="67"/>
      <c r="BM35" s="67"/>
      <c r="BN35" s="66"/>
      <c r="BO35" s="67"/>
      <c r="BP35" s="67">
        <f t="shared" si="16"/>
        <v>370474</v>
      </c>
      <c r="BQ35" s="67"/>
      <c r="BR35" s="74">
        <f t="shared" si="13"/>
        <v>0.12087168138272553</v>
      </c>
      <c r="BS35" s="67"/>
      <c r="BT35" s="86"/>
      <c r="BU35" s="183"/>
      <c r="BV35" s="1"/>
      <c r="BW35">
        <f t="shared" si="11"/>
        <v>26</v>
      </c>
    </row>
    <row r="36" spans="2:75" x14ac:dyDescent="0.3">
      <c r="B36" s="17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674194</v>
      </c>
      <c r="I36" s="16"/>
      <c r="J36" s="38">
        <f t="shared" si="1"/>
        <v>4.7125736970608151E-2</v>
      </c>
      <c r="K36" s="16"/>
      <c r="L36" s="16"/>
      <c r="M36" s="16"/>
      <c r="N36" s="16"/>
      <c r="O36" s="16">
        <f t="shared" si="2"/>
        <v>24970.14814814815</v>
      </c>
      <c r="P36" s="41"/>
      <c r="Q36" s="17"/>
      <c r="R36" s="16"/>
      <c r="S36" s="16"/>
      <c r="T36" s="16"/>
      <c r="U36" s="41"/>
      <c r="V36" s="1"/>
      <c r="W36" s="34">
        <v>2618</v>
      </c>
      <c r="X36" s="33"/>
      <c r="Y36" s="33"/>
      <c r="Z36" s="33"/>
      <c r="AA36" s="33">
        <f t="shared" ref="AA36:AA51" si="19">+AA35+W36</f>
        <v>35513</v>
      </c>
      <c r="AB36" s="33"/>
      <c r="AC36" s="46">
        <f t="shared" si="4"/>
        <v>5.2674749404474086E-2</v>
      </c>
      <c r="AD36" s="33"/>
      <c r="AE36" s="33">
        <f t="shared" si="5"/>
        <v>1315.2962962962963</v>
      </c>
      <c r="AF36" s="50"/>
      <c r="AG36" s="33"/>
      <c r="AH36" s="33"/>
      <c r="AI36" s="33"/>
      <c r="AJ36" s="50"/>
      <c r="AK36" s="1"/>
      <c r="AL36" s="23">
        <f t="shared" si="7"/>
        <v>9881</v>
      </c>
      <c r="AM36" s="24"/>
      <c r="AN36" s="24"/>
      <c r="AO36" s="24"/>
      <c r="AP36" s="24">
        <v>48701</v>
      </c>
      <c r="AQ36" s="24"/>
      <c r="AR36" s="25">
        <f t="shared" si="8"/>
        <v>0.25453374549201441</v>
      </c>
      <c r="AS36" s="25"/>
      <c r="AT36" s="25"/>
      <c r="AU36" s="24"/>
      <c r="AV36" s="341">
        <f t="shared" si="9"/>
        <v>7.2235884626680152E-2</v>
      </c>
      <c r="AW36" s="341"/>
      <c r="AX36" s="24">
        <f t="shared" si="10"/>
        <v>1803.7407407407406</v>
      </c>
      <c r="AY36" s="351"/>
      <c r="AZ36" s="1"/>
      <c r="BA36" s="66">
        <f t="shared" si="17"/>
        <v>193860</v>
      </c>
      <c r="BB36" s="67"/>
      <c r="BC36" s="67">
        <v>3258879</v>
      </c>
      <c r="BD36" s="67"/>
      <c r="BE36" s="67">
        <f t="shared" si="12"/>
        <v>30342</v>
      </c>
      <c r="BF36" s="67"/>
      <c r="BG36" s="67"/>
      <c r="BH36" s="67"/>
      <c r="BI36" s="183"/>
      <c r="BJ36" s="67"/>
      <c r="BK36" s="67"/>
      <c r="BL36" s="67"/>
      <c r="BM36" s="67"/>
      <c r="BN36" s="66"/>
      <c r="BO36" s="67"/>
      <c r="BP36" s="67">
        <f t="shared" si="16"/>
        <v>400816</v>
      </c>
      <c r="BQ36" s="67"/>
      <c r="BR36" s="74">
        <f t="shared" si="13"/>
        <v>0.12299198589453612</v>
      </c>
      <c r="BS36" s="67"/>
      <c r="BT36" s="86"/>
      <c r="BU36" s="183"/>
      <c r="BV36" s="1"/>
      <c r="BW36">
        <f t="shared" si="11"/>
        <v>27</v>
      </c>
    </row>
    <row r="37" spans="2:75" x14ac:dyDescent="0.3">
      <c r="B37" s="171">
        <f t="shared" si="6"/>
        <v>43937</v>
      </c>
      <c r="D37" s="17">
        <v>29567</v>
      </c>
      <c r="E37" s="16"/>
      <c r="F37" s="16"/>
      <c r="G37" s="16"/>
      <c r="H37" s="16">
        <f t="shared" si="18"/>
        <v>703761</v>
      </c>
      <c r="I37" s="16"/>
      <c r="J37" s="38">
        <f t="shared" si="1"/>
        <v>4.3855329474898917E-2</v>
      </c>
      <c r="K37" s="16"/>
      <c r="L37" s="16"/>
      <c r="M37" s="16"/>
      <c r="N37" s="16"/>
      <c r="O37" s="16">
        <f t="shared" si="2"/>
        <v>25134.321428571428</v>
      </c>
      <c r="P37" s="41"/>
      <c r="Q37" s="17"/>
      <c r="R37" s="16"/>
      <c r="S37" s="16"/>
      <c r="T37" s="16"/>
      <c r="U37" s="41"/>
      <c r="V37" s="10"/>
      <c r="W37" s="34">
        <v>2176</v>
      </c>
      <c r="X37" s="33"/>
      <c r="Y37" s="33"/>
      <c r="Z37" s="33"/>
      <c r="AA37" s="33">
        <f t="shared" si="19"/>
        <v>37689</v>
      </c>
      <c r="AB37" s="33"/>
      <c r="AC37" s="46">
        <f t="shared" si="4"/>
        <v>5.3553692233584985E-2</v>
      </c>
      <c r="AD37" s="33"/>
      <c r="AE37" s="33">
        <f t="shared" si="5"/>
        <v>1346.0357142857142</v>
      </c>
      <c r="AF37" s="50"/>
      <c r="AG37" s="33"/>
      <c r="AH37" s="33"/>
      <c r="AI37" s="33"/>
      <c r="AJ37" s="50"/>
      <c r="AK37" s="10"/>
      <c r="AL37" s="23">
        <f t="shared" si="7"/>
        <v>8807</v>
      </c>
      <c r="AM37" s="24"/>
      <c r="AN37" s="24"/>
      <c r="AO37" s="24"/>
      <c r="AP37" s="24">
        <v>57508</v>
      </c>
      <c r="AQ37" s="24"/>
      <c r="AR37" s="25">
        <f t="shared" si="8"/>
        <v>0.1808381758074783</v>
      </c>
      <c r="AS37" s="25"/>
      <c r="AT37" s="25"/>
      <c r="AU37" s="24"/>
      <c r="AV37" s="341">
        <f t="shared" si="9"/>
        <v>8.1715241395871607E-2</v>
      </c>
      <c r="AW37" s="341"/>
      <c r="AX37" s="24">
        <f t="shared" si="10"/>
        <v>2053.8571428571427</v>
      </c>
      <c r="AY37" s="351"/>
      <c r="AZ37" s="1"/>
      <c r="BA37" s="66">
        <f t="shared" si="17"/>
        <v>139261</v>
      </c>
      <c r="BB37" s="67"/>
      <c r="BC37" s="67">
        <v>3398140</v>
      </c>
      <c r="BD37" s="67"/>
      <c r="BE37" s="67">
        <f t="shared" si="12"/>
        <v>29567</v>
      </c>
      <c r="BF37" s="67"/>
      <c r="BG37" s="67"/>
      <c r="BH37" s="67"/>
      <c r="BI37" s="183"/>
      <c r="BJ37" s="67"/>
      <c r="BK37" s="67"/>
      <c r="BL37" s="67"/>
      <c r="BM37" s="67"/>
      <c r="BN37" s="66"/>
      <c r="BO37" s="67"/>
      <c r="BP37" s="67">
        <f t="shared" si="16"/>
        <v>430383</v>
      </c>
      <c r="BQ37" s="67"/>
      <c r="BR37" s="74">
        <f t="shared" si="13"/>
        <v>0.12665252167362145</v>
      </c>
      <c r="BS37" s="67"/>
      <c r="BT37" s="86"/>
      <c r="BU37" s="183"/>
      <c r="BV37" s="1"/>
      <c r="BW37">
        <f t="shared" si="11"/>
        <v>28</v>
      </c>
    </row>
    <row r="38" spans="2:75" x14ac:dyDescent="0.3">
      <c r="B38" s="171">
        <f t="shared" si="6"/>
        <v>43938</v>
      </c>
      <c r="D38" s="17">
        <v>32165</v>
      </c>
      <c r="E38" s="16"/>
      <c r="F38" s="16"/>
      <c r="G38" s="16"/>
      <c r="H38" s="16">
        <f t="shared" si="18"/>
        <v>735926</v>
      </c>
      <c r="I38" s="16"/>
      <c r="J38" s="38">
        <f t="shared" si="1"/>
        <v>4.5704436591399639E-2</v>
      </c>
      <c r="K38" s="16"/>
      <c r="L38" s="16"/>
      <c r="M38" s="16"/>
      <c r="N38" s="16"/>
      <c r="O38" s="16">
        <f t="shared" si="2"/>
        <v>25376.758620689656</v>
      </c>
      <c r="P38" s="41"/>
      <c r="Q38" s="17"/>
      <c r="R38" s="16"/>
      <c r="S38" s="16"/>
      <c r="T38" s="16"/>
      <c r="U38" s="41"/>
      <c r="V38" s="10"/>
      <c r="W38" s="34">
        <v>2528</v>
      </c>
      <c r="X38" s="33"/>
      <c r="Y38" s="33"/>
      <c r="Z38" s="33"/>
      <c r="AA38" s="33">
        <f t="shared" si="19"/>
        <v>40217</v>
      </c>
      <c r="AB38" s="33"/>
      <c r="AC38" s="46">
        <f t="shared" si="4"/>
        <v>5.4648157559319822E-2</v>
      </c>
      <c r="AD38" s="33"/>
      <c r="AE38" s="33">
        <f t="shared" si="5"/>
        <v>1386.7931034482758</v>
      </c>
      <c r="AF38" s="50"/>
      <c r="AG38" s="33"/>
      <c r="AH38" s="33"/>
      <c r="AI38" s="33"/>
      <c r="AJ38" s="50"/>
      <c r="AK38" s="10"/>
      <c r="AL38" s="23">
        <f t="shared" si="7"/>
        <v>3002</v>
      </c>
      <c r="AM38" s="24"/>
      <c r="AN38" s="24"/>
      <c r="AO38" s="24"/>
      <c r="AP38" s="24">
        <v>60510</v>
      </c>
      <c r="AQ38" s="24"/>
      <c r="AR38" s="25">
        <f t="shared" si="8"/>
        <v>5.2201432844126032E-2</v>
      </c>
      <c r="AS38" s="25"/>
      <c r="AT38" s="25"/>
      <c r="AU38" s="24"/>
      <c r="AV38" s="341">
        <f t="shared" si="9"/>
        <v>8.2222940893513743E-2</v>
      </c>
      <c r="AW38" s="341"/>
      <c r="AX38" s="24">
        <f t="shared" si="10"/>
        <v>2086.5517241379312</v>
      </c>
      <c r="AY38" s="351"/>
      <c r="AZ38" s="1"/>
      <c r="BA38" s="66">
        <f t="shared" si="17"/>
        <v>174117</v>
      </c>
      <c r="BB38" s="67"/>
      <c r="BC38" s="67">
        <v>3572257</v>
      </c>
      <c r="BD38" s="67"/>
      <c r="BE38" s="67">
        <f t="shared" si="12"/>
        <v>32165</v>
      </c>
      <c r="BF38" s="67"/>
      <c r="BG38" s="67"/>
      <c r="BH38" s="67"/>
      <c r="BI38" s="183"/>
      <c r="BJ38" s="67"/>
      <c r="BK38" s="67"/>
      <c r="BL38" s="67"/>
      <c r="BM38" s="67"/>
      <c r="BN38" s="66"/>
      <c r="BO38" s="67"/>
      <c r="BP38" s="67">
        <f t="shared" si="16"/>
        <v>462548</v>
      </c>
      <c r="BQ38" s="67"/>
      <c r="BR38" s="74">
        <f t="shared" si="13"/>
        <v>0.12948340502936939</v>
      </c>
      <c r="BS38" s="67"/>
      <c r="BT38" s="86"/>
      <c r="BU38" s="183"/>
      <c r="BV38" s="1"/>
      <c r="BW38">
        <f t="shared" si="11"/>
        <v>29</v>
      </c>
    </row>
    <row r="39" spans="2:75" x14ac:dyDescent="0.3">
      <c r="B39" s="295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764983</v>
      </c>
      <c r="I39" s="16"/>
      <c r="J39" s="38">
        <f t="shared" si="1"/>
        <v>3.9483589382628144E-2</v>
      </c>
      <c r="K39" s="16"/>
      <c r="L39" s="16"/>
      <c r="M39" s="16"/>
      <c r="N39" s="16"/>
      <c r="O39" s="16">
        <f t="shared" si="2"/>
        <v>25499.433333333334</v>
      </c>
      <c r="P39" s="41"/>
      <c r="Q39" s="17"/>
      <c r="R39" s="16"/>
      <c r="S39" s="60"/>
      <c r="T39" s="16"/>
      <c r="U39" s="41"/>
      <c r="V39" s="7"/>
      <c r="W39" s="34">
        <v>1867</v>
      </c>
      <c r="X39" s="33"/>
      <c r="Y39" s="33"/>
      <c r="Z39" s="33"/>
      <c r="AA39" s="33">
        <f t="shared" si="19"/>
        <v>42084</v>
      </c>
      <c r="AB39" s="33"/>
      <c r="AC39" s="46">
        <f t="shared" si="4"/>
        <v>5.5012987216709393E-2</v>
      </c>
      <c r="AD39" s="33"/>
      <c r="AE39" s="33">
        <f t="shared" si="5"/>
        <v>1402.8</v>
      </c>
      <c r="AF39" s="50"/>
      <c r="AG39" s="33"/>
      <c r="AH39" s="33"/>
      <c r="AI39" s="231"/>
      <c r="AJ39" s="50"/>
      <c r="AK39" s="90"/>
      <c r="AL39" s="23">
        <f t="shared" si="7"/>
        <v>7759</v>
      </c>
      <c r="AM39" s="24"/>
      <c r="AN39" s="24"/>
      <c r="AO39" s="24"/>
      <c r="AP39" s="24">
        <v>68269</v>
      </c>
      <c r="AQ39" s="24"/>
      <c r="AR39" s="25">
        <f t="shared" si="8"/>
        <v>0.12822673938192033</v>
      </c>
      <c r="AS39" s="25"/>
      <c r="AT39" s="25"/>
      <c r="AU39" s="24"/>
      <c r="AV39" s="341">
        <f t="shared" si="9"/>
        <v>8.9242506042617936E-2</v>
      </c>
      <c r="AW39" s="341"/>
      <c r="AX39" s="24">
        <f t="shared" si="10"/>
        <v>2275.6333333333332</v>
      </c>
      <c r="AY39" s="351"/>
      <c r="AZ39" s="90"/>
      <c r="BA39" s="66">
        <f t="shared" si="17"/>
        <v>149888</v>
      </c>
      <c r="BB39" s="67"/>
      <c r="BC39" s="67">
        <v>3722145</v>
      </c>
      <c r="BD39" s="67"/>
      <c r="BE39" s="67">
        <f t="shared" si="12"/>
        <v>29057</v>
      </c>
      <c r="BF39" s="67"/>
      <c r="BG39" s="67"/>
      <c r="BH39" s="67"/>
      <c r="BI39" s="183"/>
      <c r="BJ39" s="67"/>
      <c r="BK39" s="67"/>
      <c r="BL39" s="67"/>
      <c r="BM39" s="156"/>
      <c r="BN39" s="66"/>
      <c r="BO39" s="67"/>
      <c r="BP39" s="67">
        <f t="shared" si="16"/>
        <v>491605</v>
      </c>
      <c r="BQ39" s="67"/>
      <c r="BR39" s="74">
        <f t="shared" si="13"/>
        <v>0.13207572515310392</v>
      </c>
      <c r="BS39" s="67"/>
      <c r="BT39" s="86"/>
      <c r="BU39" s="183"/>
      <c r="BV39" s="90"/>
      <c r="BW39" s="110">
        <f t="shared" si="11"/>
        <v>30</v>
      </c>
    </row>
    <row r="40" spans="2:75" x14ac:dyDescent="0.3">
      <c r="B40" s="390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791166</v>
      </c>
      <c r="I40" s="16"/>
      <c r="J40" s="38">
        <f t="shared" si="1"/>
        <v>3.4226904388724978E-2</v>
      </c>
      <c r="K40" s="16"/>
      <c r="L40" s="16"/>
      <c r="M40" s="16"/>
      <c r="N40" s="16"/>
      <c r="O40" s="16">
        <f t="shared" si="2"/>
        <v>25521.483870967742</v>
      </c>
      <c r="P40" s="41"/>
      <c r="Q40" s="17">
        <f>SUM(D34:D40)</f>
        <v>204675</v>
      </c>
      <c r="R40" s="16"/>
      <c r="S40" s="60">
        <f>+(Q40-Q33)/Q33</f>
        <v>-7.5195308087494403E-2</v>
      </c>
      <c r="T40" s="16"/>
      <c r="U40" s="41"/>
      <c r="V40" s="391"/>
      <c r="W40" s="34">
        <v>1570</v>
      </c>
      <c r="X40" s="33"/>
      <c r="Y40" s="33"/>
      <c r="Z40" s="33"/>
      <c r="AA40" s="33">
        <f t="shared" si="19"/>
        <v>43654</v>
      </c>
      <c r="AB40" s="33"/>
      <c r="AC40" s="46">
        <f t="shared" si="4"/>
        <v>5.5176789700265176E-2</v>
      </c>
      <c r="AD40" s="33"/>
      <c r="AE40" s="33">
        <f t="shared" si="5"/>
        <v>1408.1935483870968</v>
      </c>
      <c r="AF40" s="50"/>
      <c r="AG40" s="33">
        <f>SUM(W34:W40)</f>
        <v>14701</v>
      </c>
      <c r="AH40" s="33"/>
      <c r="AI40" s="231">
        <f>+(AG40-AG33)/AG33</f>
        <v>0.17909849213987808</v>
      </c>
      <c r="AJ40" s="50"/>
      <c r="AK40" s="391"/>
      <c r="AL40" s="23">
        <f t="shared" si="7"/>
        <v>2734</v>
      </c>
      <c r="AM40" s="24"/>
      <c r="AN40" s="24"/>
      <c r="AO40" s="24"/>
      <c r="AP40" s="24">
        <v>71003</v>
      </c>
      <c r="AQ40" s="24"/>
      <c r="AR40" s="25">
        <f t="shared" si="8"/>
        <v>4.004745931535543E-2</v>
      </c>
      <c r="AS40" s="25"/>
      <c r="AT40" s="25"/>
      <c r="AU40" s="24"/>
      <c r="AV40" s="341">
        <f t="shared" si="9"/>
        <v>8.9744756473357043E-2</v>
      </c>
      <c r="AW40" s="341"/>
      <c r="AX40" s="24">
        <f t="shared" si="10"/>
        <v>2290.4193548387098</v>
      </c>
      <c r="AY40" s="351"/>
      <c r="AZ40" s="391"/>
      <c r="BA40" s="66">
        <f t="shared" si="17"/>
        <v>139404</v>
      </c>
      <c r="BB40" s="67"/>
      <c r="BC40" s="67">
        <v>3861549</v>
      </c>
      <c r="BD40" s="67"/>
      <c r="BE40" s="67">
        <f t="shared" si="12"/>
        <v>26183</v>
      </c>
      <c r="BF40" s="67"/>
      <c r="BG40" s="156">
        <f t="shared" ref="BG40:BG51" si="20">+BE40/BA40</f>
        <v>0.18782100944018823</v>
      </c>
      <c r="BH40" s="67"/>
      <c r="BI40" s="183"/>
      <c r="BJ40" s="67"/>
      <c r="BK40" s="67">
        <f>SUM(BA34:BA40)</f>
        <v>1029291</v>
      </c>
      <c r="BL40" s="67"/>
      <c r="BM40" s="156">
        <f>+Q40/BK40</f>
        <v>0.19885047085809551</v>
      </c>
      <c r="BN40" s="66">
        <f t="shared" ref="BN40:BN68" si="21">+BC40/BW40</f>
        <v>124566.09677419355</v>
      </c>
      <c r="BO40" s="67"/>
      <c r="BP40" s="67">
        <f t="shared" si="16"/>
        <v>517788</v>
      </c>
      <c r="BQ40" s="67"/>
      <c r="BR40" s="74">
        <f t="shared" si="13"/>
        <v>0.13408815995860729</v>
      </c>
      <c r="BS40" s="67"/>
      <c r="BT40" s="86"/>
      <c r="BU40" s="183"/>
      <c r="BV40" s="1"/>
      <c r="BW40">
        <f t="shared" si="11"/>
        <v>31</v>
      </c>
    </row>
    <row r="41" spans="2:75" x14ac:dyDescent="0.3">
      <c r="B41" s="171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819309</v>
      </c>
      <c r="I41" s="16"/>
      <c r="J41" s="38">
        <f t="shared" si="1"/>
        <v>3.5571548827932446E-2</v>
      </c>
      <c r="K41" s="16"/>
      <c r="L41" s="16"/>
      <c r="M41" s="16"/>
      <c r="N41" s="16"/>
      <c r="O41" s="16">
        <f t="shared" si="2"/>
        <v>25603.40625</v>
      </c>
      <c r="P41" s="41"/>
      <c r="Q41" s="17"/>
      <c r="R41" s="16"/>
      <c r="S41" s="60"/>
      <c r="T41" s="16"/>
      <c r="U41" s="41"/>
      <c r="V41" s="10"/>
      <c r="W41" s="34">
        <v>1952</v>
      </c>
      <c r="X41" s="33"/>
      <c r="Y41" s="33"/>
      <c r="Z41" s="33"/>
      <c r="AA41" s="33">
        <f t="shared" si="19"/>
        <v>45606</v>
      </c>
      <c r="AB41" s="33"/>
      <c r="AC41" s="46">
        <f t="shared" si="4"/>
        <v>5.5663980256533248E-2</v>
      </c>
      <c r="AD41" s="33"/>
      <c r="AE41" s="33">
        <f t="shared" si="5"/>
        <v>1425.1875</v>
      </c>
      <c r="AF41" s="50"/>
      <c r="AG41" s="33"/>
      <c r="AH41" s="33"/>
      <c r="AI41" s="231"/>
      <c r="AJ41" s="50"/>
      <c r="AK41" s="10"/>
      <c r="AL41" s="23">
        <f t="shared" si="7"/>
        <v>1386</v>
      </c>
      <c r="AM41" s="24"/>
      <c r="AN41" s="24"/>
      <c r="AO41" s="24"/>
      <c r="AP41" s="24">
        <v>72389</v>
      </c>
      <c r="AQ41" s="24"/>
      <c r="AR41" s="25">
        <f t="shared" si="8"/>
        <v>1.9520301959072152E-2</v>
      </c>
      <c r="AS41" s="25"/>
      <c r="AT41" s="25"/>
      <c r="AU41" s="24"/>
      <c r="AV41" s="341">
        <f t="shared" si="9"/>
        <v>8.8353722466126938E-2</v>
      </c>
      <c r="AW41" s="341"/>
      <c r="AX41" s="24">
        <f t="shared" si="10"/>
        <v>2262.15625</v>
      </c>
      <c r="AY41" s="351"/>
      <c r="AZ41" s="10"/>
      <c r="BA41" s="66">
        <f t="shared" si="17"/>
        <v>164811</v>
      </c>
      <c r="BB41" s="67"/>
      <c r="BC41" s="67">
        <v>4026360</v>
      </c>
      <c r="BD41" s="67"/>
      <c r="BE41" s="67">
        <f t="shared" si="12"/>
        <v>28143</v>
      </c>
      <c r="BF41" s="67"/>
      <c r="BG41" s="156">
        <f t="shared" si="20"/>
        <v>0.17075923330360232</v>
      </c>
      <c r="BH41" s="67"/>
      <c r="BI41" s="183"/>
      <c r="BJ41" s="67"/>
      <c r="BK41" s="67"/>
      <c r="BL41" s="67"/>
      <c r="BM41" s="67"/>
      <c r="BN41" s="66">
        <f t="shared" si="21"/>
        <v>125823.75</v>
      </c>
      <c r="BO41" s="67"/>
      <c r="BP41" s="67">
        <f t="shared" si="16"/>
        <v>545931</v>
      </c>
      <c r="BQ41" s="67"/>
      <c r="BR41" s="74">
        <f t="shared" si="13"/>
        <v>0.13558921705957738</v>
      </c>
      <c r="BS41" s="67"/>
      <c r="BT41" s="86"/>
      <c r="BU41" s="183"/>
      <c r="BV41" s="1"/>
      <c r="BW41">
        <f t="shared" si="11"/>
        <v>32</v>
      </c>
    </row>
    <row r="42" spans="2:75" x14ac:dyDescent="0.3">
      <c r="B42" s="171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845414</v>
      </c>
      <c r="I42" s="16"/>
      <c r="J42" s="38">
        <f t="shared" si="1"/>
        <v>3.1862215598754559E-2</v>
      </c>
      <c r="K42" s="16"/>
      <c r="L42" s="16"/>
      <c r="M42" s="16"/>
      <c r="N42" s="16"/>
      <c r="O42" s="16">
        <f t="shared" ref="O42:O68" si="22">+H42/BW42</f>
        <v>25618.60606060606</v>
      </c>
      <c r="P42" s="41"/>
      <c r="Q42" s="17"/>
      <c r="R42" s="16"/>
      <c r="S42" s="16"/>
      <c r="T42" s="16"/>
      <c r="U42" s="41"/>
      <c r="V42" s="1"/>
      <c r="W42" s="34">
        <v>2683</v>
      </c>
      <c r="X42" s="33"/>
      <c r="Y42" s="33"/>
      <c r="Z42" s="33"/>
      <c r="AA42" s="33">
        <f t="shared" si="19"/>
        <v>48289</v>
      </c>
      <c r="AB42" s="33"/>
      <c r="AC42" s="46">
        <f t="shared" ref="AC42:AC68" si="23">+AA42/H42</f>
        <v>5.711876074917141E-2</v>
      </c>
      <c r="AD42" s="33"/>
      <c r="AE42" s="33">
        <f t="shared" ref="AE42:AE68" si="24">+AA42/BW42</f>
        <v>1463.3030303030303</v>
      </c>
      <c r="AF42" s="50"/>
      <c r="AG42" s="33"/>
      <c r="AH42" s="33"/>
      <c r="AI42" s="33"/>
      <c r="AJ42" s="50"/>
      <c r="AK42" s="1"/>
      <c r="AL42" s="23">
        <f t="shared" si="7"/>
        <v>10534</v>
      </c>
      <c r="AM42" s="24"/>
      <c r="AN42" s="24"/>
      <c r="AO42" s="24"/>
      <c r="AP42" s="24">
        <v>82923</v>
      </c>
      <c r="AQ42" s="24"/>
      <c r="AR42" s="25">
        <f t="shared" si="8"/>
        <v>0.14551934686209231</v>
      </c>
      <c r="AS42" s="25"/>
      <c r="AT42" s="25"/>
      <c r="AU42" s="24"/>
      <c r="AV42" s="341">
        <f t="shared" si="9"/>
        <v>9.8085671635435426E-2</v>
      </c>
      <c r="AW42" s="341"/>
      <c r="AX42" s="24">
        <f t="shared" si="10"/>
        <v>2512.818181818182</v>
      </c>
      <c r="AY42" s="351"/>
      <c r="AZ42" s="1"/>
      <c r="BA42" s="66">
        <f t="shared" si="17"/>
        <v>161032</v>
      </c>
      <c r="BB42" s="67"/>
      <c r="BC42" s="67">
        <v>4187392</v>
      </c>
      <c r="BD42" s="67"/>
      <c r="BE42" s="67">
        <f t="shared" si="12"/>
        <v>26105</v>
      </c>
      <c r="BF42" s="67"/>
      <c r="BG42" s="156">
        <f t="shared" si="20"/>
        <v>0.16211063639525064</v>
      </c>
      <c r="BH42" s="67"/>
      <c r="BI42" s="183"/>
      <c r="BJ42" s="67"/>
      <c r="BK42" s="67"/>
      <c r="BL42" s="67"/>
      <c r="BM42" s="67"/>
      <c r="BN42" s="66">
        <f t="shared" si="21"/>
        <v>126890.66666666667</v>
      </c>
      <c r="BO42" s="67"/>
      <c r="BP42" s="67">
        <f t="shared" si="16"/>
        <v>572036</v>
      </c>
      <c r="BQ42" s="67"/>
      <c r="BR42" s="74">
        <f t="shared" si="13"/>
        <v>0.13660913523262211</v>
      </c>
      <c r="BS42" s="67"/>
      <c r="BT42" s="86"/>
      <c r="BU42" s="183"/>
      <c r="BV42" s="1"/>
      <c r="BW42">
        <f t="shared" si="11"/>
        <v>33</v>
      </c>
    </row>
    <row r="43" spans="2:75" x14ac:dyDescent="0.3">
      <c r="B43" s="171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875624</v>
      </c>
      <c r="I43" s="16"/>
      <c r="J43" s="38">
        <f t="shared" si="1"/>
        <v>3.5733971758215501E-2</v>
      </c>
      <c r="K43" s="16"/>
      <c r="L43" s="16"/>
      <c r="M43" s="16"/>
      <c r="N43" s="16"/>
      <c r="O43" s="16">
        <f t="shared" si="22"/>
        <v>25753.647058823528</v>
      </c>
      <c r="P43" s="41"/>
      <c r="Q43" s="17"/>
      <c r="R43" s="16"/>
      <c r="S43" s="16"/>
      <c r="T43" s="16"/>
      <c r="U43" s="41"/>
      <c r="V43" s="1"/>
      <c r="W43" s="34">
        <v>2358</v>
      </c>
      <c r="X43" s="33"/>
      <c r="Y43" s="33"/>
      <c r="Z43" s="33"/>
      <c r="AA43" s="33">
        <f t="shared" si="19"/>
        <v>50647</v>
      </c>
      <c r="AB43" s="33"/>
      <c r="AC43" s="46">
        <f t="shared" si="23"/>
        <v>5.7841036792047731E-2</v>
      </c>
      <c r="AD43" s="33"/>
      <c r="AE43" s="33">
        <f t="shared" si="24"/>
        <v>1489.6176470588234</v>
      </c>
      <c r="AF43" s="50"/>
      <c r="AG43" s="33"/>
      <c r="AH43" s="33"/>
      <c r="AI43" s="33"/>
      <c r="AJ43" s="50"/>
      <c r="AK43" s="1"/>
      <c r="AL43" s="23">
        <f t="shared" si="7"/>
        <v>1127</v>
      </c>
      <c r="AM43" s="24"/>
      <c r="AN43" s="24"/>
      <c r="AO43" s="24"/>
      <c r="AP43" s="24">
        <v>84050</v>
      </c>
      <c r="AQ43" s="24"/>
      <c r="AR43" s="25">
        <f t="shared" si="8"/>
        <v>1.3590921698443134E-2</v>
      </c>
      <c r="AS43" s="25"/>
      <c r="AT43" s="25"/>
      <c r="AU43" s="24"/>
      <c r="AV43" s="341">
        <f t="shared" si="9"/>
        <v>9.5988689209066905E-2</v>
      </c>
      <c r="AW43" s="341"/>
      <c r="AX43" s="24">
        <f t="shared" si="10"/>
        <v>2472.0588235294117</v>
      </c>
      <c r="AY43" s="351"/>
      <c r="AZ43" s="1"/>
      <c r="BA43" s="66">
        <f t="shared" si="17"/>
        <v>137950</v>
      </c>
      <c r="BB43" s="67"/>
      <c r="BC43" s="67">
        <v>4325342</v>
      </c>
      <c r="BD43" s="67"/>
      <c r="BE43" s="67">
        <f t="shared" si="12"/>
        <v>30210</v>
      </c>
      <c r="BF43" s="67"/>
      <c r="BG43" s="156">
        <f t="shared" si="20"/>
        <v>0.21899238854657485</v>
      </c>
      <c r="BH43" s="67"/>
      <c r="BI43" s="183"/>
      <c r="BJ43" s="67"/>
      <c r="BK43" s="67"/>
      <c r="BL43" s="67"/>
      <c r="BM43" s="67"/>
      <c r="BN43" s="66">
        <f t="shared" si="21"/>
        <v>127215.94117647059</v>
      </c>
      <c r="BO43" s="67"/>
      <c r="BP43" s="67">
        <f t="shared" si="16"/>
        <v>602246</v>
      </c>
      <c r="BQ43" s="67"/>
      <c r="BR43" s="74">
        <f t="shared" si="13"/>
        <v>0.13923661990196382</v>
      </c>
      <c r="BS43" s="67"/>
      <c r="BT43" s="86"/>
      <c r="BU43" s="183"/>
      <c r="BV43" s="1"/>
      <c r="BW43">
        <f t="shared" si="11"/>
        <v>34</v>
      </c>
    </row>
    <row r="44" spans="2:75" x14ac:dyDescent="0.3">
      <c r="B44" s="171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907524</v>
      </c>
      <c r="I44" s="16"/>
      <c r="J44" s="38">
        <f t="shared" si="1"/>
        <v>3.6431162234018252E-2</v>
      </c>
      <c r="K44" s="16"/>
      <c r="L44" s="16"/>
      <c r="M44" s="16"/>
      <c r="N44" s="16"/>
      <c r="O44" s="16">
        <f t="shared" si="22"/>
        <v>25929.257142857143</v>
      </c>
      <c r="P44" s="41"/>
      <c r="Q44" s="17"/>
      <c r="R44" s="16"/>
      <c r="S44" s="16"/>
      <c r="T44" s="16"/>
      <c r="U44" s="41"/>
      <c r="V44" s="1"/>
      <c r="W44" s="34">
        <v>2340</v>
      </c>
      <c r="X44" s="33"/>
      <c r="Y44" s="33"/>
      <c r="Z44" s="33"/>
      <c r="AA44" s="33">
        <f t="shared" si="19"/>
        <v>52987</v>
      </c>
      <c r="AB44" s="33"/>
      <c r="AC44" s="46">
        <f t="shared" si="23"/>
        <v>5.8386334686465591E-2</v>
      </c>
      <c r="AD44" s="33"/>
      <c r="AE44" s="33">
        <f t="shared" si="24"/>
        <v>1513.9142857142858</v>
      </c>
      <c r="AF44" s="50"/>
      <c r="AG44" s="33"/>
      <c r="AH44" s="33"/>
      <c r="AI44" s="33"/>
      <c r="AJ44" s="50"/>
      <c r="AK44" s="1"/>
      <c r="AL44" s="23">
        <f t="shared" si="7"/>
        <v>1872</v>
      </c>
      <c r="AM44" s="24"/>
      <c r="AN44" s="24"/>
      <c r="AO44" s="24"/>
      <c r="AP44" s="24">
        <v>85922</v>
      </c>
      <c r="AQ44" s="24"/>
      <c r="AR44" s="25">
        <f t="shared" si="8"/>
        <v>2.2272456870910173E-2</v>
      </c>
      <c r="AS44" s="25"/>
      <c r="AT44" s="25"/>
      <c r="AU44" s="24"/>
      <c r="AV44" s="341">
        <f t="shared" ref="AV44:AV68" si="25">+AP44/H44</f>
        <v>9.4677385942410333E-2</v>
      </c>
      <c r="AW44" s="341"/>
      <c r="AX44" s="24">
        <f t="shared" ref="AX44:AX68" si="26">+AP44/BW44</f>
        <v>2454.9142857142856</v>
      </c>
      <c r="AY44" s="351"/>
      <c r="AZ44" s="1"/>
      <c r="BA44" s="66">
        <f t="shared" si="17"/>
        <v>371362</v>
      </c>
      <c r="BB44" s="67"/>
      <c r="BC44" s="67">
        <v>4696704</v>
      </c>
      <c r="BD44" s="67"/>
      <c r="BE44" s="67">
        <f t="shared" si="12"/>
        <v>31900</v>
      </c>
      <c r="BF44" s="67"/>
      <c r="BG44" s="156">
        <f t="shared" si="20"/>
        <v>8.590001130971936E-2</v>
      </c>
      <c r="BH44" s="67"/>
      <c r="BI44" s="183"/>
      <c r="BJ44" s="67"/>
      <c r="BK44" s="67"/>
      <c r="BL44" s="67"/>
      <c r="BM44" s="67"/>
      <c r="BN44" s="66">
        <f t="shared" si="21"/>
        <v>134191.54285714286</v>
      </c>
      <c r="BO44" s="67"/>
      <c r="BP44" s="67">
        <f t="shared" si="16"/>
        <v>634146</v>
      </c>
      <c r="BQ44" s="67"/>
      <c r="BR44" s="74">
        <f t="shared" si="13"/>
        <v>0.13501936677295398</v>
      </c>
      <c r="BS44" s="67"/>
      <c r="BT44" s="86"/>
      <c r="BU44" s="183"/>
      <c r="BV44" s="1"/>
      <c r="BW44">
        <f t="shared" si="11"/>
        <v>35</v>
      </c>
    </row>
    <row r="45" spans="2:75" x14ac:dyDescent="0.3">
      <c r="B45" s="171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946288</v>
      </c>
      <c r="I45" s="16"/>
      <c r="J45" s="38">
        <f t="shared" si="1"/>
        <v>4.2714021888126376E-2</v>
      </c>
      <c r="K45" s="16"/>
      <c r="L45" s="16"/>
      <c r="M45" s="16"/>
      <c r="N45" s="16"/>
      <c r="O45" s="16">
        <f t="shared" si="22"/>
        <v>26285.777777777777</v>
      </c>
      <c r="P45" s="41"/>
      <c r="Q45" s="17"/>
      <c r="R45" s="16"/>
      <c r="S45" s="16"/>
      <c r="T45" s="16"/>
      <c r="U45" s="41"/>
      <c r="V45" s="1"/>
      <c r="W45" s="34">
        <v>1957</v>
      </c>
      <c r="X45" s="33"/>
      <c r="Y45" s="33"/>
      <c r="Z45" s="33"/>
      <c r="AA45" s="33">
        <f t="shared" si="19"/>
        <v>54944</v>
      </c>
      <c r="AB45" s="33"/>
      <c r="AC45" s="46">
        <f t="shared" si="23"/>
        <v>5.8062661684392065E-2</v>
      </c>
      <c r="AD45" s="33"/>
      <c r="AE45" s="33">
        <f t="shared" si="24"/>
        <v>1526.2222222222222</v>
      </c>
      <c r="AF45" s="50"/>
      <c r="AG45" s="33"/>
      <c r="AH45" s="33"/>
      <c r="AI45" s="33"/>
      <c r="AJ45" s="50"/>
      <c r="AK45" s="1"/>
      <c r="AL45" s="23">
        <f t="shared" si="7"/>
        <v>24510</v>
      </c>
      <c r="AM45" s="24"/>
      <c r="AN45" s="24"/>
      <c r="AO45" s="24"/>
      <c r="AP45" s="24">
        <v>110432</v>
      </c>
      <c r="AQ45" s="24"/>
      <c r="AR45" s="25">
        <f t="shared" si="8"/>
        <v>0.28525872302786248</v>
      </c>
      <c r="AS45" s="25"/>
      <c r="AT45" s="25"/>
      <c r="AU45" s="24"/>
      <c r="AV45" s="341">
        <f t="shared" si="25"/>
        <v>0.11670020120724346</v>
      </c>
      <c r="AW45" s="341"/>
      <c r="AX45" s="24">
        <f t="shared" si="26"/>
        <v>3067.5555555555557</v>
      </c>
      <c r="AY45" s="351"/>
      <c r="AZ45" s="1"/>
      <c r="BA45" s="66">
        <f t="shared" si="17"/>
        <v>318898</v>
      </c>
      <c r="BB45" s="67"/>
      <c r="BC45" s="67">
        <v>5015602</v>
      </c>
      <c r="BD45" s="67"/>
      <c r="BE45" s="67">
        <f t="shared" si="12"/>
        <v>38764</v>
      </c>
      <c r="BF45" s="67"/>
      <c r="BG45" s="156">
        <f t="shared" si="20"/>
        <v>0.12155610884985167</v>
      </c>
      <c r="BH45" s="67"/>
      <c r="BI45" s="183"/>
      <c r="BJ45" s="67"/>
      <c r="BK45" s="67"/>
      <c r="BL45" s="67"/>
      <c r="BM45" s="67"/>
      <c r="BN45" s="66">
        <f t="shared" si="21"/>
        <v>139322.27777777778</v>
      </c>
      <c r="BO45" s="67"/>
      <c r="BP45" s="67">
        <f t="shared" si="16"/>
        <v>672910</v>
      </c>
      <c r="BQ45" s="67"/>
      <c r="BR45" s="74">
        <f t="shared" si="13"/>
        <v>0.13416335666187229</v>
      </c>
      <c r="BS45" s="67"/>
      <c r="BT45" s="86"/>
      <c r="BU45" s="183"/>
      <c r="BV45" s="1"/>
      <c r="BW45">
        <f t="shared" si="11"/>
        <v>36</v>
      </c>
    </row>
    <row r="46" spans="2:75" x14ac:dyDescent="0.3">
      <c r="B46" s="476">
        <f t="shared" si="6"/>
        <v>43946</v>
      </c>
      <c r="C46" s="61"/>
      <c r="D46" s="17">
        <v>35419</v>
      </c>
      <c r="E46" s="16"/>
      <c r="F46" s="16"/>
      <c r="G46" s="16"/>
      <c r="H46" s="16">
        <f>+H45+D46</f>
        <v>981707</v>
      </c>
      <c r="I46" s="16"/>
      <c r="J46" s="38">
        <f t="shared" si="1"/>
        <v>3.7429408383071537E-2</v>
      </c>
      <c r="K46" s="16"/>
      <c r="L46" s="16"/>
      <c r="M46" s="16"/>
      <c r="N46" s="16"/>
      <c r="O46" s="16">
        <f t="shared" si="22"/>
        <v>26532.62162162162</v>
      </c>
      <c r="P46" s="41"/>
      <c r="Q46" s="17"/>
      <c r="R46" s="16"/>
      <c r="S46" s="60"/>
      <c r="T46" s="16"/>
      <c r="U46" s="41"/>
      <c r="V46" s="477"/>
      <c r="W46" s="34">
        <v>2065</v>
      </c>
      <c r="X46" s="33"/>
      <c r="Y46" s="33"/>
      <c r="Z46" s="33"/>
      <c r="AA46" s="33">
        <f t="shared" si="19"/>
        <v>57009</v>
      </c>
      <c r="AB46" s="33"/>
      <c r="AC46" s="46">
        <f t="shared" si="23"/>
        <v>5.8071298259052856E-2</v>
      </c>
      <c r="AD46" s="33"/>
      <c r="AE46" s="33">
        <f t="shared" si="24"/>
        <v>1540.7837837837837</v>
      </c>
      <c r="AF46" s="50"/>
      <c r="AG46" s="33"/>
      <c r="AH46" s="33"/>
      <c r="AI46" s="231"/>
      <c r="AJ46" s="50"/>
      <c r="AK46" s="1"/>
      <c r="AL46" s="23">
        <f t="shared" si="7"/>
        <v>7730</v>
      </c>
      <c r="AM46" s="24"/>
      <c r="AN46" s="24"/>
      <c r="AO46" s="24"/>
      <c r="AP46" s="24">
        <v>118162</v>
      </c>
      <c r="AQ46" s="24"/>
      <c r="AR46" s="25">
        <f t="shared" si="8"/>
        <v>6.9997826716893655E-2</v>
      </c>
      <c r="AS46" s="25"/>
      <c r="AT46" s="25"/>
      <c r="AU46" s="24"/>
      <c r="AV46" s="341">
        <f t="shared" si="25"/>
        <v>0.12036381527278506</v>
      </c>
      <c r="AW46" s="341"/>
      <c r="AX46" s="24">
        <f t="shared" si="26"/>
        <v>3193.5675675675675</v>
      </c>
      <c r="AY46" s="351"/>
      <c r="AZ46" s="1"/>
      <c r="BA46" s="66">
        <f t="shared" si="17"/>
        <v>263635</v>
      </c>
      <c r="BB46" s="67"/>
      <c r="BC46" s="67">
        <v>5279237</v>
      </c>
      <c r="BD46" s="67"/>
      <c r="BE46" s="67">
        <f t="shared" si="12"/>
        <v>35419</v>
      </c>
      <c r="BF46" s="67"/>
      <c r="BG46" s="156">
        <f t="shared" si="20"/>
        <v>0.13434862594116867</v>
      </c>
      <c r="BH46" s="67"/>
      <c r="BI46" s="183"/>
      <c r="BJ46" s="67"/>
      <c r="BK46" s="67"/>
      <c r="BL46" s="67"/>
      <c r="BM46" s="156"/>
      <c r="BN46" s="66">
        <f t="shared" si="21"/>
        <v>142682.08108108109</v>
      </c>
      <c r="BO46" s="67"/>
      <c r="BP46" s="67">
        <f t="shared" si="16"/>
        <v>708329</v>
      </c>
      <c r="BQ46" s="67"/>
      <c r="BR46" s="74">
        <f t="shared" si="13"/>
        <v>0.13417260865537955</v>
      </c>
      <c r="BS46" s="67"/>
      <c r="BT46" s="86"/>
      <c r="BU46" s="183"/>
      <c r="BV46" s="1"/>
      <c r="BW46">
        <f t="shared" si="11"/>
        <v>37</v>
      </c>
    </row>
    <row r="47" spans="2:75" x14ac:dyDescent="0.3">
      <c r="B47" s="390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1008216</v>
      </c>
      <c r="I47" s="16"/>
      <c r="J47" s="38">
        <f t="shared" si="1"/>
        <v>2.7002965243193743E-2</v>
      </c>
      <c r="K47" s="16"/>
      <c r="L47" s="16"/>
      <c r="M47" s="16"/>
      <c r="N47" s="16"/>
      <c r="O47" s="16">
        <f t="shared" si="22"/>
        <v>26532</v>
      </c>
      <c r="P47" s="41"/>
      <c r="Q47" s="17">
        <f>SUM(D41:D47)</f>
        <v>217050</v>
      </c>
      <c r="R47" s="16"/>
      <c r="S47" s="60">
        <f>+(Q47-Q40)/Q40</f>
        <v>6.0461707585196041E-2</v>
      </c>
      <c r="T47" s="16"/>
      <c r="U47" s="41"/>
      <c r="V47" s="391"/>
      <c r="W47" s="34">
        <v>1156</v>
      </c>
      <c r="X47" s="33"/>
      <c r="Y47" s="33"/>
      <c r="Z47" s="33"/>
      <c r="AA47" s="33">
        <f t="shared" si="19"/>
        <v>58165</v>
      </c>
      <c r="AB47" s="33"/>
      <c r="AC47" s="46">
        <f t="shared" si="23"/>
        <v>5.7691010656446634E-2</v>
      </c>
      <c r="AD47" s="33"/>
      <c r="AE47" s="33">
        <f t="shared" si="24"/>
        <v>1530.6578947368421</v>
      </c>
      <c r="AF47" s="50"/>
      <c r="AG47" s="33">
        <f>SUM(W41:W47)</f>
        <v>14511</v>
      </c>
      <c r="AH47" s="33"/>
      <c r="AI47" s="231">
        <f>+(AG47-AG40)/AG40</f>
        <v>-1.2924290864567036E-2</v>
      </c>
      <c r="AJ47" s="50"/>
      <c r="AK47" s="391"/>
      <c r="AL47" s="23">
        <f t="shared" si="7"/>
        <v>619</v>
      </c>
      <c r="AM47" s="24"/>
      <c r="AN47" s="24"/>
      <c r="AO47" s="24"/>
      <c r="AP47" s="24">
        <v>118781</v>
      </c>
      <c r="AQ47" s="24"/>
      <c r="AR47" s="25">
        <f t="shared" si="8"/>
        <v>5.238570775714697E-3</v>
      </c>
      <c r="AS47" s="25"/>
      <c r="AT47" s="25"/>
      <c r="AU47" s="24"/>
      <c r="AV47" s="341">
        <f t="shared" si="25"/>
        <v>0.1178130479976513</v>
      </c>
      <c r="AW47" s="341"/>
      <c r="AX47" s="24">
        <f t="shared" si="26"/>
        <v>3125.8157894736842</v>
      </c>
      <c r="AY47" s="351"/>
      <c r="AZ47" s="391"/>
      <c r="BA47" s="66">
        <f t="shared" si="17"/>
        <v>191227</v>
      </c>
      <c r="BB47" s="67"/>
      <c r="BC47" s="67">
        <v>5470464</v>
      </c>
      <c r="BD47" s="67"/>
      <c r="BE47" s="67">
        <f t="shared" si="12"/>
        <v>26509</v>
      </c>
      <c r="BF47" s="67"/>
      <c r="BG47" s="156">
        <f t="shared" si="20"/>
        <v>0.13862582166744236</v>
      </c>
      <c r="BH47" s="67"/>
      <c r="BI47" s="183"/>
      <c r="BJ47" s="67"/>
      <c r="BK47" s="67">
        <f>SUM(BA41:BA47)</f>
        <v>1608915</v>
      </c>
      <c r="BL47" s="67"/>
      <c r="BM47" s="156">
        <f>+Q47/BK47</f>
        <v>0.13490457855138402</v>
      </c>
      <c r="BN47" s="66">
        <f t="shared" si="21"/>
        <v>143959.57894736843</v>
      </c>
      <c r="BO47" s="67"/>
      <c r="BP47" s="67">
        <f t="shared" si="16"/>
        <v>734838</v>
      </c>
      <c r="BQ47" s="67"/>
      <c r="BR47" s="74">
        <f t="shared" si="13"/>
        <v>0.13432827635827602</v>
      </c>
      <c r="BS47" s="67"/>
      <c r="BT47" s="86"/>
      <c r="BU47" s="183"/>
      <c r="BV47" s="1"/>
      <c r="BW47">
        <f t="shared" si="11"/>
        <v>38</v>
      </c>
    </row>
    <row r="48" spans="2:75" x14ac:dyDescent="0.3">
      <c r="B48" s="171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1031412</v>
      </c>
      <c r="I48" s="16"/>
      <c r="J48" s="38">
        <f t="shared" si="1"/>
        <v>2.3006974695898498E-2</v>
      </c>
      <c r="K48" s="16"/>
      <c r="L48" s="16"/>
      <c r="M48" s="16"/>
      <c r="N48" s="16"/>
      <c r="O48" s="16">
        <f t="shared" si="22"/>
        <v>26446.461538461539</v>
      </c>
      <c r="P48" s="41"/>
      <c r="Q48" s="17">
        <f>+Q47/7</f>
        <v>31007.142857142859</v>
      </c>
      <c r="R48" s="16"/>
      <c r="S48" s="16"/>
      <c r="T48" s="16"/>
      <c r="U48" s="41"/>
      <c r="V48" s="10"/>
      <c r="W48" s="34">
        <f>1384-1</f>
        <v>1383</v>
      </c>
      <c r="X48" s="33"/>
      <c r="Y48" s="33"/>
      <c r="Z48" s="33"/>
      <c r="AA48" s="33">
        <f t="shared" si="19"/>
        <v>59548</v>
      </c>
      <c r="AB48" s="33"/>
      <c r="AC48" s="46">
        <f t="shared" si="23"/>
        <v>5.7734445594970776E-2</v>
      </c>
      <c r="AD48" s="33"/>
      <c r="AE48" s="33">
        <f t="shared" si="24"/>
        <v>1526.8717948717949</v>
      </c>
      <c r="AF48" s="50"/>
      <c r="AG48" s="33"/>
      <c r="AH48" s="33"/>
      <c r="AI48" s="33"/>
      <c r="AJ48" s="50"/>
      <c r="AK48" s="10"/>
      <c r="AL48" s="23">
        <f t="shared" si="7"/>
        <v>19024</v>
      </c>
      <c r="AM48" s="24"/>
      <c r="AN48" s="24"/>
      <c r="AO48" s="24"/>
      <c r="AP48" s="24">
        <v>137805</v>
      </c>
      <c r="AQ48" s="24"/>
      <c r="AR48" s="25">
        <f t="shared" si="8"/>
        <v>0.16016029499667456</v>
      </c>
      <c r="AS48" s="25"/>
      <c r="AT48" s="25"/>
      <c r="AU48" s="24"/>
      <c r="AV48" s="341">
        <f t="shared" si="25"/>
        <v>0.13360810229084014</v>
      </c>
      <c r="AW48" s="341"/>
      <c r="AX48" s="24">
        <f t="shared" si="26"/>
        <v>3533.4615384615386</v>
      </c>
      <c r="AY48" s="351"/>
      <c r="AZ48" s="10"/>
      <c r="BA48" s="66">
        <f t="shared" si="17"/>
        <v>202776</v>
      </c>
      <c r="BB48" s="67"/>
      <c r="BC48" s="67">
        <v>5673240</v>
      </c>
      <c r="BD48" s="67"/>
      <c r="BE48" s="67">
        <f t="shared" si="12"/>
        <v>23196</v>
      </c>
      <c r="BF48" s="67"/>
      <c r="BG48" s="156">
        <f t="shared" si="20"/>
        <v>0.11439223576754645</v>
      </c>
      <c r="BH48" s="67"/>
      <c r="BI48" s="183"/>
      <c r="BJ48" s="67"/>
      <c r="BK48" s="67"/>
      <c r="BL48" s="67"/>
      <c r="BM48" s="67"/>
      <c r="BN48" s="66">
        <f t="shared" si="21"/>
        <v>145467.69230769231</v>
      </c>
      <c r="BO48" s="67"/>
      <c r="BP48" s="67">
        <f t="shared" si="16"/>
        <v>758034</v>
      </c>
      <c r="BQ48" s="67"/>
      <c r="BR48" s="74">
        <f t="shared" si="13"/>
        <v>0.133615711656831</v>
      </c>
      <c r="BS48" s="67"/>
      <c r="BT48" s="86"/>
      <c r="BU48" s="183"/>
      <c r="BV48" s="1"/>
      <c r="BW48">
        <f t="shared" si="11"/>
        <v>39</v>
      </c>
    </row>
    <row r="49" spans="2:79" x14ac:dyDescent="0.3">
      <c r="B49" s="171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1056821</v>
      </c>
      <c r="I49" s="16"/>
      <c r="J49" s="38">
        <f t="shared" si="1"/>
        <v>2.4635160343296374E-2</v>
      </c>
      <c r="K49" s="16"/>
      <c r="L49" s="16"/>
      <c r="M49" s="16"/>
      <c r="N49" s="16"/>
      <c r="O49" s="16">
        <f t="shared" si="22"/>
        <v>26420.525000000001</v>
      </c>
      <c r="P49" s="41"/>
      <c r="Q49" s="17"/>
      <c r="R49" s="16"/>
      <c r="S49" s="16"/>
      <c r="T49" s="16"/>
      <c r="U49" s="41"/>
      <c r="V49" s="1"/>
      <c r="W49" s="34">
        <v>2470</v>
      </c>
      <c r="X49" s="33"/>
      <c r="Y49" s="33"/>
      <c r="Z49" s="33"/>
      <c r="AA49" s="33">
        <f t="shared" si="19"/>
        <v>62018</v>
      </c>
      <c r="AB49" s="33"/>
      <c r="AC49" s="46">
        <f t="shared" si="23"/>
        <v>5.8683542435284688E-2</v>
      </c>
      <c r="AD49" s="33"/>
      <c r="AE49" s="33">
        <f t="shared" si="24"/>
        <v>1550.45</v>
      </c>
      <c r="AF49" s="50"/>
      <c r="AG49" s="33"/>
      <c r="AH49" s="231">
        <f>+AH51/AH50</f>
        <v>6.194382152455194E-2</v>
      </c>
      <c r="AI49" s="33"/>
      <c r="AJ49" s="50"/>
      <c r="AK49" s="1"/>
      <c r="AL49" s="23">
        <f t="shared" si="7"/>
        <v>4146</v>
      </c>
      <c r="AM49" s="24"/>
      <c r="AN49" s="24"/>
      <c r="AO49" s="24"/>
      <c r="AP49" s="24">
        <v>141951</v>
      </c>
      <c r="AQ49" s="24"/>
      <c r="AR49" s="25">
        <f t="shared" si="8"/>
        <v>3.0085991074344183E-2</v>
      </c>
      <c r="AS49" s="25"/>
      <c r="AT49" s="25"/>
      <c r="AU49" s="24"/>
      <c r="AV49" s="341">
        <f t="shared" si="25"/>
        <v>0.13431886762280462</v>
      </c>
      <c r="AW49" s="341"/>
      <c r="AX49" s="24">
        <f t="shared" si="26"/>
        <v>3548.7750000000001</v>
      </c>
      <c r="AY49" s="351"/>
      <c r="AZ49" s="1"/>
      <c r="BA49" s="66">
        <f t="shared" si="17"/>
        <v>187926</v>
      </c>
      <c r="BB49" s="67"/>
      <c r="BC49" s="67">
        <v>5861166</v>
      </c>
      <c r="BD49" s="67"/>
      <c r="BE49" s="67">
        <f t="shared" si="12"/>
        <v>25409</v>
      </c>
      <c r="BF49" s="67"/>
      <c r="BG49" s="156">
        <f t="shared" si="20"/>
        <v>0.13520747528282409</v>
      </c>
      <c r="BH49" s="67"/>
      <c r="BI49" s="183"/>
      <c r="BJ49" s="67"/>
      <c r="BK49" s="67"/>
      <c r="BL49" s="67"/>
      <c r="BM49" s="67"/>
      <c r="BN49" s="66">
        <f t="shared" si="21"/>
        <v>146529.15</v>
      </c>
      <c r="BO49" s="67"/>
      <c r="BP49" s="67">
        <f t="shared" si="16"/>
        <v>783443</v>
      </c>
      <c r="BQ49" s="67"/>
      <c r="BR49" s="74">
        <f t="shared" si="13"/>
        <v>0.13366674822040528</v>
      </c>
      <c r="BS49" s="67"/>
      <c r="BT49" s="86"/>
      <c r="BU49" s="183"/>
      <c r="BV49" s="1"/>
      <c r="BW49">
        <f t="shared" si="11"/>
        <v>40</v>
      </c>
    </row>
    <row r="50" spans="2:79" x14ac:dyDescent="0.3">
      <c r="B50" s="171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1085250</v>
      </c>
      <c r="I50" s="16"/>
      <c r="J50" s="38">
        <f t="shared" si="1"/>
        <v>2.6900487405151864E-2</v>
      </c>
      <c r="K50" s="16"/>
      <c r="L50" s="16"/>
      <c r="M50" s="16"/>
      <c r="N50" s="16"/>
      <c r="O50" s="16">
        <f t="shared" si="22"/>
        <v>26469.512195121952</v>
      </c>
      <c r="P50" s="41"/>
      <c r="Q50" s="17"/>
      <c r="R50" s="16"/>
      <c r="S50" s="16"/>
      <c r="T50" s="16"/>
      <c r="U50" s="41"/>
      <c r="V50" s="1"/>
      <c r="W50" s="34">
        <v>2390</v>
      </c>
      <c r="X50" s="33"/>
      <c r="Y50" s="33"/>
      <c r="Z50" s="33"/>
      <c r="AA50" s="33">
        <f t="shared" si="19"/>
        <v>64408</v>
      </c>
      <c r="AB50" s="33"/>
      <c r="AC50" s="46">
        <f t="shared" si="23"/>
        <v>5.9348537203409352E-2</v>
      </c>
      <c r="AD50" s="33"/>
      <c r="AE50" s="33">
        <f t="shared" si="24"/>
        <v>1570.9268292682927</v>
      </c>
      <c r="AF50" s="50"/>
      <c r="AG50" s="33"/>
      <c r="AH50" s="33">
        <f>SUM(D22:D51)</f>
        <v>898992</v>
      </c>
      <c r="AI50" s="33"/>
      <c r="AJ50" s="50"/>
      <c r="AK50" s="1"/>
      <c r="AL50" s="23">
        <f t="shared" si="7"/>
        <v>5460</v>
      </c>
      <c r="AM50" s="24"/>
      <c r="AN50" s="24"/>
      <c r="AO50" s="24"/>
      <c r="AP50" s="24">
        <v>147411</v>
      </c>
      <c r="AQ50" s="24"/>
      <c r="AR50" s="25">
        <f t="shared" si="8"/>
        <v>3.8463977006150007E-2</v>
      </c>
      <c r="AS50" s="25"/>
      <c r="AT50" s="25"/>
      <c r="AU50" s="24"/>
      <c r="AV50" s="341">
        <f t="shared" si="25"/>
        <v>0.13583137525915687</v>
      </c>
      <c r="AW50" s="341"/>
      <c r="AX50" s="24">
        <f t="shared" si="26"/>
        <v>3595.3902439024391</v>
      </c>
      <c r="AY50" s="351"/>
      <c r="AZ50" s="1"/>
      <c r="BA50" s="66">
        <f t="shared" si="17"/>
        <v>278745</v>
      </c>
      <c r="BB50" s="67"/>
      <c r="BC50" s="67">
        <v>6139911</v>
      </c>
      <c r="BD50" s="67"/>
      <c r="BE50" s="67">
        <f t="shared" si="12"/>
        <v>28429</v>
      </c>
      <c r="BF50" s="67"/>
      <c r="BG50" s="156">
        <f t="shared" si="20"/>
        <v>0.10198927335019463</v>
      </c>
      <c r="BH50" s="67"/>
      <c r="BI50" s="183"/>
      <c r="BJ50" s="67"/>
      <c r="BK50" s="67"/>
      <c r="BL50" s="67"/>
      <c r="BM50" s="67"/>
      <c r="BN50" s="66">
        <f t="shared" si="21"/>
        <v>149753.92682926828</v>
      </c>
      <c r="BO50" s="67"/>
      <c r="BP50" s="67">
        <f t="shared" si="16"/>
        <v>811872</v>
      </c>
      <c r="BQ50" s="67"/>
      <c r="BR50" s="74">
        <f t="shared" si="13"/>
        <v>0.13222862676673977</v>
      </c>
      <c r="BS50" s="67"/>
      <c r="BT50" s="86"/>
      <c r="BU50" s="183"/>
      <c r="BV50" s="1"/>
      <c r="BW50">
        <f t="shared" si="11"/>
        <v>41</v>
      </c>
    </row>
    <row r="51" spans="2:79" x14ac:dyDescent="0.3">
      <c r="B51" s="171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1116079</v>
      </c>
      <c r="I51" s="16"/>
      <c r="J51" s="38">
        <f t="shared" si="1"/>
        <v>2.8407279428703063E-2</v>
      </c>
      <c r="K51" s="16"/>
      <c r="L51" s="16"/>
      <c r="M51" s="16"/>
      <c r="N51" s="16"/>
      <c r="O51" s="16">
        <f t="shared" si="22"/>
        <v>26573.309523809523</v>
      </c>
      <c r="P51" s="41"/>
      <c r="Q51" s="17"/>
      <c r="R51" s="16"/>
      <c r="S51" s="16"/>
      <c r="T51" s="16"/>
      <c r="U51" s="41"/>
      <c r="V51" s="1"/>
      <c r="W51" s="34">
        <v>2201</v>
      </c>
      <c r="X51" s="33"/>
      <c r="Y51" s="33"/>
      <c r="Z51" s="33"/>
      <c r="AA51" s="33">
        <f t="shared" si="19"/>
        <v>66609</v>
      </c>
      <c r="AB51" s="33"/>
      <c r="AC51" s="46">
        <f t="shared" si="23"/>
        <v>5.9681259122338112E-2</v>
      </c>
      <c r="AD51" s="33"/>
      <c r="AE51" s="33">
        <f t="shared" si="24"/>
        <v>1585.9285714285713</v>
      </c>
      <c r="AF51" s="50"/>
      <c r="AG51" s="33"/>
      <c r="AH51" s="33">
        <f>SUM(W22:W51)</f>
        <v>55687</v>
      </c>
      <c r="AI51" s="33"/>
      <c r="AJ51" s="50"/>
      <c r="AK51" s="1"/>
      <c r="AL51" s="23">
        <f t="shared" si="7"/>
        <v>4913</v>
      </c>
      <c r="AM51" s="24"/>
      <c r="AN51" s="24"/>
      <c r="AO51" s="24"/>
      <c r="AP51" s="24">
        <v>152324</v>
      </c>
      <c r="AQ51" s="24"/>
      <c r="AR51" s="25">
        <f t="shared" si="8"/>
        <v>3.3328584705347636E-2</v>
      </c>
      <c r="AS51" s="25"/>
      <c r="AT51" s="25"/>
      <c r="AU51" s="24"/>
      <c r="AV51" s="341">
        <f t="shared" si="25"/>
        <v>0.1364813781103309</v>
      </c>
      <c r="AW51" s="341"/>
      <c r="AX51" s="24">
        <f t="shared" si="26"/>
        <v>3626.7619047619046</v>
      </c>
      <c r="AY51" s="351"/>
      <c r="AZ51" s="1"/>
      <c r="BA51" s="66">
        <f t="shared" si="17"/>
        <v>236535</v>
      </c>
      <c r="BB51" s="67"/>
      <c r="BC51" s="67">
        <v>6376446</v>
      </c>
      <c r="BD51" s="67"/>
      <c r="BE51" s="67">
        <f t="shared" si="12"/>
        <v>30829</v>
      </c>
      <c r="BF51" s="67"/>
      <c r="BG51" s="156">
        <f t="shared" si="20"/>
        <v>0.13033589109434121</v>
      </c>
      <c r="BH51" s="67"/>
      <c r="BI51" s="183"/>
      <c r="BJ51" s="67"/>
      <c r="BK51" s="67">
        <f>SUM(BA22:BA51)</f>
        <v>6376446</v>
      </c>
      <c r="BL51" s="67"/>
      <c r="BM51" s="67"/>
      <c r="BN51" s="66">
        <f t="shared" si="21"/>
        <v>151820.14285714287</v>
      </c>
      <c r="BO51" s="67"/>
      <c r="BP51" s="67">
        <f t="shared" si="16"/>
        <v>842701</v>
      </c>
      <c r="BQ51" s="67"/>
      <c r="BR51" s="74">
        <f t="shared" si="13"/>
        <v>0.13215841551861335</v>
      </c>
      <c r="BS51" s="67"/>
      <c r="BT51" s="86"/>
      <c r="BU51" s="183"/>
      <c r="BV51" s="1"/>
      <c r="BW51">
        <f t="shared" si="11"/>
        <v>42</v>
      </c>
    </row>
    <row r="52" spans="2:79" x14ac:dyDescent="0.3">
      <c r="B52" s="171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1152086</v>
      </c>
      <c r="I52" s="16"/>
      <c r="J52" s="38">
        <f t="shared" ref="J52:J64" si="28">+D52/H51</f>
        <v>3.2262053134231534E-2</v>
      </c>
      <c r="K52" s="16"/>
      <c r="L52" s="16"/>
      <c r="M52" s="16"/>
      <c r="N52" s="16"/>
      <c r="O52" s="16">
        <f t="shared" si="22"/>
        <v>26792.697674418603</v>
      </c>
      <c r="P52" s="41"/>
      <c r="Q52" s="17"/>
      <c r="R52" s="16"/>
      <c r="S52" s="16"/>
      <c r="T52" s="16"/>
      <c r="U52" s="41"/>
      <c r="V52" s="1"/>
      <c r="W52" s="34">
        <v>1897</v>
      </c>
      <c r="X52" s="33"/>
      <c r="Y52" s="33"/>
      <c r="Z52" s="33"/>
      <c r="AA52" s="33">
        <f t="shared" ref="AA52:AA64" si="29">+AA51+W52</f>
        <v>68506</v>
      </c>
      <c r="AB52" s="33"/>
      <c r="AC52" s="46">
        <f t="shared" si="23"/>
        <v>5.9462574842503078E-2</v>
      </c>
      <c r="AD52" s="33"/>
      <c r="AE52" s="33">
        <f t="shared" si="24"/>
        <v>1593.1627906976744</v>
      </c>
      <c r="AF52" s="50"/>
      <c r="AG52" s="33"/>
      <c r="AH52" s="33">
        <f>+W52</f>
        <v>1897</v>
      </c>
      <c r="AI52" s="33"/>
      <c r="AJ52" s="50"/>
      <c r="AK52" s="1"/>
      <c r="AL52" s="23">
        <f t="shared" ref="AL52:AL64" si="30">+AP52-AP51</f>
        <v>9239</v>
      </c>
      <c r="AM52" s="24"/>
      <c r="AN52" s="24"/>
      <c r="AO52" s="24"/>
      <c r="AP52" s="24">
        <v>161563</v>
      </c>
      <c r="AQ52" s="24"/>
      <c r="AR52" s="25">
        <f t="shared" ref="AR52:AR64" si="31">+AL52/AP51</f>
        <v>6.0653606785536093E-2</v>
      </c>
      <c r="AS52" s="25"/>
      <c r="AT52" s="25"/>
      <c r="AU52" s="24"/>
      <c r="AV52" s="341">
        <f t="shared" si="25"/>
        <v>0.14023519077568863</v>
      </c>
      <c r="AW52" s="341"/>
      <c r="AX52" s="24">
        <f t="shared" si="26"/>
        <v>3757.2790697674418</v>
      </c>
      <c r="AY52" s="351"/>
      <c r="AZ52" s="503"/>
      <c r="BA52" s="66">
        <f t="shared" ref="BA52:BA64" si="32">+BC52-BC51</f>
        <v>323432</v>
      </c>
      <c r="BB52" s="67"/>
      <c r="BC52" s="67">
        <v>6699878</v>
      </c>
      <c r="BD52" s="67"/>
      <c r="BE52" s="67">
        <f t="shared" si="12"/>
        <v>36007</v>
      </c>
      <c r="BF52" s="67"/>
      <c r="BG52" s="156">
        <f t="shared" ref="BG52:BG64" si="33">+BE52/BA52</f>
        <v>0.11132788344999876</v>
      </c>
      <c r="BH52" s="67"/>
      <c r="BI52" s="183"/>
      <c r="BJ52" s="67"/>
      <c r="BK52" s="67"/>
      <c r="BL52" s="67"/>
      <c r="BM52" s="67"/>
      <c r="BN52" s="66">
        <f t="shared" si="21"/>
        <v>155811.11627906977</v>
      </c>
      <c r="BO52" s="67"/>
      <c r="BP52" s="67">
        <f t="shared" si="16"/>
        <v>878708</v>
      </c>
      <c r="BQ52" s="67"/>
      <c r="BR52" s="74">
        <f t="shared" si="13"/>
        <v>0.13115283591731072</v>
      </c>
      <c r="BS52" s="67"/>
      <c r="BT52" s="86"/>
      <c r="BU52" s="183"/>
      <c r="BV52" s="1"/>
      <c r="BW52">
        <f t="shared" si="11"/>
        <v>43</v>
      </c>
    </row>
    <row r="53" spans="2:79" x14ac:dyDescent="0.3">
      <c r="B53" s="476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1181830</v>
      </c>
      <c r="I53" s="16"/>
      <c r="J53" s="38">
        <f t="shared" si="28"/>
        <v>2.5817517095077971E-2</v>
      </c>
      <c r="K53" s="16"/>
      <c r="L53" s="16"/>
      <c r="M53" s="16"/>
      <c r="N53" s="16"/>
      <c r="O53" s="16">
        <f t="shared" si="22"/>
        <v>26859.772727272728</v>
      </c>
      <c r="P53" s="41"/>
      <c r="Q53" s="17"/>
      <c r="R53" s="16"/>
      <c r="S53" s="60"/>
      <c r="T53" s="16"/>
      <c r="U53" s="41"/>
      <c r="V53" s="477"/>
      <c r="W53" s="34">
        <v>1691</v>
      </c>
      <c r="X53" s="33"/>
      <c r="Y53" s="33"/>
      <c r="Z53" s="33"/>
      <c r="AA53" s="33">
        <f t="shared" si="29"/>
        <v>70197</v>
      </c>
      <c r="AB53" s="33"/>
      <c r="AC53" s="46">
        <f t="shared" si="23"/>
        <v>5.9396867569785843E-2</v>
      </c>
      <c r="AD53" s="33"/>
      <c r="AE53" s="33">
        <f t="shared" si="24"/>
        <v>1595.3863636363637</v>
      </c>
      <c r="AF53" s="50"/>
      <c r="AG53" s="33"/>
      <c r="AH53" s="33">
        <f t="shared" ref="AH53:AH82" si="35">+W53</f>
        <v>1691</v>
      </c>
      <c r="AI53" s="231"/>
      <c r="AJ53" s="50"/>
      <c r="AK53" s="1"/>
      <c r="AL53" s="23">
        <f t="shared" si="30"/>
        <v>11755</v>
      </c>
      <c r="AM53" s="24"/>
      <c r="AN53" s="24"/>
      <c r="AO53" s="24"/>
      <c r="AP53" s="24">
        <v>173318</v>
      </c>
      <c r="AQ53" s="24"/>
      <c r="AR53" s="25">
        <f t="shared" si="31"/>
        <v>7.2757995333089881E-2</v>
      </c>
      <c r="AS53" s="25"/>
      <c r="AT53" s="25"/>
      <c r="AU53" s="24"/>
      <c r="AV53" s="341">
        <f t="shared" si="25"/>
        <v>0.14665222578543446</v>
      </c>
      <c r="AW53" s="341"/>
      <c r="AX53" s="24">
        <f t="shared" si="26"/>
        <v>3939.0454545454545</v>
      </c>
      <c r="AY53" s="351"/>
      <c r="AZ53" s="1"/>
      <c r="BA53" s="66">
        <f t="shared" si="32"/>
        <v>231254</v>
      </c>
      <c r="BB53" s="67"/>
      <c r="BC53" s="67">
        <v>6931132</v>
      </c>
      <c r="BD53" s="67"/>
      <c r="BE53" s="67">
        <f t="shared" si="12"/>
        <v>29744</v>
      </c>
      <c r="BF53" s="67"/>
      <c r="BG53" s="156">
        <f t="shared" si="33"/>
        <v>0.12862047791605766</v>
      </c>
      <c r="BH53" s="67"/>
      <c r="BI53" s="183"/>
      <c r="BJ53" s="67"/>
      <c r="BK53" s="67"/>
      <c r="BL53" s="67"/>
      <c r="BM53" s="156"/>
      <c r="BN53" s="66">
        <f t="shared" si="21"/>
        <v>157525.72727272726</v>
      </c>
      <c r="BO53" s="67"/>
      <c r="BP53" s="67">
        <f t="shared" si="16"/>
        <v>908452</v>
      </c>
      <c r="BQ53" s="67"/>
      <c r="BR53" s="74">
        <f t="shared" si="13"/>
        <v>0.13106834496875835</v>
      </c>
      <c r="BS53" s="67"/>
      <c r="BT53" s="86"/>
      <c r="BU53" s="183"/>
      <c r="BV53" s="1"/>
      <c r="BW53">
        <f t="shared" si="11"/>
        <v>44</v>
      </c>
    </row>
    <row r="54" spans="2:79" x14ac:dyDescent="0.3">
      <c r="B54" s="390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1209178</v>
      </c>
      <c r="I54" s="16"/>
      <c r="J54" s="38">
        <f t="shared" si="28"/>
        <v>2.3140383980775576E-2</v>
      </c>
      <c r="K54" s="16"/>
      <c r="L54" s="16"/>
      <c r="M54" s="16"/>
      <c r="N54" s="16"/>
      <c r="O54" s="16">
        <f t="shared" si="22"/>
        <v>26870.62222222222</v>
      </c>
      <c r="P54" s="41"/>
      <c r="Q54" s="17">
        <f>SUM(D48:D54)</f>
        <v>200962</v>
      </c>
      <c r="R54" s="16"/>
      <c r="S54" s="60">
        <f>+(Q54-Q47)/Q47</f>
        <v>-7.4121170237272521E-2</v>
      </c>
      <c r="T54" s="16"/>
      <c r="U54" s="41"/>
      <c r="V54" s="391"/>
      <c r="W54" s="34">
        <v>1153</v>
      </c>
      <c r="X54" s="33"/>
      <c r="Y54" s="33"/>
      <c r="Z54" s="33"/>
      <c r="AA54" s="33">
        <f t="shared" si="29"/>
        <v>71350</v>
      </c>
      <c r="AB54" s="33"/>
      <c r="AC54" s="46">
        <f t="shared" si="23"/>
        <v>5.9007027914831395E-2</v>
      </c>
      <c r="AD54" s="33"/>
      <c r="AE54" s="33">
        <f t="shared" si="24"/>
        <v>1585.5555555555557</v>
      </c>
      <c r="AF54" s="50"/>
      <c r="AG54" s="33">
        <f>SUM(W48:W54)</f>
        <v>13185</v>
      </c>
      <c r="AH54" s="33">
        <f t="shared" si="35"/>
        <v>1153</v>
      </c>
      <c r="AI54" s="231">
        <f>+(AG54-AG47)/AG47</f>
        <v>-9.1378953897043619E-2</v>
      </c>
      <c r="AJ54" s="50"/>
      <c r="AK54" s="391"/>
      <c r="AL54" s="23">
        <f t="shared" si="30"/>
        <v>4945</v>
      </c>
      <c r="AM54" s="24"/>
      <c r="AN54" s="24"/>
      <c r="AO54" s="24">
        <v>178263</v>
      </c>
      <c r="AP54" s="24">
        <v>178263</v>
      </c>
      <c r="AQ54" s="24"/>
      <c r="AR54" s="25">
        <f t="shared" si="31"/>
        <v>2.8531370082738088E-2</v>
      </c>
      <c r="AS54" s="25"/>
      <c r="AT54" s="25"/>
      <c r="AU54" s="24"/>
      <c r="AV54" s="341">
        <f t="shared" si="25"/>
        <v>0.14742494487991015</v>
      </c>
      <c r="AW54" s="341"/>
      <c r="AX54" s="24">
        <f t="shared" si="26"/>
        <v>3961.4</v>
      </c>
      <c r="AY54" s="351"/>
      <c r="AZ54" s="391"/>
      <c r="BA54" s="66">
        <f t="shared" si="32"/>
        <v>265608</v>
      </c>
      <c r="BB54" s="67"/>
      <c r="BC54" s="67">
        <v>7196740</v>
      </c>
      <c r="BD54" s="67"/>
      <c r="BE54" s="67">
        <f t="shared" si="12"/>
        <v>27348</v>
      </c>
      <c r="BF54" s="67"/>
      <c r="BG54" s="156">
        <f t="shared" si="33"/>
        <v>0.10296376615162194</v>
      </c>
      <c r="BH54" s="67"/>
      <c r="BI54" s="183"/>
      <c r="BJ54" s="67"/>
      <c r="BK54" s="67">
        <f>SUM(BA48:BA54)</f>
        <v>1726276</v>
      </c>
      <c r="BL54" s="67"/>
      <c r="BM54" s="156">
        <f>+Q54/BK54</f>
        <v>0.11641359782560842</v>
      </c>
      <c r="BN54" s="66">
        <f t="shared" si="21"/>
        <v>159927.55555555556</v>
      </c>
      <c r="BO54" s="67"/>
      <c r="BP54" s="67">
        <f t="shared" si="16"/>
        <v>935800</v>
      </c>
      <c r="BQ54" s="67"/>
      <c r="BR54" s="74">
        <f t="shared" si="13"/>
        <v>0.13003109741355112</v>
      </c>
      <c r="BS54" s="67"/>
      <c r="BT54" s="86"/>
      <c r="BU54" s="183"/>
      <c r="BV54" s="1"/>
      <c r="BW54">
        <f t="shared" si="11"/>
        <v>45</v>
      </c>
    </row>
    <row r="55" spans="2:79" x14ac:dyDescent="0.3">
      <c r="B55" s="171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1233891</v>
      </c>
      <c r="I55" s="16"/>
      <c r="J55" s="38">
        <f t="shared" si="28"/>
        <v>2.0437851168314342E-2</v>
      </c>
      <c r="K55" s="16"/>
      <c r="L55" s="16"/>
      <c r="M55" s="16"/>
      <c r="N55" s="16"/>
      <c r="O55" s="16">
        <f t="shared" si="22"/>
        <v>26823.717391304348</v>
      </c>
      <c r="P55" s="41"/>
      <c r="Q55" s="17"/>
      <c r="R55" s="16"/>
      <c r="S55" s="16"/>
      <c r="T55" s="16"/>
      <c r="U55" s="41"/>
      <c r="V55" s="10"/>
      <c r="W55" s="34">
        <v>1324</v>
      </c>
      <c r="X55" s="33"/>
      <c r="Y55" s="33"/>
      <c r="Z55" s="33"/>
      <c r="AA55" s="33">
        <f t="shared" si="29"/>
        <v>72674</v>
      </c>
      <c r="AB55" s="33"/>
      <c r="AC55" s="46">
        <f t="shared" si="23"/>
        <v>5.8898233312342826E-2</v>
      </c>
      <c r="AD55" s="33"/>
      <c r="AE55" s="33">
        <f t="shared" si="24"/>
        <v>1579.8695652173913</v>
      </c>
      <c r="AF55" s="50"/>
      <c r="AG55" s="33"/>
      <c r="AH55" s="33">
        <f t="shared" si="35"/>
        <v>1324</v>
      </c>
      <c r="AI55" s="33"/>
      <c r="AJ55" s="50"/>
      <c r="AK55" s="10"/>
      <c r="AL55" s="23">
        <f t="shared" si="30"/>
        <v>9764</v>
      </c>
      <c r="AM55" s="24"/>
      <c r="AN55" s="24"/>
      <c r="AO55" s="24">
        <v>178263</v>
      </c>
      <c r="AP55" s="24">
        <v>188027</v>
      </c>
      <c r="AQ55" s="24"/>
      <c r="AR55" s="25">
        <f t="shared" si="31"/>
        <v>5.4773003932392025E-2</v>
      </c>
      <c r="AS55" s="25"/>
      <c r="AT55" s="25"/>
      <c r="AU55" s="24"/>
      <c r="AV55" s="341">
        <f t="shared" si="25"/>
        <v>0.15238542140270089</v>
      </c>
      <c r="AW55" s="341"/>
      <c r="AX55" s="24">
        <f t="shared" si="26"/>
        <v>4087.5434782608695</v>
      </c>
      <c r="AY55" s="351"/>
      <c r="AZ55" s="10"/>
      <c r="BA55" s="66">
        <f t="shared" si="32"/>
        <v>265691</v>
      </c>
      <c r="BB55" s="67"/>
      <c r="BC55" s="67">
        <v>7462431</v>
      </c>
      <c r="BD55" s="67"/>
      <c r="BE55" s="67">
        <f t="shared" si="12"/>
        <v>24713</v>
      </c>
      <c r="BF55" s="67"/>
      <c r="BG55" s="156">
        <f t="shared" si="33"/>
        <v>9.3014065211091082E-2</v>
      </c>
      <c r="BH55" s="67"/>
      <c r="BI55" s="183"/>
      <c r="BJ55" s="67"/>
      <c r="BK55" s="67"/>
      <c r="BL55" s="67"/>
      <c r="BM55" s="67"/>
      <c r="BN55" s="66">
        <f t="shared" si="21"/>
        <v>162226.76086956522</v>
      </c>
      <c r="BO55" s="67"/>
      <c r="BP55" s="67">
        <f t="shared" si="16"/>
        <v>960513</v>
      </c>
      <c r="BQ55" s="67"/>
      <c r="BR55" s="74">
        <f t="shared" si="13"/>
        <v>0.12871314991053184</v>
      </c>
      <c r="BS55" s="67"/>
      <c r="BT55" s="86"/>
      <c r="BU55" s="183"/>
      <c r="BV55" s="1"/>
      <c r="BW55">
        <f t="shared" si="11"/>
        <v>46</v>
      </c>
    </row>
    <row r="56" spans="2:79" x14ac:dyDescent="0.3">
      <c r="B56" s="171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1258689</v>
      </c>
      <c r="I56" s="16"/>
      <c r="J56" s="38">
        <f t="shared" si="28"/>
        <v>2.0097399203009018E-2</v>
      </c>
      <c r="K56" s="16"/>
      <c r="L56" s="16"/>
      <c r="M56" s="16"/>
      <c r="N56" s="16"/>
      <c r="O56" s="16">
        <f t="shared" si="22"/>
        <v>26780.617021276597</v>
      </c>
      <c r="P56" s="41"/>
      <c r="Q56" s="17"/>
      <c r="R56" s="16"/>
      <c r="S56" s="16"/>
      <c r="T56" s="16"/>
      <c r="U56" s="41"/>
      <c r="V56" s="1"/>
      <c r="W56" s="34">
        <v>2350</v>
      </c>
      <c r="X56" s="33"/>
      <c r="Y56" s="33"/>
      <c r="Z56" s="33"/>
      <c r="AA56" s="33">
        <f t="shared" si="29"/>
        <v>75024</v>
      </c>
      <c r="AB56" s="33"/>
      <c r="AC56" s="46">
        <f t="shared" si="23"/>
        <v>5.9604874595710296E-2</v>
      </c>
      <c r="AD56" s="33"/>
      <c r="AE56" s="33">
        <f t="shared" si="24"/>
        <v>1596.2553191489362</v>
      </c>
      <c r="AF56" s="50"/>
      <c r="AG56" s="33"/>
      <c r="AH56" s="33">
        <f t="shared" si="35"/>
        <v>2350</v>
      </c>
      <c r="AI56" s="33"/>
      <c r="AJ56" s="50"/>
      <c r="AK56" s="1"/>
      <c r="AL56" s="23">
        <f t="shared" si="30"/>
        <v>12599</v>
      </c>
      <c r="AM56" s="24"/>
      <c r="AN56" s="24"/>
      <c r="AO56" s="24">
        <v>178263</v>
      </c>
      <c r="AP56" s="24">
        <v>200626</v>
      </c>
      <c r="AQ56" s="24"/>
      <c r="AR56" s="25">
        <f t="shared" si="31"/>
        <v>6.7006334196684517E-2</v>
      </c>
      <c r="AS56" s="25"/>
      <c r="AT56" s="25"/>
      <c r="AU56" s="24"/>
      <c r="AV56" s="341">
        <f t="shared" si="25"/>
        <v>0.15939282857004392</v>
      </c>
      <c r="AW56" s="341"/>
      <c r="AX56" s="24">
        <f t="shared" si="26"/>
        <v>4268.6382978723404</v>
      </c>
      <c r="AY56" s="351"/>
      <c r="AZ56" s="1"/>
      <c r="BA56" s="66">
        <f t="shared" si="32"/>
        <v>265380</v>
      </c>
      <c r="BB56" s="67"/>
      <c r="BC56" s="67">
        <v>7727811</v>
      </c>
      <c r="BD56" s="67"/>
      <c r="BE56" s="67">
        <f t="shared" si="12"/>
        <v>24798</v>
      </c>
      <c r="BF56" s="67"/>
      <c r="BG56" s="156">
        <f t="shared" si="33"/>
        <v>9.344336423242143E-2</v>
      </c>
      <c r="BH56" s="67"/>
      <c r="BI56" s="183"/>
      <c r="BJ56" s="67"/>
      <c r="BK56" s="67"/>
      <c r="BL56" s="67"/>
      <c r="BM56" s="67"/>
      <c r="BN56" s="66">
        <f t="shared" si="21"/>
        <v>164421.51063829788</v>
      </c>
      <c r="BO56" s="67"/>
      <c r="BP56" s="67">
        <f t="shared" si="16"/>
        <v>985311</v>
      </c>
      <c r="BQ56" s="67"/>
      <c r="BR56" s="74">
        <f t="shared" si="13"/>
        <v>0.12750195365802813</v>
      </c>
      <c r="BS56" s="67"/>
      <c r="BT56" s="86"/>
      <c r="BU56" s="183"/>
      <c r="BV56" s="1"/>
      <c r="BW56">
        <f t="shared" si="11"/>
        <v>47</v>
      </c>
    </row>
    <row r="57" spans="2:79" x14ac:dyDescent="0.3">
      <c r="B57" s="171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1284148</v>
      </c>
      <c r="I57" s="16"/>
      <c r="J57" s="38">
        <f t="shared" si="28"/>
        <v>2.0226600852156489E-2</v>
      </c>
      <c r="K57" s="16"/>
      <c r="L57" s="16"/>
      <c r="M57" s="16"/>
      <c r="N57" s="16"/>
      <c r="O57" s="16">
        <f t="shared" si="22"/>
        <v>26753.083333333332</v>
      </c>
      <c r="P57" s="41"/>
      <c r="Q57" s="17"/>
      <c r="R57" s="16"/>
      <c r="S57" s="16"/>
      <c r="T57" s="16"/>
      <c r="U57" s="41"/>
      <c r="V57" s="1"/>
      <c r="W57" s="34">
        <v>2528</v>
      </c>
      <c r="X57" s="33"/>
      <c r="Y57" s="33"/>
      <c r="Z57" s="33"/>
      <c r="AA57" s="33">
        <f t="shared" si="29"/>
        <v>77552</v>
      </c>
      <c r="AB57" s="33"/>
      <c r="AC57" s="46">
        <f t="shared" si="23"/>
        <v>6.0391792846307434E-2</v>
      </c>
      <c r="AD57" s="33"/>
      <c r="AE57" s="33">
        <f t="shared" si="24"/>
        <v>1615.6666666666667</v>
      </c>
      <c r="AF57" s="50"/>
      <c r="AG57" s="33"/>
      <c r="AH57" s="33">
        <f t="shared" si="35"/>
        <v>2528</v>
      </c>
      <c r="AI57" s="33"/>
      <c r="AJ57" s="50"/>
      <c r="AK57" s="1"/>
      <c r="AL57" s="23">
        <f t="shared" si="30"/>
        <v>5682</v>
      </c>
      <c r="AM57" s="24"/>
      <c r="AN57" s="24"/>
      <c r="AO57" s="24">
        <v>178263</v>
      </c>
      <c r="AP57" s="24">
        <v>206308</v>
      </c>
      <c r="AQ57" s="24"/>
      <c r="AR57" s="25">
        <f t="shared" si="31"/>
        <v>2.8321354161474584E-2</v>
      </c>
      <c r="AS57" s="25"/>
      <c r="AT57" s="25"/>
      <c r="AU57" s="24"/>
      <c r="AV57" s="341">
        <f t="shared" si="25"/>
        <v>0.16065749430750972</v>
      </c>
      <c r="AW57" s="341"/>
      <c r="AX57" s="24">
        <f t="shared" si="26"/>
        <v>4298.083333333333</v>
      </c>
      <c r="AY57" s="351"/>
      <c r="AZ57" s="1"/>
      <c r="BA57" s="66">
        <f t="shared" si="32"/>
        <v>244534</v>
      </c>
      <c r="BB57" s="67"/>
      <c r="BC57" s="67">
        <v>7972345</v>
      </c>
      <c r="BD57" s="67"/>
      <c r="BE57" s="67">
        <f t="shared" si="12"/>
        <v>25459</v>
      </c>
      <c r="BF57" s="67"/>
      <c r="BG57" s="156">
        <f t="shared" si="33"/>
        <v>0.10411231158039373</v>
      </c>
      <c r="BH57" s="67"/>
      <c r="BI57" s="183"/>
      <c r="BJ57" s="67"/>
      <c r="BK57" s="67"/>
      <c r="BL57" s="67"/>
      <c r="BM57" s="67"/>
      <c r="BN57" s="66">
        <f t="shared" si="21"/>
        <v>166090.52083333334</v>
      </c>
      <c r="BO57" s="67"/>
      <c r="BP57" s="67">
        <f t="shared" si="16"/>
        <v>1010770</v>
      </c>
      <c r="BQ57" s="67"/>
      <c r="BR57" s="74">
        <f t="shared" si="13"/>
        <v>0.12678452826615005</v>
      </c>
      <c r="BS57" s="67"/>
      <c r="BT57" s="86"/>
      <c r="BU57" s="183"/>
      <c r="BV57" s="1"/>
      <c r="BW57">
        <f t="shared" si="11"/>
        <v>48</v>
      </c>
    </row>
    <row r="58" spans="2:79" x14ac:dyDescent="0.3">
      <c r="B58" s="171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1313679</v>
      </c>
      <c r="I58" s="16"/>
      <c r="J58" s="38">
        <f t="shared" si="28"/>
        <v>2.2996570488759863E-2</v>
      </c>
      <c r="K58" s="16"/>
      <c r="L58" s="16"/>
      <c r="M58" s="16"/>
      <c r="N58" s="16"/>
      <c r="O58" s="16">
        <f t="shared" si="22"/>
        <v>26809.775510204083</v>
      </c>
      <c r="P58" s="41"/>
      <c r="Q58" s="17"/>
      <c r="R58" s="16"/>
      <c r="S58" s="16"/>
      <c r="T58" s="16"/>
      <c r="U58" s="41"/>
      <c r="V58" s="1"/>
      <c r="W58" s="34">
        <v>2129</v>
      </c>
      <c r="X58" s="33"/>
      <c r="Y58" s="33"/>
      <c r="Z58" s="33"/>
      <c r="AA58" s="33">
        <f t="shared" si="29"/>
        <v>79681</v>
      </c>
      <c r="AB58" s="33"/>
      <c r="AC58" s="46">
        <f t="shared" si="23"/>
        <v>6.0654847949917753E-2</v>
      </c>
      <c r="AD58" s="33"/>
      <c r="AE58" s="33">
        <f t="shared" si="24"/>
        <v>1626.1428571428571</v>
      </c>
      <c r="AF58" s="50"/>
      <c r="AG58" s="33"/>
      <c r="AH58" s="33">
        <f t="shared" si="35"/>
        <v>2129</v>
      </c>
      <c r="AI58" s="33"/>
      <c r="AJ58" s="50"/>
      <c r="AK58" s="1"/>
      <c r="AL58" s="23">
        <f t="shared" si="30"/>
        <v>10942</v>
      </c>
      <c r="AM58" s="24"/>
      <c r="AN58" s="24"/>
      <c r="AO58" s="24">
        <v>178263</v>
      </c>
      <c r="AP58" s="24">
        <v>217250</v>
      </c>
      <c r="AQ58" s="24"/>
      <c r="AR58" s="25">
        <f t="shared" si="31"/>
        <v>5.3037206506776277E-2</v>
      </c>
      <c r="AS58" s="25"/>
      <c r="AT58" s="25"/>
      <c r="AU58" s="24"/>
      <c r="AV58" s="341">
        <f t="shared" si="25"/>
        <v>0.16537525529448213</v>
      </c>
      <c r="AW58" s="341"/>
      <c r="AX58" s="24">
        <f t="shared" si="26"/>
        <v>4433.6734693877552</v>
      </c>
      <c r="AY58" s="351"/>
      <c r="AZ58" s="1"/>
      <c r="BA58" s="66">
        <f t="shared" si="32"/>
        <v>325217</v>
      </c>
      <c r="BB58" s="67"/>
      <c r="BC58" s="67">
        <v>8297562</v>
      </c>
      <c r="BD58" s="67"/>
      <c r="BE58" s="67">
        <f t="shared" si="12"/>
        <v>29531</v>
      </c>
      <c r="BF58" s="67"/>
      <c r="BG58" s="156">
        <f t="shared" si="33"/>
        <v>9.0803986261480799E-2</v>
      </c>
      <c r="BH58" s="67"/>
      <c r="BI58" s="183"/>
      <c r="BJ58" s="67"/>
      <c r="BK58" s="67"/>
      <c r="BL58" s="67"/>
      <c r="BM58" s="67"/>
      <c r="BN58" s="66">
        <f t="shared" si="21"/>
        <v>169338</v>
      </c>
      <c r="BO58" s="67"/>
      <c r="BP58" s="67">
        <f t="shared" si="16"/>
        <v>1040301</v>
      </c>
      <c r="BQ58" s="67"/>
      <c r="BR58" s="74">
        <f t="shared" si="13"/>
        <v>0.12537429669100394</v>
      </c>
      <c r="BS58" s="67"/>
      <c r="BT58" s="86"/>
      <c r="BU58" s="183"/>
      <c r="BV58" s="1"/>
      <c r="BW58">
        <f t="shared" si="11"/>
        <v>49</v>
      </c>
      <c r="BY58" s="1"/>
      <c r="CA58" s="1"/>
    </row>
    <row r="59" spans="2:79" x14ac:dyDescent="0.3">
      <c r="B59" s="171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1342841</v>
      </c>
      <c r="I59" s="16"/>
      <c r="J59" s="38">
        <f t="shared" si="28"/>
        <v>2.2198725868343788E-2</v>
      </c>
      <c r="K59" s="16"/>
      <c r="L59" s="16"/>
      <c r="M59" s="16"/>
      <c r="N59" s="16"/>
      <c r="O59" s="16">
        <f t="shared" si="22"/>
        <v>26856.82</v>
      </c>
      <c r="P59" s="41"/>
      <c r="Q59" s="17"/>
      <c r="R59" s="16"/>
      <c r="S59" s="16"/>
      <c r="T59" s="16"/>
      <c r="U59" s="41"/>
      <c r="V59" s="1"/>
      <c r="W59" s="34">
        <v>1687</v>
      </c>
      <c r="X59" s="33"/>
      <c r="Y59" s="33"/>
      <c r="Z59" s="33"/>
      <c r="AA59" s="33">
        <f t="shared" si="29"/>
        <v>81368</v>
      </c>
      <c r="AB59" s="33"/>
      <c r="AC59" s="46">
        <f t="shared" si="23"/>
        <v>6.0593919905632905E-2</v>
      </c>
      <c r="AD59" s="33"/>
      <c r="AE59" s="33">
        <f t="shared" si="24"/>
        <v>1627.36</v>
      </c>
      <c r="AF59" s="50"/>
      <c r="AG59" s="33"/>
      <c r="AH59" s="33">
        <f t="shared" si="35"/>
        <v>1687</v>
      </c>
      <c r="AI59" s="33"/>
      <c r="AJ59" s="50"/>
      <c r="AK59" s="1"/>
      <c r="AL59" s="23">
        <f t="shared" si="30"/>
        <v>6110</v>
      </c>
      <c r="AM59" s="24"/>
      <c r="AN59" s="24"/>
      <c r="AO59" s="24">
        <v>178263</v>
      </c>
      <c r="AP59" s="24">
        <v>223360</v>
      </c>
      <c r="AQ59" s="24"/>
      <c r="AR59" s="25">
        <f t="shared" si="31"/>
        <v>2.8124280782508632E-2</v>
      </c>
      <c r="AS59" s="25"/>
      <c r="AT59" s="25"/>
      <c r="AU59" s="24"/>
      <c r="AV59" s="341">
        <f t="shared" si="25"/>
        <v>0.16633391443960976</v>
      </c>
      <c r="AW59" s="341"/>
      <c r="AX59" s="24">
        <f t="shared" si="26"/>
        <v>4467.2</v>
      </c>
      <c r="AY59" s="351"/>
      <c r="AZ59" s="1"/>
      <c r="BA59" s="66">
        <f t="shared" si="32"/>
        <v>338873</v>
      </c>
      <c r="BB59" s="67"/>
      <c r="BC59" s="67">
        <v>8636435</v>
      </c>
      <c r="BD59" s="67"/>
      <c r="BE59" s="67">
        <f t="shared" si="12"/>
        <v>29162</v>
      </c>
      <c r="BF59" s="67"/>
      <c r="BG59" s="156">
        <f t="shared" si="33"/>
        <v>8.6055838027815731E-2</v>
      </c>
      <c r="BH59" s="67"/>
      <c r="BI59" s="183"/>
      <c r="BJ59" s="67"/>
      <c r="BK59" s="67"/>
      <c r="BL59" s="67"/>
      <c r="BM59" s="67"/>
      <c r="BN59" s="66">
        <f t="shared" si="21"/>
        <v>172728.7</v>
      </c>
      <c r="BO59" s="67"/>
      <c r="BP59" s="67">
        <f t="shared" si="16"/>
        <v>1069463</v>
      </c>
      <c r="BQ59" s="67"/>
      <c r="BR59" s="74">
        <f t="shared" si="13"/>
        <v>0.12383153465521364</v>
      </c>
      <c r="BS59" s="67"/>
      <c r="BT59" s="86"/>
      <c r="BU59" s="183"/>
      <c r="BV59" s="1"/>
      <c r="BW59">
        <f t="shared" si="11"/>
        <v>50</v>
      </c>
    </row>
    <row r="60" spans="2:79" x14ac:dyDescent="0.3">
      <c r="B60" s="476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1368365</v>
      </c>
      <c r="I60" s="16"/>
      <c r="J60" s="38">
        <f t="shared" si="28"/>
        <v>1.9007462536517725E-2</v>
      </c>
      <c r="K60" s="16"/>
      <c r="L60" s="16"/>
      <c r="M60" s="16"/>
      <c r="N60" s="16"/>
      <c r="O60" s="16">
        <f t="shared" si="22"/>
        <v>26830.686274509804</v>
      </c>
      <c r="P60" s="41"/>
      <c r="Q60" s="17"/>
      <c r="R60" s="16"/>
      <c r="S60" s="60"/>
      <c r="T60" s="16"/>
      <c r="U60" s="41"/>
      <c r="V60" s="477"/>
      <c r="W60" s="34">
        <v>1422</v>
      </c>
      <c r="X60" s="33"/>
      <c r="Y60" s="33"/>
      <c r="Z60" s="33"/>
      <c r="AA60" s="33">
        <f t="shared" si="29"/>
        <v>82790</v>
      </c>
      <c r="AB60" s="33"/>
      <c r="AC60" s="46">
        <f t="shared" si="23"/>
        <v>6.0502862905730564E-2</v>
      </c>
      <c r="AD60" s="33"/>
      <c r="AE60" s="33">
        <f t="shared" si="24"/>
        <v>1623.3333333333333</v>
      </c>
      <c r="AF60" s="50"/>
      <c r="AG60" s="33"/>
      <c r="AH60" s="33">
        <f t="shared" si="35"/>
        <v>1422</v>
      </c>
      <c r="AI60" s="231"/>
      <c r="AJ60" s="50"/>
      <c r="AK60" s="1"/>
      <c r="AL60" s="23">
        <f t="shared" si="30"/>
        <v>14718</v>
      </c>
      <c r="AM60" s="24"/>
      <c r="AN60" s="24"/>
      <c r="AO60" s="24">
        <v>178263</v>
      </c>
      <c r="AP60" s="24">
        <v>238078</v>
      </c>
      <c r="AQ60" s="24"/>
      <c r="AR60" s="25">
        <f t="shared" si="31"/>
        <v>6.5893624641833806E-2</v>
      </c>
      <c r="AS60" s="25"/>
      <c r="AT60" s="25"/>
      <c r="AU60" s="24"/>
      <c r="AV60" s="341">
        <f t="shared" si="25"/>
        <v>0.17398720370661336</v>
      </c>
      <c r="AW60" s="341"/>
      <c r="AX60" s="24">
        <f t="shared" si="26"/>
        <v>4668.1960784313724</v>
      </c>
      <c r="AY60" s="351"/>
      <c r="AZ60" s="1"/>
      <c r="BA60" s="66">
        <f t="shared" si="32"/>
        <v>281828</v>
      </c>
      <c r="BB60" s="67"/>
      <c r="BC60" s="67">
        <v>8918263</v>
      </c>
      <c r="BD60" s="67"/>
      <c r="BE60" s="67">
        <f t="shared" si="12"/>
        <v>25524</v>
      </c>
      <c r="BF60" s="67"/>
      <c r="BG60" s="156">
        <f t="shared" si="33"/>
        <v>9.0565877059766944E-2</v>
      </c>
      <c r="BH60" s="67"/>
      <c r="BI60" s="183"/>
      <c r="BJ60" s="67"/>
      <c r="BK60" s="67"/>
      <c r="BL60" s="67"/>
      <c r="BM60" s="156"/>
      <c r="BN60" s="66">
        <f t="shared" si="21"/>
        <v>174867.90196078431</v>
      </c>
      <c r="BO60" s="67"/>
      <c r="BP60" s="67">
        <f t="shared" si="16"/>
        <v>1094987</v>
      </c>
      <c r="BQ60" s="67"/>
      <c r="BR60" s="74">
        <f t="shared" si="13"/>
        <v>0.12278029925782633</v>
      </c>
      <c r="BS60" s="67"/>
      <c r="BT60" s="86"/>
      <c r="BU60" s="183"/>
      <c r="BV60" s="1"/>
      <c r="BW60">
        <f t="shared" si="11"/>
        <v>51</v>
      </c>
    </row>
    <row r="61" spans="2:79" x14ac:dyDescent="0.3">
      <c r="B61" s="390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1388694</v>
      </c>
      <c r="I61" s="16"/>
      <c r="J61" s="38">
        <f t="shared" si="28"/>
        <v>1.4856416233972661E-2</v>
      </c>
      <c r="K61" s="16"/>
      <c r="L61" s="16"/>
      <c r="M61" s="16"/>
      <c r="N61" s="16"/>
      <c r="O61" s="16">
        <f t="shared" si="22"/>
        <v>26705.653846153848</v>
      </c>
      <c r="P61" s="41"/>
      <c r="Q61" s="17">
        <f>SUM(D55:D61)</f>
        <v>179516</v>
      </c>
      <c r="R61" s="16"/>
      <c r="S61" s="60">
        <f>+(Q61-Q54)/Q54</f>
        <v>-0.10671669270807416</v>
      </c>
      <c r="T61" s="16"/>
      <c r="U61" s="41"/>
      <c r="V61" s="391"/>
      <c r="W61" s="34">
        <v>750</v>
      </c>
      <c r="X61" s="33"/>
      <c r="Y61" s="33"/>
      <c r="Z61" s="33"/>
      <c r="AA61" s="33">
        <f t="shared" si="29"/>
        <v>83540</v>
      </c>
      <c r="AB61" s="33"/>
      <c r="AC61" s="46">
        <f t="shared" si="23"/>
        <v>6.0157241264094177E-2</v>
      </c>
      <c r="AD61" s="33"/>
      <c r="AE61" s="33">
        <f t="shared" si="24"/>
        <v>1606.5384615384614</v>
      </c>
      <c r="AF61" s="50"/>
      <c r="AG61" s="33">
        <f>SUM(W55:W61)</f>
        <v>12190</v>
      </c>
      <c r="AH61" s="33">
        <f t="shared" si="35"/>
        <v>750</v>
      </c>
      <c r="AI61" s="231">
        <f>+(AG61-AG54)/AG54</f>
        <v>-7.5464543041334847E-2</v>
      </c>
      <c r="AJ61" s="50"/>
      <c r="AK61" s="391"/>
      <c r="AL61" s="23">
        <f t="shared" si="30"/>
        <v>18258</v>
      </c>
      <c r="AM61" s="24"/>
      <c r="AN61" s="24"/>
      <c r="AO61" s="24">
        <v>178263</v>
      </c>
      <c r="AP61" s="24">
        <v>256336</v>
      </c>
      <c r="AQ61" s="24"/>
      <c r="AR61" s="25">
        <f t="shared" si="31"/>
        <v>7.6689152294626126E-2</v>
      </c>
      <c r="AS61" s="25"/>
      <c r="AT61" s="25"/>
      <c r="AU61" s="24"/>
      <c r="AV61" s="341">
        <f t="shared" si="25"/>
        <v>0.18458782136309368</v>
      </c>
      <c r="AW61" s="341"/>
      <c r="AX61" s="24">
        <f t="shared" si="26"/>
        <v>4929.5384615384619</v>
      </c>
      <c r="AY61" s="351"/>
      <c r="AZ61" s="391"/>
      <c r="BA61" s="66">
        <f t="shared" si="32"/>
        <v>526262</v>
      </c>
      <c r="BB61" s="67"/>
      <c r="BC61" s="67">
        <v>9444525</v>
      </c>
      <c r="BD61" s="67"/>
      <c r="BE61" s="67">
        <f t="shared" si="12"/>
        <v>20329</v>
      </c>
      <c r="BF61" s="67"/>
      <c r="BG61" s="156">
        <f t="shared" si="33"/>
        <v>3.8629047888694222E-2</v>
      </c>
      <c r="BH61" s="67"/>
      <c r="BI61" s="183"/>
      <c r="BJ61" s="67"/>
      <c r="BK61" s="67">
        <f>SUM(BA55:BA61)</f>
        <v>2247785</v>
      </c>
      <c r="BL61" s="67"/>
      <c r="BM61" s="156">
        <f>+Q61/BK61</f>
        <v>7.9863510077698707E-2</v>
      </c>
      <c r="BN61" s="66">
        <f t="shared" si="21"/>
        <v>181625.48076923078</v>
      </c>
      <c r="BO61" s="67"/>
      <c r="BP61" s="67">
        <f t="shared" si="16"/>
        <v>1115316</v>
      </c>
      <c r="BQ61" s="67"/>
      <c r="BR61" s="74">
        <f t="shared" si="13"/>
        <v>0.11809127510383</v>
      </c>
      <c r="BS61" s="67"/>
      <c r="BT61" s="86"/>
      <c r="BU61" s="183"/>
      <c r="BV61" s="1"/>
      <c r="BW61">
        <f t="shared" si="11"/>
        <v>52</v>
      </c>
    </row>
    <row r="62" spans="2:79" x14ac:dyDescent="0.3">
      <c r="B62" s="171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1406890</v>
      </c>
      <c r="I62" s="16"/>
      <c r="J62" s="38">
        <f t="shared" si="28"/>
        <v>1.3102958607151756E-2</v>
      </c>
      <c r="K62" s="16"/>
      <c r="L62" s="16"/>
      <c r="M62" s="16"/>
      <c r="N62" s="16"/>
      <c r="O62" s="16">
        <f t="shared" si="22"/>
        <v>26545.094339622643</v>
      </c>
      <c r="P62" s="41"/>
      <c r="Q62" s="17"/>
      <c r="R62" s="16"/>
      <c r="S62" s="16"/>
      <c r="T62" s="16"/>
      <c r="U62" s="41"/>
      <c r="V62" s="10"/>
      <c r="W62" s="34">
        <v>1060</v>
      </c>
      <c r="X62" s="33"/>
      <c r="Y62" s="33"/>
      <c r="Z62" s="33"/>
      <c r="AA62" s="33">
        <f t="shared" si="29"/>
        <v>84600</v>
      </c>
      <c r="AB62" s="33"/>
      <c r="AC62" s="46">
        <f t="shared" si="23"/>
        <v>6.0132632970594714E-2</v>
      </c>
      <c r="AD62" s="33"/>
      <c r="AE62" s="33">
        <f t="shared" si="24"/>
        <v>1596.2264150943397</v>
      </c>
      <c r="AF62" s="50"/>
      <c r="AG62" s="33"/>
      <c r="AH62" s="33">
        <f t="shared" si="35"/>
        <v>1060</v>
      </c>
      <c r="AI62" s="33"/>
      <c r="AJ62" s="50"/>
      <c r="AK62" s="10"/>
      <c r="AL62" s="23">
        <f t="shared" si="30"/>
        <v>5889</v>
      </c>
      <c r="AM62" s="24"/>
      <c r="AN62" s="24"/>
      <c r="AO62" s="24">
        <v>178263</v>
      </c>
      <c r="AP62" s="24">
        <v>262225</v>
      </c>
      <c r="AQ62" s="24"/>
      <c r="AR62" s="25">
        <f t="shared" si="31"/>
        <v>2.297375319892641E-2</v>
      </c>
      <c r="AS62" s="25"/>
      <c r="AT62" s="25"/>
      <c r="AU62" s="24"/>
      <c r="AV62" s="341">
        <f t="shared" si="25"/>
        <v>0.18638628464201182</v>
      </c>
      <c r="AW62" s="341"/>
      <c r="AX62" s="24">
        <f t="shared" si="26"/>
        <v>4947.6415094339627</v>
      </c>
      <c r="AY62" s="351"/>
      <c r="AZ62" s="10"/>
      <c r="BA62" s="66">
        <f t="shared" si="32"/>
        <v>175330</v>
      </c>
      <c r="BB62" s="67"/>
      <c r="BC62" s="67">
        <v>9619855</v>
      </c>
      <c r="BD62" s="67"/>
      <c r="BE62" s="67">
        <f t="shared" si="12"/>
        <v>18196</v>
      </c>
      <c r="BF62" s="67"/>
      <c r="BG62" s="156">
        <f t="shared" si="33"/>
        <v>0.10378144071180061</v>
      </c>
      <c r="BH62" s="67"/>
      <c r="BI62" s="183"/>
      <c r="BJ62" s="67"/>
      <c r="BK62" s="67"/>
      <c r="BL62" s="67"/>
      <c r="BM62" s="67"/>
      <c r="BN62" s="66">
        <f t="shared" si="21"/>
        <v>181506.69811320756</v>
      </c>
      <c r="BO62" s="67"/>
      <c r="BP62" s="67">
        <f t="shared" si="16"/>
        <v>1133512</v>
      </c>
      <c r="BQ62" s="67"/>
      <c r="BR62" s="74">
        <f t="shared" si="13"/>
        <v>0.11783046625962658</v>
      </c>
      <c r="BS62" s="67"/>
      <c r="BT62" s="86"/>
      <c r="BU62" s="183"/>
      <c r="BV62" s="1"/>
      <c r="BW62">
        <f t="shared" si="11"/>
        <v>53</v>
      </c>
    </row>
    <row r="63" spans="2:79" x14ac:dyDescent="0.3">
      <c r="B63" s="171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1429692</v>
      </c>
      <c r="I63" s="16"/>
      <c r="J63" s="38">
        <f t="shared" si="28"/>
        <v>1.6207379397109936E-2</v>
      </c>
      <c r="K63" s="16"/>
      <c r="L63" s="16"/>
      <c r="M63" s="16"/>
      <c r="N63" s="16"/>
      <c r="O63" s="16">
        <f t="shared" si="22"/>
        <v>26475.777777777777</v>
      </c>
      <c r="P63" s="41"/>
      <c r="Q63" s="17"/>
      <c r="R63" s="16"/>
      <c r="S63" s="16"/>
      <c r="T63" s="16"/>
      <c r="U63" s="41"/>
      <c r="V63" s="1"/>
      <c r="W63" s="34">
        <v>1871</v>
      </c>
      <c r="X63" s="33"/>
      <c r="Y63" s="33"/>
      <c r="Z63" s="33"/>
      <c r="AA63" s="33">
        <f t="shared" si="29"/>
        <v>86471</v>
      </c>
      <c r="AB63" s="33"/>
      <c r="AC63" s="46">
        <f t="shared" si="23"/>
        <v>6.0482257717046746E-2</v>
      </c>
      <c r="AD63" s="33"/>
      <c r="AE63" s="33">
        <f t="shared" si="24"/>
        <v>1601.3148148148148</v>
      </c>
      <c r="AF63" s="50"/>
      <c r="AG63" s="33"/>
      <c r="AH63" s="33">
        <f t="shared" si="35"/>
        <v>1871</v>
      </c>
      <c r="AI63" s="33"/>
      <c r="AJ63" s="50"/>
      <c r="AK63" s="1"/>
      <c r="AL63" s="23">
        <f t="shared" si="30"/>
        <v>20014</v>
      </c>
      <c r="AM63" s="24"/>
      <c r="AN63" s="24"/>
      <c r="AO63" s="24">
        <v>178263</v>
      </c>
      <c r="AP63" s="24">
        <v>282239</v>
      </c>
      <c r="AQ63" s="24"/>
      <c r="AR63" s="25">
        <f t="shared" si="31"/>
        <v>7.6323767756697497E-2</v>
      </c>
      <c r="AS63" s="25"/>
      <c r="AT63" s="25"/>
      <c r="AU63" s="24"/>
      <c r="AV63" s="341">
        <f t="shared" si="25"/>
        <v>0.19741244967447535</v>
      </c>
      <c r="AW63" s="341"/>
      <c r="AX63" s="24">
        <f t="shared" si="26"/>
        <v>5226.6481481481478</v>
      </c>
      <c r="AY63" s="351"/>
      <c r="AZ63" s="1"/>
      <c r="BA63" s="66">
        <f t="shared" si="32"/>
        <v>310012</v>
      </c>
      <c r="BB63" s="67"/>
      <c r="BC63" s="67">
        <v>9929867</v>
      </c>
      <c r="BD63" s="67"/>
      <c r="BE63" s="67">
        <f t="shared" si="12"/>
        <v>22802</v>
      </c>
      <c r="BF63" s="67"/>
      <c r="BG63" s="156">
        <f t="shared" si="33"/>
        <v>7.3551991535811517E-2</v>
      </c>
      <c r="BH63" s="67"/>
      <c r="BI63" s="183"/>
      <c r="BJ63" s="67"/>
      <c r="BK63" s="67"/>
      <c r="BL63" s="67"/>
      <c r="BM63" s="67"/>
      <c r="BN63" s="66">
        <f t="shared" si="21"/>
        <v>183886.42592592593</v>
      </c>
      <c r="BO63" s="67"/>
      <c r="BP63" s="67">
        <f t="shared" si="16"/>
        <v>1156314</v>
      </c>
      <c r="BQ63" s="67"/>
      <c r="BR63" s="74">
        <f t="shared" si="13"/>
        <v>0.11644808535703449</v>
      </c>
      <c r="BS63" s="67"/>
      <c r="BT63" s="86"/>
      <c r="BU63" s="183"/>
      <c r="BV63" s="1"/>
      <c r="BW63">
        <f t="shared" si="11"/>
        <v>54</v>
      </c>
    </row>
    <row r="64" spans="2:79" x14ac:dyDescent="0.3">
      <c r="B64" s="171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1451404</v>
      </c>
      <c r="I64" s="16"/>
      <c r="J64" s="38">
        <f t="shared" si="28"/>
        <v>1.5186487719033191E-2</v>
      </c>
      <c r="K64" s="16"/>
      <c r="L64" s="16"/>
      <c r="M64" s="16"/>
      <c r="N64" s="16"/>
      <c r="O64" s="16">
        <f t="shared" si="22"/>
        <v>26389.163636363635</v>
      </c>
      <c r="P64" s="41"/>
      <c r="Q64" s="17"/>
      <c r="R64" s="16"/>
      <c r="S64" s="16"/>
      <c r="T64" s="16"/>
      <c r="U64" s="41"/>
      <c r="V64" s="1"/>
      <c r="W64" s="34">
        <v>1822</v>
      </c>
      <c r="X64" s="33"/>
      <c r="Y64" s="33"/>
      <c r="Z64" s="33"/>
      <c r="AA64" s="33">
        <f t="shared" si="29"/>
        <v>88293</v>
      </c>
      <c r="AB64" s="33"/>
      <c r="AC64" s="46">
        <f t="shared" si="23"/>
        <v>6.0832821185555504E-2</v>
      </c>
      <c r="AD64" s="33"/>
      <c r="AE64" s="33">
        <f t="shared" si="24"/>
        <v>1605.3272727272727</v>
      </c>
      <c r="AF64" s="50"/>
      <c r="AG64" s="33"/>
      <c r="AH64" s="33">
        <f t="shared" si="35"/>
        <v>1822</v>
      </c>
      <c r="AI64" s="33"/>
      <c r="AJ64" s="50"/>
      <c r="AK64" s="1"/>
      <c r="AL64" s="23">
        <f t="shared" si="30"/>
        <v>28020</v>
      </c>
      <c r="AM64" s="24"/>
      <c r="AN64" s="24"/>
      <c r="AO64" s="24">
        <v>178263</v>
      </c>
      <c r="AP64" s="24">
        <v>310259</v>
      </c>
      <c r="AQ64" s="24"/>
      <c r="AR64" s="25">
        <f t="shared" si="31"/>
        <v>9.9277562633087554E-2</v>
      </c>
      <c r="AS64" s="25"/>
      <c r="AT64" s="25"/>
      <c r="AU64" s="24"/>
      <c r="AV64" s="341">
        <f t="shared" si="25"/>
        <v>0.21376474089915695</v>
      </c>
      <c r="AW64" s="341"/>
      <c r="AX64" s="24">
        <f t="shared" si="26"/>
        <v>5641.0727272727272</v>
      </c>
      <c r="AY64" s="351"/>
      <c r="AZ64" s="1"/>
      <c r="BA64" s="66">
        <f t="shared" si="32"/>
        <v>340129</v>
      </c>
      <c r="BB64" s="67"/>
      <c r="BC64" s="67">
        <v>10269996</v>
      </c>
      <c r="BD64" s="67"/>
      <c r="BE64" s="67">
        <f t="shared" si="12"/>
        <v>21712</v>
      </c>
      <c r="BF64" s="67"/>
      <c r="BG64" s="156">
        <f t="shared" si="33"/>
        <v>6.3834603929685499E-2</v>
      </c>
      <c r="BH64" s="67"/>
      <c r="BI64" s="183"/>
      <c r="BJ64" s="67"/>
      <c r="BK64" s="67"/>
      <c r="BL64" s="67"/>
      <c r="BM64" s="67"/>
      <c r="BN64" s="66">
        <f t="shared" si="21"/>
        <v>186727.2</v>
      </c>
      <c r="BO64" s="67"/>
      <c r="BP64" s="67">
        <f t="shared" si="16"/>
        <v>1178026</v>
      </c>
      <c r="BQ64" s="67"/>
      <c r="BR64" s="74">
        <f t="shared" si="13"/>
        <v>0.11470559482204278</v>
      </c>
      <c r="BS64" s="67"/>
      <c r="BT64" s="86"/>
      <c r="BU64" s="183"/>
      <c r="BV64" s="1"/>
      <c r="BW64">
        <f t="shared" si="11"/>
        <v>55</v>
      </c>
    </row>
    <row r="65" spans="2:75" x14ac:dyDescent="0.3">
      <c r="B65" s="171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:H96" si="36">+H64+D65</f>
        <v>1478649</v>
      </c>
      <c r="I65" s="16"/>
      <c r="J65" s="38">
        <f t="shared" ref="J65:J96" si="37">+D65/H64</f>
        <v>1.8771479202206967E-2</v>
      </c>
      <c r="K65" s="16"/>
      <c r="L65" s="16"/>
      <c r="M65" s="16"/>
      <c r="N65" s="16"/>
      <c r="O65" s="16">
        <f t="shared" si="22"/>
        <v>26404.446428571428</v>
      </c>
      <c r="P65" s="41"/>
      <c r="Q65" s="17"/>
      <c r="R65" s="16"/>
      <c r="S65" s="16"/>
      <c r="T65" s="16"/>
      <c r="U65" s="41"/>
      <c r="V65" s="1"/>
      <c r="W65" s="34">
        <v>1753</v>
      </c>
      <c r="X65" s="33"/>
      <c r="Y65" s="33"/>
      <c r="Z65" s="33"/>
      <c r="AA65" s="33">
        <f t="shared" ref="AA65:AA96" si="38">+AA64+W65</f>
        <v>90046</v>
      </c>
      <c r="AB65" s="33"/>
      <c r="AC65" s="46">
        <f t="shared" si="23"/>
        <v>6.0897481417158499E-2</v>
      </c>
      <c r="AD65" s="33"/>
      <c r="AE65" s="33">
        <f t="shared" si="24"/>
        <v>1607.9642857142858</v>
      </c>
      <c r="AF65" s="50"/>
      <c r="AG65" s="33"/>
      <c r="AH65" s="33">
        <f t="shared" si="35"/>
        <v>1753</v>
      </c>
      <c r="AI65" s="33"/>
      <c r="AJ65" s="50"/>
      <c r="AK65" s="1"/>
      <c r="AL65" s="23">
        <f t="shared" ref="AL65:AL96" si="39">+AP65-AP64</f>
        <v>7602</v>
      </c>
      <c r="AM65" s="24"/>
      <c r="AN65" s="24"/>
      <c r="AO65" s="24">
        <v>178263</v>
      </c>
      <c r="AP65" s="24">
        <v>317861</v>
      </c>
      <c r="AQ65" s="24"/>
      <c r="AR65" s="25">
        <f t="shared" ref="AR65:AR96" si="40">+AL65/AP64</f>
        <v>2.4502109527846091E-2</v>
      </c>
      <c r="AS65" s="25"/>
      <c r="AT65" s="25"/>
      <c r="AU65" s="24"/>
      <c r="AV65" s="341">
        <f t="shared" si="25"/>
        <v>0.21496717611819979</v>
      </c>
      <c r="AW65" s="341"/>
      <c r="AX65" s="24">
        <f t="shared" si="26"/>
        <v>5676.0892857142853</v>
      </c>
      <c r="AY65" s="351"/>
      <c r="AZ65" s="1"/>
      <c r="BA65" s="66">
        <f t="shared" ref="BA65:BA96" si="41">+BC65-BC64</f>
        <v>365542</v>
      </c>
      <c r="BB65" s="67"/>
      <c r="BC65" s="67">
        <v>10635538</v>
      </c>
      <c r="BD65" s="67"/>
      <c r="BE65" s="67">
        <f t="shared" si="12"/>
        <v>27245</v>
      </c>
      <c r="BF65" s="67"/>
      <c r="BG65" s="156">
        <f t="shared" ref="BG65:BG96" si="42">+BE65/BA65</f>
        <v>7.4533158980363404E-2</v>
      </c>
      <c r="BH65" s="67"/>
      <c r="BI65" s="183"/>
      <c r="BJ65" s="67"/>
      <c r="BK65" s="67"/>
      <c r="BL65" s="67"/>
      <c r="BM65" s="67"/>
      <c r="BN65" s="66">
        <f t="shared" si="21"/>
        <v>189920.32142857142</v>
      </c>
      <c r="BO65" s="67"/>
      <c r="BP65" s="67">
        <f t="shared" si="16"/>
        <v>1205271</v>
      </c>
      <c r="BQ65" s="67"/>
      <c r="BR65" s="74">
        <f t="shared" si="13"/>
        <v>0.11332487364532005</v>
      </c>
      <c r="BS65" s="67"/>
      <c r="BT65" s="86"/>
      <c r="BU65" s="183"/>
      <c r="BV65" s="1"/>
      <c r="BW65">
        <f t="shared" si="11"/>
        <v>56</v>
      </c>
    </row>
    <row r="66" spans="2:75" x14ac:dyDescent="0.3">
      <c r="B66" s="171">
        <f t="shared" si="6"/>
        <v>43966</v>
      </c>
      <c r="C66" s="61"/>
      <c r="D66" s="17">
        <v>26692</v>
      </c>
      <c r="E66" s="16"/>
      <c r="F66" s="16"/>
      <c r="G66" s="16"/>
      <c r="H66" s="16">
        <f t="shared" si="36"/>
        <v>1505341</v>
      </c>
      <c r="I66" s="16"/>
      <c r="J66" s="38">
        <f t="shared" si="37"/>
        <v>1.8051613330817524E-2</v>
      </c>
      <c r="K66" s="16"/>
      <c r="L66" s="16"/>
      <c r="M66" s="16"/>
      <c r="N66" s="16"/>
      <c r="O66" s="16">
        <f t="shared" si="22"/>
        <v>26409.491228070176</v>
      </c>
      <c r="P66" s="41"/>
      <c r="Q66" s="17"/>
      <c r="R66" s="16"/>
      <c r="S66" s="16"/>
      <c r="T66" s="16"/>
      <c r="U66" s="41"/>
      <c r="V66" s="1"/>
      <c r="W66" s="34">
        <v>1602</v>
      </c>
      <c r="X66" s="33"/>
      <c r="Y66" s="33"/>
      <c r="Z66" s="33"/>
      <c r="AA66" s="33">
        <f t="shared" si="38"/>
        <v>91648</v>
      </c>
      <c r="AB66" s="33"/>
      <c r="AC66" s="46">
        <f t="shared" si="23"/>
        <v>6.0881886562579507E-2</v>
      </c>
      <c r="AD66" s="33"/>
      <c r="AE66" s="33">
        <f t="shared" si="24"/>
        <v>1607.859649122807</v>
      </c>
      <c r="AF66" s="50"/>
      <c r="AG66" s="33"/>
      <c r="AH66" s="33">
        <f t="shared" si="35"/>
        <v>1602</v>
      </c>
      <c r="AI66" s="33"/>
      <c r="AJ66" s="50"/>
      <c r="AK66" s="1"/>
      <c r="AL66" s="23">
        <f t="shared" si="39"/>
        <v>8381</v>
      </c>
      <c r="AM66" s="24"/>
      <c r="AN66" s="24"/>
      <c r="AO66" s="24">
        <v>178263</v>
      </c>
      <c r="AP66" s="24">
        <v>326242</v>
      </c>
      <c r="AQ66" s="24"/>
      <c r="AR66" s="25">
        <f t="shared" si="40"/>
        <v>2.6366871053699573E-2</v>
      </c>
      <c r="AS66" s="25"/>
      <c r="AT66" s="25"/>
      <c r="AU66" s="24"/>
      <c r="AV66" s="341">
        <f t="shared" si="25"/>
        <v>0.2167229883461621</v>
      </c>
      <c r="AW66" s="341"/>
      <c r="AX66" s="24">
        <f t="shared" si="26"/>
        <v>5723.5438596491231</v>
      </c>
      <c r="AY66" s="351"/>
      <c r="AZ66" s="1"/>
      <c r="BA66" s="66">
        <f t="shared" si="41"/>
        <v>455362</v>
      </c>
      <c r="BB66" s="67"/>
      <c r="BC66" s="67">
        <v>11090900</v>
      </c>
      <c r="BD66" s="67"/>
      <c r="BE66" s="67">
        <f t="shared" si="12"/>
        <v>26692</v>
      </c>
      <c r="BF66" s="67"/>
      <c r="BG66" s="156">
        <f t="shared" si="42"/>
        <v>5.8617100241126839E-2</v>
      </c>
      <c r="BH66" s="67"/>
      <c r="BI66" s="183"/>
      <c r="BJ66" s="67"/>
      <c r="BK66" s="67"/>
      <c r="BL66" s="67"/>
      <c r="BM66" s="67"/>
      <c r="BN66" s="66">
        <f t="shared" si="21"/>
        <v>194577.19298245615</v>
      </c>
      <c r="BO66" s="67"/>
      <c r="BP66" s="67">
        <f t="shared" si="16"/>
        <v>1231963</v>
      </c>
      <c r="BQ66" s="67"/>
      <c r="BR66" s="74">
        <f t="shared" si="13"/>
        <v>0.11107872219567393</v>
      </c>
      <c r="BS66" s="67"/>
      <c r="BT66" s="86"/>
      <c r="BU66" s="183"/>
      <c r="BV66" s="1"/>
      <c r="BW66">
        <f t="shared" si="11"/>
        <v>57</v>
      </c>
    </row>
    <row r="67" spans="2:75" x14ac:dyDescent="0.3">
      <c r="B67" s="476">
        <f t="shared" si="6"/>
        <v>43967</v>
      </c>
      <c r="C67" s="61"/>
      <c r="D67" s="17">
        <v>23488</v>
      </c>
      <c r="E67" s="16"/>
      <c r="F67" s="16"/>
      <c r="G67" s="16"/>
      <c r="H67" s="16">
        <f t="shared" si="36"/>
        <v>1528829</v>
      </c>
      <c r="I67" s="16"/>
      <c r="J67" s="38">
        <f t="shared" si="37"/>
        <v>1.560310919585662E-2</v>
      </c>
      <c r="K67" s="16"/>
      <c r="L67" s="16"/>
      <c r="M67" s="16"/>
      <c r="N67" s="16"/>
      <c r="O67" s="16">
        <f t="shared" si="22"/>
        <v>26359.120689655174</v>
      </c>
      <c r="P67" s="41"/>
      <c r="Q67" s="17"/>
      <c r="R67" s="16"/>
      <c r="S67" s="60"/>
      <c r="T67" s="16"/>
      <c r="U67" s="41"/>
      <c r="V67" s="477"/>
      <c r="W67" s="34">
        <v>1218</v>
      </c>
      <c r="X67" s="33"/>
      <c r="Y67" s="33"/>
      <c r="Z67" s="33"/>
      <c r="AA67" s="33">
        <f t="shared" si="38"/>
        <v>92866</v>
      </c>
      <c r="AB67" s="33"/>
      <c r="AC67" s="46">
        <f t="shared" si="23"/>
        <v>6.0743222427099432E-2</v>
      </c>
      <c r="AD67" s="33"/>
      <c r="AE67" s="33">
        <f t="shared" si="24"/>
        <v>1601.1379310344828</v>
      </c>
      <c r="AF67" s="50"/>
      <c r="AG67" s="33"/>
      <c r="AH67" s="33">
        <f t="shared" si="35"/>
        <v>1218</v>
      </c>
      <c r="AI67" s="231"/>
      <c r="AJ67" s="50"/>
      <c r="AK67" s="1"/>
      <c r="AL67" s="23">
        <f t="shared" si="39"/>
        <v>12990</v>
      </c>
      <c r="AM67" s="24"/>
      <c r="AN67" s="24"/>
      <c r="AO67" s="24">
        <v>178263</v>
      </c>
      <c r="AP67" s="24">
        <v>339232</v>
      </c>
      <c r="AQ67" s="24"/>
      <c r="AR67" s="25">
        <f t="shared" si="40"/>
        <v>3.981706831125361E-2</v>
      </c>
      <c r="AS67" s="25"/>
      <c r="AT67" s="25"/>
      <c r="AU67" s="24"/>
      <c r="AV67" s="341">
        <f t="shared" si="25"/>
        <v>0.22189008711896491</v>
      </c>
      <c r="AW67" s="341"/>
      <c r="AX67" s="24">
        <f t="shared" si="26"/>
        <v>5848.8275862068967</v>
      </c>
      <c r="AY67" s="351"/>
      <c r="AZ67" s="1"/>
      <c r="BA67" s="66">
        <f t="shared" si="41"/>
        <v>434725</v>
      </c>
      <c r="BB67" s="67"/>
      <c r="BC67" s="67">
        <v>11525625</v>
      </c>
      <c r="BD67" s="67"/>
      <c r="BE67" s="67">
        <f t="shared" si="12"/>
        <v>23488</v>
      </c>
      <c r="BF67" s="67"/>
      <c r="BG67" s="156">
        <f t="shared" si="42"/>
        <v>5.4029558916556447E-2</v>
      </c>
      <c r="BH67" s="67"/>
      <c r="BI67" s="183"/>
      <c r="BJ67" s="67"/>
      <c r="BK67" s="67"/>
      <c r="BL67" s="67"/>
      <c r="BM67" s="156"/>
      <c r="BN67" s="66">
        <f t="shared" si="21"/>
        <v>198717.6724137931</v>
      </c>
      <c r="BO67" s="67"/>
      <c r="BP67" s="67">
        <f t="shared" si="16"/>
        <v>1255451</v>
      </c>
      <c r="BQ67" s="67"/>
      <c r="BR67" s="74">
        <f t="shared" si="13"/>
        <v>0.10892693454801801</v>
      </c>
      <c r="BS67" s="67"/>
      <c r="BT67" s="86"/>
      <c r="BU67" s="183"/>
      <c r="BV67" s="1"/>
      <c r="BW67">
        <f t="shared" si="11"/>
        <v>58</v>
      </c>
    </row>
    <row r="68" spans="2:75" x14ac:dyDescent="0.3">
      <c r="B68" s="390">
        <f t="shared" si="6"/>
        <v>43968</v>
      </c>
      <c r="C68" s="61"/>
      <c r="D68" s="17">
        <v>19891</v>
      </c>
      <c r="E68" s="16"/>
      <c r="F68" s="16"/>
      <c r="G68" s="16"/>
      <c r="H68" s="16">
        <f t="shared" si="36"/>
        <v>1548720</v>
      </c>
      <c r="I68" s="16"/>
      <c r="J68" s="38">
        <f t="shared" si="37"/>
        <v>1.3010611389501377E-2</v>
      </c>
      <c r="K68" s="16"/>
      <c r="L68" s="16"/>
      <c r="M68" s="16"/>
      <c r="N68" s="16"/>
      <c r="O68" s="16">
        <f t="shared" si="22"/>
        <v>26249.491525423728</v>
      </c>
      <c r="P68" s="41"/>
      <c r="Q68" s="17">
        <f>SUM(D62:D68)</f>
        <v>160026</v>
      </c>
      <c r="R68" s="16"/>
      <c r="S68" s="60">
        <f>+(Q68-Q61)/Q61</f>
        <v>-0.10856970966376256</v>
      </c>
      <c r="T68" s="16"/>
      <c r="U68" s="41"/>
      <c r="V68" s="391"/>
      <c r="W68" s="34">
        <v>865</v>
      </c>
      <c r="X68" s="33"/>
      <c r="Y68" s="33"/>
      <c r="Z68" s="33"/>
      <c r="AA68" s="33">
        <f t="shared" si="38"/>
        <v>93731</v>
      </c>
      <c r="AB68" s="33"/>
      <c r="AC68" s="46">
        <f t="shared" si="23"/>
        <v>6.0521592024381426E-2</v>
      </c>
      <c r="AD68" s="33"/>
      <c r="AE68" s="33">
        <f t="shared" si="24"/>
        <v>1588.6610169491526</v>
      </c>
      <c r="AF68" s="50"/>
      <c r="AG68" s="33">
        <f>SUM(W62:W68)</f>
        <v>10191</v>
      </c>
      <c r="AH68" s="33">
        <f t="shared" si="35"/>
        <v>865</v>
      </c>
      <c r="AI68" s="231">
        <f>+(AG68-AG61)/AG61</f>
        <v>-0.16398687448728466</v>
      </c>
      <c r="AJ68" s="50"/>
      <c r="AK68" s="391"/>
      <c r="AL68" s="23">
        <f t="shared" si="39"/>
        <v>7157</v>
      </c>
      <c r="AM68" s="24"/>
      <c r="AN68" s="24"/>
      <c r="AO68" s="24">
        <v>178263</v>
      </c>
      <c r="AP68" s="24">
        <v>346389</v>
      </c>
      <c r="AQ68" s="24"/>
      <c r="AR68" s="25">
        <f t="shared" si="40"/>
        <v>2.109765588152061E-2</v>
      </c>
      <c r="AS68" s="25"/>
      <c r="AT68" s="25"/>
      <c r="AU68" s="24"/>
      <c r="AV68" s="341">
        <f t="shared" si="25"/>
        <v>0.22366147528281419</v>
      </c>
      <c r="AW68" s="341"/>
      <c r="AX68" s="24">
        <f t="shared" si="26"/>
        <v>5871</v>
      </c>
      <c r="AY68" s="351"/>
      <c r="AZ68" s="391"/>
      <c r="BA68" s="66">
        <f t="shared" si="41"/>
        <v>349955</v>
      </c>
      <c r="BB68" s="67"/>
      <c r="BC68" s="67">
        <v>11875580</v>
      </c>
      <c r="BD68" s="67"/>
      <c r="BE68" s="67">
        <f t="shared" si="12"/>
        <v>19891</v>
      </c>
      <c r="BF68" s="67"/>
      <c r="BG68" s="156">
        <f t="shared" si="42"/>
        <v>5.6838736408966868E-2</v>
      </c>
      <c r="BH68" s="67"/>
      <c r="BI68" s="183"/>
      <c r="BJ68" s="67"/>
      <c r="BK68" s="67">
        <f>SUM(BA62:BA68)</f>
        <v>2431055</v>
      </c>
      <c r="BL68" s="67"/>
      <c r="BM68" s="156">
        <f>+Q68/BK68</f>
        <v>6.5825742321749203E-2</v>
      </c>
      <c r="BN68" s="66">
        <f t="shared" si="21"/>
        <v>201281.01694915254</v>
      </c>
      <c r="BO68" s="67"/>
      <c r="BP68" s="67">
        <f t="shared" si="16"/>
        <v>1275342</v>
      </c>
      <c r="BQ68" s="67"/>
      <c r="BR68" s="74">
        <f t="shared" si="13"/>
        <v>0.10739197580244501</v>
      </c>
      <c r="BS68" s="67"/>
      <c r="BT68" s="86"/>
      <c r="BU68" s="183"/>
      <c r="BV68" s="1"/>
      <c r="BW68">
        <f t="shared" si="11"/>
        <v>59</v>
      </c>
    </row>
    <row r="69" spans="2:75" x14ac:dyDescent="0.3">
      <c r="B69" s="171">
        <f t="shared" si="6"/>
        <v>43969</v>
      </c>
      <c r="C69" s="61"/>
      <c r="D69" s="17">
        <v>22630</v>
      </c>
      <c r="E69" s="16"/>
      <c r="F69" s="16"/>
      <c r="G69" s="16"/>
      <c r="H69" s="16">
        <f t="shared" si="36"/>
        <v>1571350</v>
      </c>
      <c r="I69" s="16"/>
      <c r="J69" s="38">
        <f t="shared" si="37"/>
        <v>1.4612066738984452E-2</v>
      </c>
      <c r="K69" s="16"/>
      <c r="L69" s="16"/>
      <c r="M69" s="16"/>
      <c r="N69" s="16"/>
      <c r="O69" s="16">
        <f t="shared" ref="O69:O96" si="43">+H69/BW69</f>
        <v>26189.166666666668</v>
      </c>
      <c r="P69" s="41"/>
      <c r="Q69" s="17"/>
      <c r="R69" s="16"/>
      <c r="S69" s="60"/>
      <c r="T69" s="16"/>
      <c r="U69" s="41"/>
      <c r="V69" s="10"/>
      <c r="W69" s="34">
        <v>1003</v>
      </c>
      <c r="X69" s="33"/>
      <c r="Y69" s="33"/>
      <c r="Z69" s="33"/>
      <c r="AA69" s="33">
        <f t="shared" si="38"/>
        <v>94734</v>
      </c>
      <c r="AB69" s="33"/>
      <c r="AC69" s="46">
        <f t="shared" ref="AC69:AC96" si="44">+AA69/H69</f>
        <v>6.0288287141629808E-2</v>
      </c>
      <c r="AD69" s="33"/>
      <c r="AE69" s="33">
        <f t="shared" ref="AE69:AE96" si="45">+AA69/BW69</f>
        <v>1578.9</v>
      </c>
      <c r="AF69" s="50"/>
      <c r="AG69" s="33"/>
      <c r="AH69" s="33">
        <f t="shared" si="35"/>
        <v>1003</v>
      </c>
      <c r="AI69" s="231"/>
      <c r="AJ69" s="50"/>
      <c r="AK69" s="10"/>
      <c r="AL69" s="23">
        <f t="shared" si="39"/>
        <v>9994</v>
      </c>
      <c r="AM69" s="24"/>
      <c r="AN69" s="24"/>
      <c r="AO69" s="24">
        <v>178263</v>
      </c>
      <c r="AP69" s="24">
        <v>356383</v>
      </c>
      <c r="AQ69" s="24"/>
      <c r="AR69" s="25">
        <f t="shared" si="40"/>
        <v>2.8851955460479403E-2</v>
      </c>
      <c r="AS69" s="25"/>
      <c r="AT69" s="25"/>
      <c r="AU69" s="24"/>
      <c r="AV69" s="341">
        <f t="shared" ref="AV69:AV96" si="46">+AP69/H69</f>
        <v>0.22680052184427404</v>
      </c>
      <c r="AW69" s="341"/>
      <c r="AX69" s="24">
        <f t="shared" ref="AX69:AX96" si="47">+AP69/BW69</f>
        <v>5939.7166666666662</v>
      </c>
      <c r="AY69" s="351"/>
      <c r="AZ69" s="10"/>
      <c r="BA69" s="66">
        <f t="shared" si="41"/>
        <v>425164</v>
      </c>
      <c r="BB69" s="67"/>
      <c r="BC69" s="67">
        <v>12300744</v>
      </c>
      <c r="BD69" s="67"/>
      <c r="BE69" s="67">
        <f t="shared" ref="BE69:BE96" si="48">+D69</f>
        <v>22630</v>
      </c>
      <c r="BF69" s="67"/>
      <c r="BG69" s="156">
        <f t="shared" si="42"/>
        <v>5.3226519648888429E-2</v>
      </c>
      <c r="BH69" s="67"/>
      <c r="BI69" s="183"/>
      <c r="BJ69" s="67"/>
      <c r="BK69" s="67"/>
      <c r="BL69" s="67"/>
      <c r="BM69" s="156"/>
      <c r="BN69" s="66">
        <f t="shared" ref="BN69:BN96" si="49">+BC69/BW69</f>
        <v>205012.4</v>
      </c>
      <c r="BO69" s="67"/>
      <c r="BP69" s="67">
        <f t="shared" ref="BP69:BP96" si="50">+BP68+BE69</f>
        <v>1297972</v>
      </c>
      <c r="BQ69" s="67"/>
      <c r="BR69" s="74">
        <f t="shared" ref="BR69:BR96" si="51">+BP69/BC69</f>
        <v>0.10551979620094525</v>
      </c>
      <c r="BS69" s="67"/>
      <c r="BT69" s="86"/>
      <c r="BU69" s="183"/>
      <c r="BV69" s="1"/>
      <c r="BW69">
        <f t="shared" si="11"/>
        <v>60</v>
      </c>
    </row>
    <row r="70" spans="2:75" x14ac:dyDescent="0.3">
      <c r="B70" s="171">
        <f t="shared" si="6"/>
        <v>43970</v>
      </c>
      <c r="C70" s="61"/>
      <c r="D70" s="17">
        <v>20289</v>
      </c>
      <c r="E70" s="16"/>
      <c r="F70" s="16"/>
      <c r="G70" s="16"/>
      <c r="H70" s="16">
        <f t="shared" si="36"/>
        <v>1591639</v>
      </c>
      <c r="I70" s="16"/>
      <c r="J70" s="38">
        <f t="shared" si="37"/>
        <v>1.2911827409552296E-2</v>
      </c>
      <c r="K70" s="16"/>
      <c r="L70" s="16"/>
      <c r="M70" s="16"/>
      <c r="N70" s="16"/>
      <c r="O70" s="16">
        <f t="shared" si="43"/>
        <v>26092.442622950821</v>
      </c>
      <c r="P70" s="41"/>
      <c r="Q70" s="17"/>
      <c r="R70" s="16"/>
      <c r="S70" s="60"/>
      <c r="T70" s="16"/>
      <c r="U70" s="41"/>
      <c r="V70" s="10"/>
      <c r="W70" s="34">
        <v>1552</v>
      </c>
      <c r="X70" s="33"/>
      <c r="Y70" s="33"/>
      <c r="Z70" s="33"/>
      <c r="AA70" s="33">
        <f t="shared" si="38"/>
        <v>96286</v>
      </c>
      <c r="AB70" s="33"/>
      <c r="AC70" s="46">
        <f t="shared" si="44"/>
        <v>6.0494873523456012E-2</v>
      </c>
      <c r="AD70" s="33"/>
      <c r="AE70" s="33">
        <f t="shared" si="45"/>
        <v>1578.4590163934427</v>
      </c>
      <c r="AF70" s="50"/>
      <c r="AG70" s="33"/>
      <c r="AH70" s="33">
        <f t="shared" si="35"/>
        <v>1552</v>
      </c>
      <c r="AI70" s="231"/>
      <c r="AJ70" s="50"/>
      <c r="AK70" s="10"/>
      <c r="AL70" s="23">
        <f t="shared" si="39"/>
        <v>4797</v>
      </c>
      <c r="AM70" s="24"/>
      <c r="AN70" s="24"/>
      <c r="AO70" s="24">
        <v>178263</v>
      </c>
      <c r="AP70" s="24">
        <v>361180</v>
      </c>
      <c r="AQ70" s="24"/>
      <c r="AR70" s="25">
        <f t="shared" si="40"/>
        <v>1.346023800237385E-2</v>
      </c>
      <c r="AS70" s="25"/>
      <c r="AT70" s="25"/>
      <c r="AU70" s="24"/>
      <c r="AV70" s="341">
        <f t="shared" si="46"/>
        <v>0.22692331615397712</v>
      </c>
      <c r="AW70" s="341"/>
      <c r="AX70" s="24">
        <f t="shared" si="47"/>
        <v>5920.9836065573772</v>
      </c>
      <c r="AY70" s="351"/>
      <c r="AZ70" s="10"/>
      <c r="BA70" s="66">
        <f t="shared" si="41"/>
        <v>344729</v>
      </c>
      <c r="BB70" s="67"/>
      <c r="BC70" s="67">
        <v>12645473</v>
      </c>
      <c r="BD70" s="67"/>
      <c r="BE70" s="67">
        <f t="shared" si="48"/>
        <v>20289</v>
      </c>
      <c r="BF70" s="67"/>
      <c r="BG70" s="156">
        <f t="shared" si="42"/>
        <v>5.8854926623521667E-2</v>
      </c>
      <c r="BH70" s="67"/>
      <c r="BI70" s="183"/>
      <c r="BJ70" s="67"/>
      <c r="BK70" s="67"/>
      <c r="BL70" s="67"/>
      <c r="BM70" s="156"/>
      <c r="BN70" s="66">
        <f t="shared" si="49"/>
        <v>207302.83606557376</v>
      </c>
      <c r="BO70" s="67"/>
      <c r="BP70" s="67">
        <f t="shared" si="50"/>
        <v>1318261</v>
      </c>
      <c r="BQ70" s="67"/>
      <c r="BR70" s="74">
        <f t="shared" si="51"/>
        <v>0.10424766238479177</v>
      </c>
      <c r="BS70" s="67"/>
      <c r="BT70" s="86"/>
      <c r="BU70" s="183"/>
      <c r="BV70" s="1"/>
      <c r="BW70">
        <f t="shared" si="11"/>
        <v>61</v>
      </c>
    </row>
    <row r="71" spans="2:75" x14ac:dyDescent="0.3">
      <c r="B71" s="171">
        <f t="shared" si="6"/>
        <v>43971</v>
      </c>
      <c r="C71" s="61"/>
      <c r="D71" s="17">
        <v>22140</v>
      </c>
      <c r="E71" s="16"/>
      <c r="F71" s="16"/>
      <c r="G71" s="16"/>
      <c r="H71" s="16">
        <f t="shared" si="36"/>
        <v>1613779</v>
      </c>
      <c r="I71" s="16"/>
      <c r="J71" s="38">
        <f t="shared" si="37"/>
        <v>1.3910189433659266E-2</v>
      </c>
      <c r="K71" s="16"/>
      <c r="L71" s="16"/>
      <c r="M71" s="16"/>
      <c r="N71" s="16"/>
      <c r="O71" s="16">
        <f t="shared" si="43"/>
        <v>26028.693548387098</v>
      </c>
      <c r="P71" s="41"/>
      <c r="Q71" s="17"/>
      <c r="R71" s="16"/>
      <c r="S71" s="60"/>
      <c r="T71" s="16"/>
      <c r="U71" s="41"/>
      <c r="V71" s="10"/>
      <c r="W71" s="34">
        <v>1403</v>
      </c>
      <c r="X71" s="33"/>
      <c r="Y71" s="33"/>
      <c r="Z71" s="33"/>
      <c r="AA71" s="33">
        <f t="shared" si="38"/>
        <v>97689</v>
      </c>
      <c r="AB71" s="33"/>
      <c r="AC71" s="46">
        <f t="shared" si="44"/>
        <v>6.0534311079769906E-2</v>
      </c>
      <c r="AD71" s="33"/>
      <c r="AE71" s="33">
        <f t="shared" si="45"/>
        <v>1575.6290322580646</v>
      </c>
      <c r="AF71" s="50"/>
      <c r="AG71" s="33"/>
      <c r="AH71" s="33">
        <f t="shared" si="35"/>
        <v>1403</v>
      </c>
      <c r="AI71" s="231"/>
      <c r="AJ71" s="50"/>
      <c r="AK71" s="10"/>
      <c r="AL71" s="23">
        <f t="shared" si="39"/>
        <v>8896</v>
      </c>
      <c r="AM71" s="24"/>
      <c r="AN71" s="24"/>
      <c r="AO71" s="24">
        <v>178263</v>
      </c>
      <c r="AP71" s="24">
        <v>370076</v>
      </c>
      <c r="AQ71" s="24"/>
      <c r="AR71" s="25">
        <f t="shared" si="40"/>
        <v>2.4630378204773245E-2</v>
      </c>
      <c r="AS71" s="25"/>
      <c r="AT71" s="25"/>
      <c r="AU71" s="24"/>
      <c r="AV71" s="341">
        <f t="shared" si="46"/>
        <v>0.2293226024133416</v>
      </c>
      <c r="AW71" s="341"/>
      <c r="AX71" s="24">
        <f t="shared" si="47"/>
        <v>5968.9677419354839</v>
      </c>
      <c r="AY71" s="351"/>
      <c r="AZ71" s="10"/>
      <c r="BA71" s="66">
        <f t="shared" si="41"/>
        <v>323101</v>
      </c>
      <c r="BB71" s="67"/>
      <c r="BC71" s="67">
        <v>12968574</v>
      </c>
      <c r="BD71" s="67"/>
      <c r="BE71" s="67">
        <f t="shared" si="48"/>
        <v>22140</v>
      </c>
      <c r="BF71" s="67"/>
      <c r="BG71" s="156">
        <f t="shared" si="42"/>
        <v>6.8523464798932843E-2</v>
      </c>
      <c r="BH71" s="67"/>
      <c r="BI71" s="183"/>
      <c r="BJ71" s="67"/>
      <c r="BK71" s="67"/>
      <c r="BL71" s="67"/>
      <c r="BM71" s="156"/>
      <c r="BN71" s="66">
        <f t="shared" si="49"/>
        <v>209170.54838709679</v>
      </c>
      <c r="BO71" s="67"/>
      <c r="BP71" s="67">
        <f t="shared" si="50"/>
        <v>1340401</v>
      </c>
      <c r="BQ71" s="67"/>
      <c r="BR71" s="74">
        <f t="shared" si="51"/>
        <v>0.10335762436178411</v>
      </c>
      <c r="BS71" s="67"/>
      <c r="BT71" s="86"/>
      <c r="BU71" s="183"/>
      <c r="BV71" s="1"/>
      <c r="BW71">
        <f t="shared" si="11"/>
        <v>62</v>
      </c>
    </row>
    <row r="72" spans="2:75" x14ac:dyDescent="0.3">
      <c r="B72" s="171">
        <f t="shared" si="6"/>
        <v>43972</v>
      </c>
      <c r="C72" s="61"/>
      <c r="D72" s="17">
        <v>28175</v>
      </c>
      <c r="E72" s="16"/>
      <c r="F72" s="16"/>
      <c r="G72" s="16"/>
      <c r="H72" s="16">
        <f t="shared" si="36"/>
        <v>1641954</v>
      </c>
      <c r="I72" s="16"/>
      <c r="J72" s="38">
        <f t="shared" si="37"/>
        <v>1.7459020101265415E-2</v>
      </c>
      <c r="K72" s="16"/>
      <c r="L72" s="16"/>
      <c r="M72" s="16"/>
      <c r="N72" s="16"/>
      <c r="O72" s="16">
        <f t="shared" si="43"/>
        <v>26062.761904761905</v>
      </c>
      <c r="P72" s="41"/>
      <c r="Q72" s="17"/>
      <c r="R72" s="16"/>
      <c r="S72" s="60"/>
      <c r="T72" s="16"/>
      <c r="U72" s="41"/>
      <c r="V72" s="10"/>
      <c r="W72" s="34">
        <v>1418</v>
      </c>
      <c r="X72" s="33"/>
      <c r="Y72" s="33"/>
      <c r="Z72" s="33"/>
      <c r="AA72" s="33">
        <f t="shared" si="38"/>
        <v>99107</v>
      </c>
      <c r="AB72" s="33"/>
      <c r="AC72" s="46">
        <f t="shared" si="44"/>
        <v>6.0359181804118749E-2</v>
      </c>
      <c r="AD72" s="33"/>
      <c r="AE72" s="33">
        <f t="shared" si="45"/>
        <v>1573.1269841269841</v>
      </c>
      <c r="AF72" s="50"/>
      <c r="AG72" s="33"/>
      <c r="AH72" s="33">
        <f t="shared" si="35"/>
        <v>1418</v>
      </c>
      <c r="AI72" s="231"/>
      <c r="AJ72" s="50"/>
      <c r="AK72" s="10"/>
      <c r="AL72" s="23">
        <f t="shared" si="39"/>
        <v>12093</v>
      </c>
      <c r="AM72" s="24"/>
      <c r="AN72" s="24"/>
      <c r="AO72" s="24">
        <v>178263</v>
      </c>
      <c r="AP72" s="24">
        <v>382169</v>
      </c>
      <c r="AQ72" s="24"/>
      <c r="AR72" s="25">
        <f t="shared" si="40"/>
        <v>3.2677071736616263E-2</v>
      </c>
      <c r="AS72" s="25"/>
      <c r="AT72" s="25"/>
      <c r="AU72" s="24"/>
      <c r="AV72" s="341">
        <f t="shared" si="46"/>
        <v>0.23275256188663021</v>
      </c>
      <c r="AW72" s="341"/>
      <c r="AX72" s="24">
        <f t="shared" si="47"/>
        <v>6066.1746031746034</v>
      </c>
      <c r="AY72" s="351"/>
      <c r="AZ72" s="10"/>
      <c r="BA72" s="66">
        <f t="shared" si="41"/>
        <v>470540</v>
      </c>
      <c r="BB72" s="67"/>
      <c r="BC72" s="67">
        <v>13439114</v>
      </c>
      <c r="BD72" s="67"/>
      <c r="BE72" s="67">
        <f t="shared" si="48"/>
        <v>28175</v>
      </c>
      <c r="BF72" s="67"/>
      <c r="BG72" s="156">
        <f t="shared" si="42"/>
        <v>5.9878012496280872E-2</v>
      </c>
      <c r="BH72" s="67"/>
      <c r="BI72" s="183"/>
      <c r="BJ72" s="67"/>
      <c r="BK72" s="67"/>
      <c r="BL72" s="67"/>
      <c r="BM72" s="156"/>
      <c r="BN72" s="66">
        <f t="shared" si="49"/>
        <v>213319.26984126985</v>
      </c>
      <c r="BO72" s="67"/>
      <c r="BP72" s="67">
        <f t="shared" si="50"/>
        <v>1368576</v>
      </c>
      <c r="BQ72" s="67"/>
      <c r="BR72" s="74">
        <f t="shared" si="51"/>
        <v>0.10183528467724881</v>
      </c>
      <c r="BS72" s="67"/>
      <c r="BT72" s="86"/>
      <c r="BU72" s="183"/>
      <c r="BV72" s="1"/>
      <c r="BW72">
        <f t="shared" si="11"/>
        <v>63</v>
      </c>
    </row>
    <row r="73" spans="2:75" x14ac:dyDescent="0.3">
      <c r="B73" s="171">
        <f t="shared" si="6"/>
        <v>43973</v>
      </c>
      <c r="C73" s="61"/>
      <c r="D73" s="17">
        <v>24002</v>
      </c>
      <c r="E73" s="16"/>
      <c r="F73" s="16"/>
      <c r="G73" s="16"/>
      <c r="H73" s="16">
        <f t="shared" si="36"/>
        <v>1665956</v>
      </c>
      <c r="I73" s="16"/>
      <c r="J73" s="38">
        <f t="shared" si="37"/>
        <v>1.4617949102106393E-2</v>
      </c>
      <c r="K73" s="16"/>
      <c r="L73" s="16"/>
      <c r="M73" s="16"/>
      <c r="N73" s="16"/>
      <c r="O73" s="16">
        <f t="shared" si="43"/>
        <v>26030.5625</v>
      </c>
      <c r="P73" s="41"/>
      <c r="Q73" s="17"/>
      <c r="R73" s="16"/>
      <c r="S73" s="60"/>
      <c r="T73" s="16"/>
      <c r="U73" s="41"/>
      <c r="V73" s="10"/>
      <c r="W73" s="34">
        <v>1293</v>
      </c>
      <c r="X73" s="33"/>
      <c r="Y73" s="33"/>
      <c r="Z73" s="33"/>
      <c r="AA73" s="33">
        <f t="shared" si="38"/>
        <v>100400</v>
      </c>
      <c r="AB73" s="33"/>
      <c r="AC73" s="46">
        <f t="shared" si="44"/>
        <v>6.0265697293325877E-2</v>
      </c>
      <c r="AD73" s="33"/>
      <c r="AE73" s="33">
        <f t="shared" si="45"/>
        <v>1568.75</v>
      </c>
      <c r="AF73" s="50"/>
      <c r="AG73" s="33"/>
      <c r="AH73" s="33">
        <f t="shared" si="35"/>
        <v>1293</v>
      </c>
      <c r="AI73" s="231"/>
      <c r="AJ73" s="50"/>
      <c r="AK73" s="10"/>
      <c r="AL73" s="23">
        <f t="shared" si="39"/>
        <v>51428</v>
      </c>
      <c r="AM73" s="24"/>
      <c r="AN73" s="24"/>
      <c r="AO73" s="24">
        <v>178263</v>
      </c>
      <c r="AP73" s="24">
        <v>433597</v>
      </c>
      <c r="AQ73" s="24"/>
      <c r="AR73" s="25">
        <f t="shared" si="40"/>
        <v>0.13456873791437821</v>
      </c>
      <c r="AS73" s="25"/>
      <c r="AT73" s="25"/>
      <c r="AU73" s="24"/>
      <c r="AV73" s="341">
        <f t="shared" si="46"/>
        <v>0.26026917877783085</v>
      </c>
      <c r="AW73" s="341"/>
      <c r="AX73" s="24">
        <f t="shared" si="47"/>
        <v>6774.953125</v>
      </c>
      <c r="AY73" s="351"/>
      <c r="AZ73" s="10"/>
      <c r="BA73" s="66">
        <f t="shared" si="41"/>
        <v>470791</v>
      </c>
      <c r="BB73" s="67"/>
      <c r="BC73" s="67">
        <v>13909905</v>
      </c>
      <c r="BD73" s="67"/>
      <c r="BE73" s="67">
        <f t="shared" si="48"/>
        <v>24002</v>
      </c>
      <c r="BF73" s="67"/>
      <c r="BG73" s="156">
        <f t="shared" si="42"/>
        <v>5.0982283008808582E-2</v>
      </c>
      <c r="BH73" s="67"/>
      <c r="BI73" s="183"/>
      <c r="BJ73" s="67"/>
      <c r="BK73" s="67"/>
      <c r="BL73" s="67"/>
      <c r="BM73" s="156"/>
      <c r="BN73" s="66">
        <f t="shared" si="49"/>
        <v>217342.265625</v>
      </c>
      <c r="BO73" s="67"/>
      <c r="BP73" s="67">
        <f t="shared" si="50"/>
        <v>1392578</v>
      </c>
      <c r="BQ73" s="67"/>
      <c r="BR73" s="74">
        <f t="shared" si="51"/>
        <v>0.10011412730712395</v>
      </c>
      <c r="BS73" s="67"/>
      <c r="BT73" s="86"/>
      <c r="BU73" s="183"/>
      <c r="BV73" s="1"/>
      <c r="BW73">
        <f t="shared" si="11"/>
        <v>64</v>
      </c>
    </row>
    <row r="74" spans="2:75" x14ac:dyDescent="0.3">
      <c r="B74" s="475">
        <f t="shared" si="6"/>
        <v>43974</v>
      </c>
      <c r="C74" s="61"/>
      <c r="D74" s="17">
        <v>21928</v>
      </c>
      <c r="E74" s="16"/>
      <c r="F74" s="16"/>
      <c r="G74" s="16"/>
      <c r="H74" s="16">
        <f t="shared" si="36"/>
        <v>1687884</v>
      </c>
      <c r="I74" s="16"/>
      <c r="J74" s="38">
        <f t="shared" si="37"/>
        <v>1.3162412452669818E-2</v>
      </c>
      <c r="K74" s="16"/>
      <c r="L74" s="16"/>
      <c r="M74" s="16"/>
      <c r="N74" s="16"/>
      <c r="O74" s="16">
        <f t="shared" si="43"/>
        <v>25967.446153846155</v>
      </c>
      <c r="P74" s="41"/>
      <c r="Q74" s="17"/>
      <c r="R74" s="16"/>
      <c r="S74" s="60"/>
      <c r="T74" s="16"/>
      <c r="U74" s="41"/>
      <c r="V74" s="477"/>
      <c r="W74" s="34">
        <v>1036</v>
      </c>
      <c r="X74" s="33"/>
      <c r="Y74" s="33"/>
      <c r="Z74" s="33"/>
      <c r="AA74" s="33">
        <f t="shared" si="38"/>
        <v>101436</v>
      </c>
      <c r="AB74" s="33"/>
      <c r="AC74" s="46">
        <f t="shared" si="44"/>
        <v>6.0096546919101074E-2</v>
      </c>
      <c r="AD74" s="33"/>
      <c r="AE74" s="33">
        <f t="shared" si="45"/>
        <v>1560.5538461538461</v>
      </c>
      <c r="AF74" s="50"/>
      <c r="AG74" s="33"/>
      <c r="AH74" s="33">
        <f t="shared" si="35"/>
        <v>1036</v>
      </c>
      <c r="AI74" s="231"/>
      <c r="AJ74" s="50"/>
      <c r="AK74" s="10"/>
      <c r="AL74" s="23">
        <f t="shared" si="39"/>
        <v>13317</v>
      </c>
      <c r="AM74" s="24"/>
      <c r="AN74" s="24"/>
      <c r="AO74" s="24">
        <v>178263</v>
      </c>
      <c r="AP74" s="24">
        <v>446914</v>
      </c>
      <c r="AQ74" s="24"/>
      <c r="AR74" s="25">
        <f t="shared" si="40"/>
        <v>3.0712850873045709E-2</v>
      </c>
      <c r="AS74" s="25"/>
      <c r="AT74" s="25"/>
      <c r="AU74" s="24"/>
      <c r="AV74" s="341">
        <f t="shared" si="46"/>
        <v>0.26477767429515298</v>
      </c>
      <c r="AW74" s="341"/>
      <c r="AX74" s="24">
        <f t="shared" si="47"/>
        <v>6875.6</v>
      </c>
      <c r="AY74" s="351"/>
      <c r="AZ74" s="10"/>
      <c r="BA74" s="66">
        <f t="shared" si="41"/>
        <v>448064</v>
      </c>
      <c r="BB74" s="67"/>
      <c r="BC74" s="67">
        <v>14357969</v>
      </c>
      <c r="BD74" s="67"/>
      <c r="BE74" s="67">
        <f t="shared" si="48"/>
        <v>21928</v>
      </c>
      <c r="BF74" s="67"/>
      <c r="BG74" s="156">
        <f t="shared" si="42"/>
        <v>4.8939437223253821E-2</v>
      </c>
      <c r="BH74" s="67"/>
      <c r="BI74" s="183"/>
      <c r="BJ74" s="67"/>
      <c r="BK74" s="67"/>
      <c r="BL74" s="67"/>
      <c r="BM74" s="156"/>
      <c r="BN74" s="66">
        <f t="shared" si="49"/>
        <v>220891.83076923076</v>
      </c>
      <c r="BO74" s="67"/>
      <c r="BP74" s="67">
        <f t="shared" si="50"/>
        <v>1414506</v>
      </c>
      <c r="BQ74" s="67"/>
      <c r="BR74" s="74">
        <f t="shared" si="51"/>
        <v>9.8517137068620225E-2</v>
      </c>
      <c r="BS74" s="67"/>
      <c r="BT74" s="86"/>
      <c r="BU74" s="183"/>
      <c r="BV74" s="1"/>
      <c r="BW74">
        <f t="shared" si="11"/>
        <v>65</v>
      </c>
    </row>
    <row r="75" spans="2:75" x14ac:dyDescent="0.3">
      <c r="B75" s="390">
        <f t="shared" si="6"/>
        <v>43975</v>
      </c>
      <c r="C75" s="61"/>
      <c r="D75" s="17">
        <v>19608</v>
      </c>
      <c r="E75" s="16"/>
      <c r="F75" s="16"/>
      <c r="G75" s="16"/>
      <c r="H75" s="16">
        <f t="shared" si="36"/>
        <v>1707492</v>
      </c>
      <c r="I75" s="16"/>
      <c r="J75" s="38">
        <f t="shared" si="37"/>
        <v>1.1616912062677292E-2</v>
      </c>
      <c r="K75" s="16"/>
      <c r="L75" s="16"/>
      <c r="M75" s="16"/>
      <c r="N75" s="16"/>
      <c r="O75" s="16">
        <f t="shared" si="43"/>
        <v>25871.090909090908</v>
      </c>
      <c r="P75" s="41"/>
      <c r="Q75" s="17">
        <f>SUM(D69:D75)</f>
        <v>158772</v>
      </c>
      <c r="R75" s="16"/>
      <c r="S75" s="60">
        <f>+(Q75-Q68)/Q68</f>
        <v>-7.8362266131753594E-3</v>
      </c>
      <c r="T75" s="16"/>
      <c r="U75" s="41"/>
      <c r="V75" s="391"/>
      <c r="W75" s="34">
        <v>617</v>
      </c>
      <c r="X75" s="33"/>
      <c r="Y75" s="33"/>
      <c r="Z75" s="33"/>
      <c r="AA75" s="33">
        <f t="shared" si="38"/>
        <v>102053</v>
      </c>
      <c r="AB75" s="33"/>
      <c r="AC75" s="46">
        <f t="shared" si="44"/>
        <v>5.9767776364398777E-2</v>
      </c>
      <c r="AD75" s="33"/>
      <c r="AE75" s="33">
        <f t="shared" si="45"/>
        <v>1546.2575757575758</v>
      </c>
      <c r="AF75" s="50"/>
      <c r="AG75" s="33">
        <f>SUM(W69:W75)</f>
        <v>8322</v>
      </c>
      <c r="AH75" s="33">
        <f t="shared" si="35"/>
        <v>617</v>
      </c>
      <c r="AI75" s="231">
        <f>+(AG75-AG68)/AG68</f>
        <v>-0.1833971151015602</v>
      </c>
      <c r="AJ75" s="50"/>
      <c r="AK75" s="391"/>
      <c r="AL75" s="23">
        <f t="shared" si="39"/>
        <v>4788</v>
      </c>
      <c r="AM75" s="24"/>
      <c r="AN75" s="24"/>
      <c r="AO75" s="24">
        <v>178263</v>
      </c>
      <c r="AP75" s="24">
        <v>451702</v>
      </c>
      <c r="AQ75" s="24"/>
      <c r="AR75" s="25">
        <f t="shared" si="40"/>
        <v>1.0713470600607723E-2</v>
      </c>
      <c r="AS75" s="25"/>
      <c r="AT75" s="25"/>
      <c r="AU75" s="24"/>
      <c r="AV75" s="341">
        <f t="shared" si="46"/>
        <v>0.26454121014915444</v>
      </c>
      <c r="AW75" s="341"/>
      <c r="AX75" s="24">
        <f t="shared" si="47"/>
        <v>6843.969696969697</v>
      </c>
      <c r="AY75" s="351"/>
      <c r="AZ75" s="391"/>
      <c r="BA75" s="66">
        <f t="shared" si="41"/>
        <v>391787</v>
      </c>
      <c r="BB75" s="67"/>
      <c r="BC75" s="67">
        <v>14749756</v>
      </c>
      <c r="BD75" s="67"/>
      <c r="BE75" s="67">
        <f t="shared" si="48"/>
        <v>19608</v>
      </c>
      <c r="BF75" s="67"/>
      <c r="BG75" s="156">
        <f t="shared" si="42"/>
        <v>5.0047602396199979E-2</v>
      </c>
      <c r="BH75" s="67"/>
      <c r="BI75" s="183"/>
      <c r="BJ75" s="67"/>
      <c r="BK75" s="67">
        <f>SUM(BA69:BA75)</f>
        <v>2874176</v>
      </c>
      <c r="BL75" s="67"/>
      <c r="BM75" s="156">
        <f>+Q75/BK75</f>
        <v>5.5240875993676102E-2</v>
      </c>
      <c r="BN75" s="66">
        <f t="shared" si="49"/>
        <v>223481.15151515152</v>
      </c>
      <c r="BO75" s="67"/>
      <c r="BP75" s="67">
        <f t="shared" si="50"/>
        <v>1434114</v>
      </c>
      <c r="BQ75" s="67"/>
      <c r="BR75" s="74">
        <f t="shared" si="51"/>
        <v>9.7229676206169111E-2</v>
      </c>
      <c r="BS75" s="67"/>
      <c r="BT75" s="86"/>
      <c r="BU75" s="183"/>
      <c r="BV75" s="1"/>
      <c r="BW75">
        <f t="shared" si="11"/>
        <v>66</v>
      </c>
    </row>
    <row r="76" spans="2:75" x14ac:dyDescent="0.3">
      <c r="B76" s="171">
        <f t="shared" si="6"/>
        <v>43976</v>
      </c>
      <c r="C76" s="61"/>
      <c r="D76" s="17">
        <v>19790</v>
      </c>
      <c r="E76" s="16"/>
      <c r="F76" s="16"/>
      <c r="G76" s="16"/>
      <c r="H76" s="16">
        <f t="shared" si="36"/>
        <v>1727282</v>
      </c>
      <c r="I76" s="16"/>
      <c r="J76" s="38">
        <f t="shared" si="37"/>
        <v>1.1590098225936051E-2</v>
      </c>
      <c r="K76" s="16"/>
      <c r="L76" s="16"/>
      <c r="M76" s="16"/>
      <c r="N76" s="16"/>
      <c r="O76" s="16">
        <f t="shared" si="43"/>
        <v>25780.328358208953</v>
      </c>
      <c r="P76" s="41"/>
      <c r="Q76" s="17"/>
      <c r="R76" s="16"/>
      <c r="S76" s="60"/>
      <c r="T76" s="16"/>
      <c r="U76" s="41"/>
      <c r="V76" s="10"/>
      <c r="W76" s="34">
        <v>505</v>
      </c>
      <c r="X76" s="33"/>
      <c r="Y76" s="33"/>
      <c r="Z76" s="33"/>
      <c r="AA76" s="33">
        <f t="shared" si="38"/>
        <v>102558</v>
      </c>
      <c r="AB76" s="33"/>
      <c r="AC76" s="46">
        <f t="shared" si="44"/>
        <v>5.937536545856438E-2</v>
      </c>
      <c r="AD76" s="33"/>
      <c r="AE76" s="33">
        <f t="shared" si="45"/>
        <v>1530.7164179104477</v>
      </c>
      <c r="AF76" s="50"/>
      <c r="AG76" s="33"/>
      <c r="AH76" s="33">
        <f t="shared" si="35"/>
        <v>505</v>
      </c>
      <c r="AI76" s="231"/>
      <c r="AJ76" s="50"/>
      <c r="AK76" s="10"/>
      <c r="AL76" s="23">
        <f t="shared" si="39"/>
        <v>12968</v>
      </c>
      <c r="AM76" s="24"/>
      <c r="AN76" s="24"/>
      <c r="AO76" s="24">
        <v>178263</v>
      </c>
      <c r="AP76" s="24">
        <v>464670</v>
      </c>
      <c r="AQ76" s="24"/>
      <c r="AR76" s="25">
        <f t="shared" si="40"/>
        <v>2.8709193229164362E-2</v>
      </c>
      <c r="AS76" s="25"/>
      <c r="AT76" s="25"/>
      <c r="AU76" s="24"/>
      <c r="AV76" s="341">
        <f t="shared" si="46"/>
        <v>0.26901802948215753</v>
      </c>
      <c r="AW76" s="341"/>
      <c r="AX76" s="24">
        <f t="shared" si="47"/>
        <v>6935.373134328358</v>
      </c>
      <c r="AY76" s="351"/>
      <c r="AZ76" s="10"/>
      <c r="BA76" s="66">
        <f t="shared" si="41"/>
        <v>437891</v>
      </c>
      <c r="BB76" s="67"/>
      <c r="BC76" s="67">
        <v>15187647</v>
      </c>
      <c r="BD76" s="67"/>
      <c r="BE76" s="67">
        <f t="shared" si="48"/>
        <v>19790</v>
      </c>
      <c r="BF76" s="67"/>
      <c r="BG76" s="156">
        <f t="shared" si="42"/>
        <v>4.5193895284442932E-2</v>
      </c>
      <c r="BH76" s="67"/>
      <c r="BI76" s="183"/>
      <c r="BJ76" s="67"/>
      <c r="BK76" s="67"/>
      <c r="BL76" s="67"/>
      <c r="BM76" s="156"/>
      <c r="BN76" s="66">
        <f t="shared" si="49"/>
        <v>226681.29850746269</v>
      </c>
      <c r="BO76" s="67"/>
      <c r="BP76" s="67">
        <f t="shared" si="50"/>
        <v>1453904</v>
      </c>
      <c r="BQ76" s="67"/>
      <c r="BR76" s="74">
        <f t="shared" si="51"/>
        <v>9.572937796091785E-2</v>
      </c>
      <c r="BS76" s="67"/>
      <c r="BT76" s="86"/>
      <c r="BU76" s="183"/>
      <c r="BV76" s="1"/>
      <c r="BW76">
        <f t="shared" si="11"/>
        <v>67</v>
      </c>
    </row>
    <row r="77" spans="2:75" x14ac:dyDescent="0.3">
      <c r="B77" s="171">
        <f t="shared" ref="B77:B187" si="52">1+B76</f>
        <v>43977</v>
      </c>
      <c r="C77" s="61"/>
      <c r="D77" s="17">
        <v>19031</v>
      </c>
      <c r="E77" s="16"/>
      <c r="F77" s="16"/>
      <c r="G77" s="16"/>
      <c r="H77" s="16">
        <f t="shared" si="36"/>
        <v>1746313</v>
      </c>
      <c r="I77" s="16"/>
      <c r="J77" s="38">
        <f t="shared" si="37"/>
        <v>1.1017888219757977E-2</v>
      </c>
      <c r="K77" s="16"/>
      <c r="L77" s="16"/>
      <c r="M77" s="16"/>
      <c r="N77" s="16"/>
      <c r="O77" s="16">
        <f t="shared" si="43"/>
        <v>25681.073529411766</v>
      </c>
      <c r="P77" s="41"/>
      <c r="Q77" s="17"/>
      <c r="R77" s="16"/>
      <c r="S77" s="60"/>
      <c r="T77" s="16"/>
      <c r="U77" s="41"/>
      <c r="V77" s="10"/>
      <c r="W77" s="34">
        <v>774</v>
      </c>
      <c r="X77" s="33"/>
      <c r="Y77" s="33"/>
      <c r="Z77" s="33"/>
      <c r="AA77" s="33">
        <f t="shared" si="38"/>
        <v>103332</v>
      </c>
      <c r="AB77" s="33"/>
      <c r="AC77" s="46">
        <f t="shared" si="44"/>
        <v>5.917152308893079E-2</v>
      </c>
      <c r="AD77" s="33"/>
      <c r="AE77" s="33">
        <f t="shared" si="45"/>
        <v>1519.5882352941176</v>
      </c>
      <c r="AF77" s="50"/>
      <c r="AG77" s="33"/>
      <c r="AH77" s="33">
        <f t="shared" si="35"/>
        <v>774</v>
      </c>
      <c r="AI77" s="231"/>
      <c r="AJ77" s="50"/>
      <c r="AK77" s="10"/>
      <c r="AL77" s="23">
        <f t="shared" si="39"/>
        <v>15299</v>
      </c>
      <c r="AM77" s="24"/>
      <c r="AN77" s="24"/>
      <c r="AO77" s="24">
        <v>178263</v>
      </c>
      <c r="AP77" s="24">
        <v>479969</v>
      </c>
      <c r="AQ77" s="24"/>
      <c r="AR77" s="25">
        <f t="shared" si="40"/>
        <v>3.2924441001140593E-2</v>
      </c>
      <c r="AS77" s="25"/>
      <c r="AT77" s="25"/>
      <c r="AU77" s="24"/>
      <c r="AV77" s="341">
        <f t="shared" si="46"/>
        <v>0.27484706349892601</v>
      </c>
      <c r="AW77" s="341"/>
      <c r="AX77" s="24">
        <f t="shared" si="47"/>
        <v>7058.3676470588234</v>
      </c>
      <c r="AY77" s="351"/>
      <c r="AZ77" s="10"/>
      <c r="BA77" s="66">
        <f t="shared" si="41"/>
        <v>344512</v>
      </c>
      <c r="BB77" s="67"/>
      <c r="BC77" s="67">
        <v>15532159</v>
      </c>
      <c r="BD77" s="67"/>
      <c r="BE77" s="67">
        <f t="shared" si="48"/>
        <v>19031</v>
      </c>
      <c r="BF77" s="67"/>
      <c r="BG77" s="156">
        <f t="shared" si="42"/>
        <v>5.5240456065391047E-2</v>
      </c>
      <c r="BH77" s="67"/>
      <c r="BI77" s="183"/>
      <c r="BJ77" s="67"/>
      <c r="BK77" s="67"/>
      <c r="BL77" s="67"/>
      <c r="BM77" s="156"/>
      <c r="BN77" s="66">
        <f t="shared" si="49"/>
        <v>228414.10294117648</v>
      </c>
      <c r="BO77" s="67"/>
      <c r="BP77" s="67">
        <f t="shared" si="50"/>
        <v>1472935</v>
      </c>
      <c r="BQ77" s="67"/>
      <c r="BR77" s="74">
        <f t="shared" si="51"/>
        <v>9.4831310959410081E-2</v>
      </c>
      <c r="BS77" s="67"/>
      <c r="BT77" s="86"/>
      <c r="BU77" s="183"/>
      <c r="BV77" s="1"/>
      <c r="BW77">
        <f t="shared" ref="BW77:BW189" si="53">+BW76+1</f>
        <v>68</v>
      </c>
    </row>
    <row r="78" spans="2:75" x14ac:dyDescent="0.3">
      <c r="B78" s="171">
        <f t="shared" si="52"/>
        <v>43978</v>
      </c>
      <c r="C78" s="61"/>
      <c r="D78" s="17">
        <v>20546</v>
      </c>
      <c r="E78" s="16"/>
      <c r="F78" s="16"/>
      <c r="G78" s="16"/>
      <c r="H78" s="16">
        <f t="shared" si="36"/>
        <v>1766859</v>
      </c>
      <c r="I78" s="16"/>
      <c r="J78" s="38">
        <f t="shared" si="37"/>
        <v>1.1765359359977278E-2</v>
      </c>
      <c r="K78" s="16"/>
      <c r="L78" s="16"/>
      <c r="M78" s="16"/>
      <c r="N78" s="16"/>
      <c r="O78" s="16">
        <f t="shared" si="43"/>
        <v>25606.652173913044</v>
      </c>
      <c r="P78" s="41"/>
      <c r="Q78" s="17"/>
      <c r="R78" s="16"/>
      <c r="S78" s="60"/>
      <c r="T78" s="16"/>
      <c r="U78" s="41"/>
      <c r="V78" s="10"/>
      <c r="W78" s="34">
        <f>1535-7</f>
        <v>1528</v>
      </c>
      <c r="X78" s="33"/>
      <c r="Y78" s="33"/>
      <c r="Z78" s="33"/>
      <c r="AA78" s="33">
        <f t="shared" si="38"/>
        <v>104860</v>
      </c>
      <c r="AB78" s="33"/>
      <c r="AC78" s="46">
        <f t="shared" si="44"/>
        <v>5.9348255859692257E-2</v>
      </c>
      <c r="AD78" s="33"/>
      <c r="AE78" s="33">
        <f t="shared" si="45"/>
        <v>1519.7101449275362</v>
      </c>
      <c r="AF78" s="50"/>
      <c r="AG78" s="33"/>
      <c r="AH78" s="33">
        <f t="shared" si="35"/>
        <v>1528</v>
      </c>
      <c r="AI78" s="231"/>
      <c r="AJ78" s="50"/>
      <c r="AK78" s="10"/>
      <c r="AL78" s="23">
        <f t="shared" si="39"/>
        <v>10161</v>
      </c>
      <c r="AM78" s="24"/>
      <c r="AN78" s="24"/>
      <c r="AO78" s="24">
        <v>178263</v>
      </c>
      <c r="AP78" s="24">
        <v>490130</v>
      </c>
      <c r="AQ78" s="24"/>
      <c r="AR78" s="25">
        <f t="shared" si="40"/>
        <v>2.1170117236738208E-2</v>
      </c>
      <c r="AS78" s="25"/>
      <c r="AT78" s="25"/>
      <c r="AU78" s="24"/>
      <c r="AV78" s="341">
        <f t="shared" si="46"/>
        <v>0.27740187530527338</v>
      </c>
      <c r="AW78" s="341"/>
      <c r="AX78" s="24">
        <f t="shared" si="47"/>
        <v>7103.333333333333</v>
      </c>
      <c r="AY78" s="351"/>
      <c r="AZ78" s="10"/>
      <c r="BA78" s="66">
        <f t="shared" si="41"/>
        <v>343314</v>
      </c>
      <c r="BB78" s="67"/>
      <c r="BC78" s="67">
        <v>15875473</v>
      </c>
      <c r="BD78" s="67"/>
      <c r="BE78" s="67">
        <f t="shared" si="48"/>
        <v>20546</v>
      </c>
      <c r="BF78" s="67"/>
      <c r="BG78" s="156">
        <f t="shared" si="42"/>
        <v>5.9846088420512998E-2</v>
      </c>
      <c r="BH78" s="67"/>
      <c r="BI78" s="183"/>
      <c r="BJ78" s="67"/>
      <c r="BK78" s="67"/>
      <c r="BL78" s="67"/>
      <c r="BM78" s="156"/>
      <c r="BN78" s="66">
        <f t="shared" si="49"/>
        <v>230079.31884057971</v>
      </c>
      <c r="BO78" s="67"/>
      <c r="BP78" s="67">
        <f t="shared" si="50"/>
        <v>1493481</v>
      </c>
      <c r="BQ78" s="67"/>
      <c r="BR78" s="74">
        <f t="shared" si="51"/>
        <v>9.4074740324272543E-2</v>
      </c>
      <c r="BS78" s="67"/>
      <c r="BT78" s="86"/>
      <c r="BU78" s="183"/>
      <c r="BV78" s="1"/>
      <c r="BW78">
        <f t="shared" si="53"/>
        <v>69</v>
      </c>
    </row>
    <row r="79" spans="2:75" x14ac:dyDescent="0.3">
      <c r="B79" s="171">
        <f t="shared" si="52"/>
        <v>43979</v>
      </c>
      <c r="C79" s="61"/>
      <c r="D79" s="17">
        <v>22658</v>
      </c>
      <c r="E79" s="16"/>
      <c r="F79" s="16"/>
      <c r="G79" s="16"/>
      <c r="H79" s="16">
        <f t="shared" si="36"/>
        <v>1789517</v>
      </c>
      <c r="I79" s="16"/>
      <c r="J79" s="38">
        <f t="shared" si="37"/>
        <v>1.2823886908915765E-2</v>
      </c>
      <c r="K79" s="16"/>
      <c r="L79" s="16"/>
      <c r="M79" s="16"/>
      <c r="N79" s="16"/>
      <c r="O79" s="16">
        <f t="shared" si="43"/>
        <v>25564.528571428571</v>
      </c>
      <c r="P79" s="41"/>
      <c r="Q79" s="17"/>
      <c r="R79" s="16"/>
      <c r="S79" s="60"/>
      <c r="T79" s="16"/>
      <c r="U79" s="41"/>
      <c r="V79" s="10"/>
      <c r="W79" s="34">
        <v>1223</v>
      </c>
      <c r="X79" s="33"/>
      <c r="Y79" s="33"/>
      <c r="Z79" s="33"/>
      <c r="AA79" s="33">
        <f t="shared" si="38"/>
        <v>106083</v>
      </c>
      <c r="AB79" s="33"/>
      <c r="AC79" s="46">
        <f t="shared" si="44"/>
        <v>5.9280241540035666E-2</v>
      </c>
      <c r="AD79" s="33"/>
      <c r="AE79" s="33">
        <f t="shared" si="45"/>
        <v>1515.4714285714285</v>
      </c>
      <c r="AF79" s="50"/>
      <c r="AG79" s="33"/>
      <c r="AH79" s="33">
        <f t="shared" si="35"/>
        <v>1223</v>
      </c>
      <c r="AI79" s="231"/>
      <c r="AJ79" s="50"/>
      <c r="AK79" s="10"/>
      <c r="AL79" s="23">
        <f t="shared" si="39"/>
        <v>8595</v>
      </c>
      <c r="AM79" s="24"/>
      <c r="AN79" s="24"/>
      <c r="AO79" s="24">
        <v>178263</v>
      </c>
      <c r="AP79" s="24">
        <v>498725</v>
      </c>
      <c r="AQ79" s="24"/>
      <c r="AR79" s="25">
        <f t="shared" si="40"/>
        <v>1.7536163874890334E-2</v>
      </c>
      <c r="AS79" s="25"/>
      <c r="AT79" s="25"/>
      <c r="AU79" s="24"/>
      <c r="AV79" s="341">
        <f t="shared" si="46"/>
        <v>0.2786925187075619</v>
      </c>
      <c r="AW79" s="341"/>
      <c r="AX79" s="24">
        <f t="shared" si="47"/>
        <v>7124.6428571428569</v>
      </c>
      <c r="AY79" s="351"/>
      <c r="AZ79" s="10"/>
      <c r="BA79" s="66">
        <f t="shared" si="41"/>
        <v>455839</v>
      </c>
      <c r="BB79" s="67"/>
      <c r="BC79" s="67">
        <v>16331312</v>
      </c>
      <c r="BD79" s="67"/>
      <c r="BE79" s="67">
        <f t="shared" si="48"/>
        <v>22658</v>
      </c>
      <c r="BF79" s="67"/>
      <c r="BG79" s="156">
        <f t="shared" si="42"/>
        <v>4.9706146249004581E-2</v>
      </c>
      <c r="BH79" s="67"/>
      <c r="BI79" s="183"/>
      <c r="BJ79" s="67"/>
      <c r="BK79" s="67"/>
      <c r="BL79" s="67"/>
      <c r="BM79" s="156"/>
      <c r="BN79" s="66">
        <f t="shared" si="49"/>
        <v>233304.45714285714</v>
      </c>
      <c r="BO79" s="67"/>
      <c r="BP79" s="67">
        <f t="shared" si="50"/>
        <v>1516139</v>
      </c>
      <c r="BQ79" s="67"/>
      <c r="BR79" s="74">
        <f t="shared" si="51"/>
        <v>9.2836325703654424E-2</v>
      </c>
      <c r="BS79" s="67"/>
      <c r="BT79" s="86"/>
      <c r="BU79" s="183"/>
      <c r="BV79" s="1"/>
      <c r="BW79">
        <f t="shared" si="53"/>
        <v>70</v>
      </c>
    </row>
    <row r="80" spans="2:75" x14ac:dyDescent="0.3">
      <c r="B80" s="171">
        <f t="shared" si="52"/>
        <v>43980</v>
      </c>
      <c r="C80" s="61"/>
      <c r="D80" s="17">
        <v>25069</v>
      </c>
      <c r="E80" s="16"/>
      <c r="F80" s="16"/>
      <c r="G80" s="16"/>
      <c r="H80" s="16">
        <f t="shared" si="36"/>
        <v>1814586</v>
      </c>
      <c r="I80" s="16"/>
      <c r="J80" s="38">
        <f t="shared" si="37"/>
        <v>1.4008807963266066E-2</v>
      </c>
      <c r="K80" s="16"/>
      <c r="L80" s="16"/>
      <c r="M80" s="16"/>
      <c r="N80" s="16"/>
      <c r="O80" s="16">
        <f t="shared" si="43"/>
        <v>25557.549295774646</v>
      </c>
      <c r="P80" s="41"/>
      <c r="Q80" s="17"/>
      <c r="R80" s="16"/>
      <c r="S80" s="60"/>
      <c r="T80" s="16"/>
      <c r="U80" s="41"/>
      <c r="V80" s="10"/>
      <c r="W80" s="34">
        <v>1212</v>
      </c>
      <c r="X80" s="33"/>
      <c r="Y80" s="33"/>
      <c r="Z80" s="33"/>
      <c r="AA80" s="33">
        <f t="shared" si="38"/>
        <v>107295</v>
      </c>
      <c r="AB80" s="33"/>
      <c r="AC80" s="46">
        <f t="shared" si="44"/>
        <v>5.912918979866482E-2</v>
      </c>
      <c r="AD80" s="33"/>
      <c r="AE80" s="33">
        <f t="shared" si="45"/>
        <v>1511.1971830985915</v>
      </c>
      <c r="AF80" s="50"/>
      <c r="AG80" s="33"/>
      <c r="AH80" s="33">
        <f t="shared" si="35"/>
        <v>1212</v>
      </c>
      <c r="AI80" s="231"/>
      <c r="AJ80" s="50"/>
      <c r="AK80" s="10"/>
      <c r="AL80" s="23">
        <f t="shared" si="39"/>
        <v>20844</v>
      </c>
      <c r="AM80" s="24"/>
      <c r="AN80" s="24"/>
      <c r="AO80" s="24">
        <v>178263</v>
      </c>
      <c r="AP80" s="24">
        <v>519569</v>
      </c>
      <c r="AQ80" s="24"/>
      <c r="AR80" s="25">
        <f t="shared" si="40"/>
        <v>4.1794576169231538E-2</v>
      </c>
      <c r="AS80" s="25"/>
      <c r="AT80" s="25"/>
      <c r="AU80" s="24"/>
      <c r="AV80" s="341">
        <f t="shared" si="46"/>
        <v>0.28632922330493016</v>
      </c>
      <c r="AW80" s="341"/>
      <c r="AX80" s="24">
        <f t="shared" si="47"/>
        <v>7317.8732394366198</v>
      </c>
      <c r="AY80" s="351"/>
      <c r="AZ80" s="10"/>
      <c r="BA80" s="66">
        <f t="shared" si="41"/>
        <v>479466</v>
      </c>
      <c r="BB80" s="67"/>
      <c r="BC80" s="67">
        <v>16810778</v>
      </c>
      <c r="BD80" s="67"/>
      <c r="BE80" s="67">
        <f t="shared" si="48"/>
        <v>25069</v>
      </c>
      <c r="BF80" s="67"/>
      <c r="BG80" s="156">
        <f t="shared" si="42"/>
        <v>5.2285250674708947E-2</v>
      </c>
      <c r="BH80" s="67"/>
      <c r="BI80" s="183"/>
      <c r="BJ80" s="67"/>
      <c r="BK80" s="67"/>
      <c r="BL80" s="67"/>
      <c r="BM80" s="156"/>
      <c r="BN80" s="66">
        <f t="shared" si="49"/>
        <v>236771.52112676058</v>
      </c>
      <c r="BO80" s="67"/>
      <c r="BP80" s="67">
        <f t="shared" si="50"/>
        <v>1541208</v>
      </c>
      <c r="BQ80" s="67"/>
      <c r="BR80" s="74">
        <f t="shared" si="51"/>
        <v>9.1679754500356855E-2</v>
      </c>
      <c r="BS80" s="67"/>
      <c r="BT80" s="86"/>
      <c r="BU80" s="183"/>
      <c r="BV80" s="1"/>
      <c r="BW80">
        <f t="shared" si="53"/>
        <v>71</v>
      </c>
    </row>
    <row r="81" spans="2:75" x14ac:dyDescent="0.3">
      <c r="B81" s="475">
        <f t="shared" si="52"/>
        <v>43981</v>
      </c>
      <c r="C81" s="61"/>
      <c r="D81" s="17">
        <v>23290</v>
      </c>
      <c r="E81" s="16"/>
      <c r="F81" s="16"/>
      <c r="G81" s="16"/>
      <c r="H81" s="16">
        <f t="shared" si="36"/>
        <v>1837876</v>
      </c>
      <c r="I81" s="16"/>
      <c r="J81" s="38">
        <f t="shared" si="37"/>
        <v>1.2834883549195243E-2</v>
      </c>
      <c r="K81" s="16"/>
      <c r="L81" s="16"/>
      <c r="M81" s="16"/>
      <c r="N81" s="16"/>
      <c r="O81" s="16">
        <f t="shared" si="43"/>
        <v>25526.055555555555</v>
      </c>
      <c r="P81" s="41"/>
      <c r="Q81" s="17"/>
      <c r="R81" s="16"/>
      <c r="S81" s="60"/>
      <c r="T81" s="16"/>
      <c r="U81" s="41"/>
      <c r="V81" s="477"/>
      <c r="W81" s="34">
        <v>1015</v>
      </c>
      <c r="X81" s="33"/>
      <c r="Y81" s="33"/>
      <c r="Z81" s="33"/>
      <c r="AA81" s="33">
        <f t="shared" si="38"/>
        <v>108310</v>
      </c>
      <c r="AB81" s="33"/>
      <c r="AC81" s="46">
        <f t="shared" si="44"/>
        <v>5.8932158643999921E-2</v>
      </c>
      <c r="AD81" s="33"/>
      <c r="AE81" s="33">
        <f t="shared" si="45"/>
        <v>1504.3055555555557</v>
      </c>
      <c r="AF81" s="50"/>
      <c r="AG81" s="33"/>
      <c r="AH81" s="33">
        <f t="shared" si="35"/>
        <v>1015</v>
      </c>
      <c r="AI81" s="231"/>
      <c r="AJ81" s="50"/>
      <c r="AK81" s="10"/>
      <c r="AL81" s="23">
        <f t="shared" si="39"/>
        <v>15669</v>
      </c>
      <c r="AM81" s="24"/>
      <c r="AN81" s="24"/>
      <c r="AO81" s="24">
        <v>178263</v>
      </c>
      <c r="AP81" s="24">
        <v>535238</v>
      </c>
      <c r="AQ81" s="24"/>
      <c r="AR81" s="25">
        <f t="shared" si="40"/>
        <v>3.0157688391724679E-2</v>
      </c>
      <c r="AS81" s="25"/>
      <c r="AT81" s="25"/>
      <c r="AU81" s="24"/>
      <c r="AV81" s="341">
        <f t="shared" si="46"/>
        <v>0.2912263939460551</v>
      </c>
      <c r="AW81" s="341"/>
      <c r="AX81" s="24">
        <f t="shared" si="47"/>
        <v>7433.8611111111113</v>
      </c>
      <c r="AY81" s="351"/>
      <c r="AZ81" s="503"/>
      <c r="BA81" s="66">
        <f t="shared" si="41"/>
        <v>460063</v>
      </c>
      <c r="BB81" s="67"/>
      <c r="BC81" s="67">
        <v>17270841</v>
      </c>
      <c r="BD81" s="67"/>
      <c r="BE81" s="67">
        <f t="shared" si="48"/>
        <v>23290</v>
      </c>
      <c r="BF81" s="67"/>
      <c r="BG81" s="156">
        <f t="shared" si="42"/>
        <v>5.0623501563916248E-2</v>
      </c>
      <c r="BH81" s="67"/>
      <c r="BI81" s="183"/>
      <c r="BJ81" s="67"/>
      <c r="BK81" s="67"/>
      <c r="BL81" s="67"/>
      <c r="BM81" s="156"/>
      <c r="BN81" s="66">
        <f t="shared" si="49"/>
        <v>239872.79166666666</v>
      </c>
      <c r="BO81" s="67"/>
      <c r="BP81" s="67">
        <f t="shared" si="50"/>
        <v>1564498</v>
      </c>
      <c r="BQ81" s="67"/>
      <c r="BR81" s="74">
        <f t="shared" si="51"/>
        <v>9.0586092478067509E-2</v>
      </c>
      <c r="BS81" s="67"/>
      <c r="BT81" s="86"/>
      <c r="BU81" s="183"/>
      <c r="BV81" s="1"/>
      <c r="BW81">
        <f t="shared" si="53"/>
        <v>72</v>
      </c>
    </row>
    <row r="82" spans="2:75" x14ac:dyDescent="0.3">
      <c r="B82" s="390">
        <f t="shared" si="52"/>
        <v>43982</v>
      </c>
      <c r="C82" s="61"/>
      <c r="D82" s="17">
        <v>20350</v>
      </c>
      <c r="E82" s="16"/>
      <c r="F82" s="16"/>
      <c r="G82" s="16"/>
      <c r="H82" s="16">
        <f t="shared" si="36"/>
        <v>1858226</v>
      </c>
      <c r="I82" s="16"/>
      <c r="J82" s="38">
        <f t="shared" si="37"/>
        <v>1.1072564199108102E-2</v>
      </c>
      <c r="K82" s="16"/>
      <c r="L82" s="16"/>
      <c r="M82" s="16"/>
      <c r="N82" s="16"/>
      <c r="O82" s="16">
        <f t="shared" si="43"/>
        <v>25455.150684931508</v>
      </c>
      <c r="P82" s="41"/>
      <c r="Q82" s="17">
        <f>SUM(D76:D82)</f>
        <v>150734</v>
      </c>
      <c r="R82" s="16"/>
      <c r="S82" s="60">
        <f>+(Q82-Q75)/Q75</f>
        <v>-5.0626054971909404E-2</v>
      </c>
      <c r="T82" s="16"/>
      <c r="U82" s="41"/>
      <c r="V82" s="391"/>
      <c r="W82" s="34">
        <v>638</v>
      </c>
      <c r="X82" s="33"/>
      <c r="Y82" s="33"/>
      <c r="Z82" s="33"/>
      <c r="AA82" s="33">
        <f t="shared" si="38"/>
        <v>108948</v>
      </c>
      <c r="AB82" s="33"/>
      <c r="AC82" s="46">
        <f t="shared" si="44"/>
        <v>5.8630112806515464E-2</v>
      </c>
      <c r="AD82" s="33"/>
      <c r="AE82" s="33">
        <f t="shared" si="45"/>
        <v>1492.4383561643835</v>
      </c>
      <c r="AF82" s="50"/>
      <c r="AG82" s="33">
        <f>SUM(W76:W82)</f>
        <v>6895</v>
      </c>
      <c r="AH82" s="33">
        <f t="shared" si="35"/>
        <v>638</v>
      </c>
      <c r="AI82" s="231">
        <f>+(AG82-AG75)/AG75</f>
        <v>-0.17147320355683729</v>
      </c>
      <c r="AJ82" s="50"/>
      <c r="AK82" s="391"/>
      <c r="AL82" s="23">
        <f t="shared" si="39"/>
        <v>64629</v>
      </c>
      <c r="AM82" s="24"/>
      <c r="AN82" s="24"/>
      <c r="AO82" s="24">
        <v>178263</v>
      </c>
      <c r="AP82" s="24">
        <v>599867</v>
      </c>
      <c r="AQ82" s="24"/>
      <c r="AR82" s="25">
        <f t="shared" si="40"/>
        <v>0.12074815315803437</v>
      </c>
      <c r="AS82" s="25"/>
      <c r="AT82" s="25"/>
      <c r="AU82" s="24"/>
      <c r="AV82" s="341">
        <f t="shared" si="46"/>
        <v>0.32281703086707431</v>
      </c>
      <c r="AW82" s="341"/>
      <c r="AX82" s="24">
        <f t="shared" si="47"/>
        <v>8217.3561643835619</v>
      </c>
      <c r="AY82" s="351"/>
      <c r="AZ82" s="391"/>
      <c r="BA82" s="66">
        <f t="shared" si="41"/>
        <v>401726</v>
      </c>
      <c r="BB82" s="67"/>
      <c r="BC82" s="67">
        <v>17672567</v>
      </c>
      <c r="BD82" s="67"/>
      <c r="BE82" s="67">
        <f t="shared" si="48"/>
        <v>20350</v>
      </c>
      <c r="BF82" s="67"/>
      <c r="BG82" s="156">
        <f t="shared" si="42"/>
        <v>5.0656417558236209E-2</v>
      </c>
      <c r="BH82" s="67"/>
      <c r="BI82" s="183"/>
      <c r="BJ82" s="67"/>
      <c r="BK82" s="67">
        <f>SUM(BA76:BA82)</f>
        <v>2922811</v>
      </c>
      <c r="BL82" s="67"/>
      <c r="BM82" s="156">
        <f>+Q82/BK82</f>
        <v>5.1571586394056956E-2</v>
      </c>
      <c r="BN82" s="66">
        <f t="shared" si="49"/>
        <v>242089.95890410958</v>
      </c>
      <c r="BO82" s="67"/>
      <c r="BP82" s="67">
        <f t="shared" si="50"/>
        <v>1584848</v>
      </c>
      <c r="BQ82" s="67"/>
      <c r="BR82" s="74">
        <f t="shared" si="51"/>
        <v>8.9678426456100011E-2</v>
      </c>
      <c r="BS82" s="67"/>
      <c r="BT82" s="86"/>
      <c r="BU82" s="183"/>
      <c r="BV82" s="1"/>
      <c r="BW82">
        <f t="shared" si="53"/>
        <v>73</v>
      </c>
    </row>
    <row r="83" spans="2:75" x14ac:dyDescent="0.3">
      <c r="B83" s="171">
        <f t="shared" si="52"/>
        <v>43983</v>
      </c>
      <c r="C83" s="61"/>
      <c r="D83" s="17">
        <v>22153</v>
      </c>
      <c r="E83" s="16"/>
      <c r="F83" s="16"/>
      <c r="G83" s="16"/>
      <c r="H83" s="16">
        <f t="shared" si="36"/>
        <v>1880379</v>
      </c>
      <c r="I83" s="16"/>
      <c r="J83" s="38">
        <f t="shared" si="37"/>
        <v>1.1921585426099947E-2</v>
      </c>
      <c r="K83" s="16"/>
      <c r="L83" s="16"/>
      <c r="M83" s="16"/>
      <c r="N83" s="16"/>
      <c r="O83" s="16">
        <f t="shared" si="43"/>
        <v>25410.527027027027</v>
      </c>
      <c r="P83" s="41"/>
      <c r="Q83" s="17"/>
      <c r="R83" s="16"/>
      <c r="S83" s="60"/>
      <c r="T83" s="16"/>
      <c r="U83" s="41"/>
      <c r="V83" s="10"/>
      <c r="W83" s="34">
        <v>730</v>
      </c>
      <c r="X83" s="33"/>
      <c r="Y83" s="33"/>
      <c r="Z83" s="33"/>
      <c r="AA83" s="33">
        <f t="shared" si="38"/>
        <v>109678</v>
      </c>
      <c r="AB83" s="33"/>
      <c r="AC83" s="46">
        <f t="shared" si="44"/>
        <v>5.8327603105544149E-2</v>
      </c>
      <c r="AD83" s="33"/>
      <c r="AE83" s="33">
        <f t="shared" si="45"/>
        <v>1482.1351351351352</v>
      </c>
      <c r="AF83" s="50"/>
      <c r="AG83" s="33">
        <f>SUM(D52:D82)</f>
        <v>742147</v>
      </c>
      <c r="AH83" s="33"/>
      <c r="AI83" s="231"/>
      <c r="AJ83" s="50"/>
      <c r="AK83" s="10"/>
      <c r="AL83" s="23">
        <f t="shared" si="39"/>
        <v>15461</v>
      </c>
      <c r="AM83" s="24"/>
      <c r="AN83" s="24"/>
      <c r="AO83" s="24">
        <v>178263</v>
      </c>
      <c r="AP83" s="24">
        <v>615328</v>
      </c>
      <c r="AQ83" s="24"/>
      <c r="AR83" s="25">
        <f t="shared" si="40"/>
        <v>2.5774046580325307E-2</v>
      </c>
      <c r="AS83" s="25"/>
      <c r="AT83" s="25"/>
      <c r="AU83" s="24"/>
      <c r="AV83" s="341">
        <f t="shared" si="46"/>
        <v>0.32723615824256708</v>
      </c>
      <c r="AW83" s="341"/>
      <c r="AX83" s="24">
        <f t="shared" si="47"/>
        <v>8315.2432432432433</v>
      </c>
      <c r="AY83" s="351"/>
      <c r="AZ83" s="10"/>
      <c r="BA83" s="66">
        <f t="shared" si="41"/>
        <v>477486</v>
      </c>
      <c r="BB83" s="67"/>
      <c r="BC83" s="67">
        <v>18150053</v>
      </c>
      <c r="BD83" s="67"/>
      <c r="BE83" s="67">
        <f t="shared" si="48"/>
        <v>22153</v>
      </c>
      <c r="BF83" s="67"/>
      <c r="BG83" s="156">
        <f t="shared" si="42"/>
        <v>4.6395077552011998E-2</v>
      </c>
      <c r="BH83" s="67"/>
      <c r="BI83" s="183"/>
      <c r="BJ83" s="67"/>
      <c r="BK83" s="67">
        <f>SUM(BA76:BA83)</f>
        <v>3400297</v>
      </c>
      <c r="BL83" s="67"/>
      <c r="BM83" s="156"/>
      <c r="BN83" s="66">
        <f t="shared" si="49"/>
        <v>245270.98648648648</v>
      </c>
      <c r="BO83" s="67"/>
      <c r="BP83" s="67">
        <f t="shared" si="50"/>
        <v>1607001</v>
      </c>
      <c r="BQ83" s="67"/>
      <c r="BR83" s="74">
        <f t="shared" si="51"/>
        <v>8.8539741454198503E-2</v>
      </c>
      <c r="BS83" s="67"/>
      <c r="BT83" s="86"/>
      <c r="BU83" s="183"/>
      <c r="BV83" s="1"/>
      <c r="BW83">
        <f t="shared" si="53"/>
        <v>74</v>
      </c>
    </row>
    <row r="84" spans="2:75" x14ac:dyDescent="0.3">
      <c r="B84" s="171">
        <f t="shared" si="52"/>
        <v>43984</v>
      </c>
      <c r="C84" s="61"/>
      <c r="D84" s="17">
        <v>21882</v>
      </c>
      <c r="E84" s="16"/>
      <c r="F84" s="16"/>
      <c r="G84" s="16"/>
      <c r="H84" s="16">
        <f t="shared" si="36"/>
        <v>1902261</v>
      </c>
      <c r="I84" s="16"/>
      <c r="J84" s="38">
        <f t="shared" si="37"/>
        <v>1.1637015729275854E-2</v>
      </c>
      <c r="K84" s="16"/>
      <c r="L84" s="16"/>
      <c r="M84" s="16"/>
      <c r="N84" s="16"/>
      <c r="O84" s="16">
        <f t="shared" si="43"/>
        <v>25363.48</v>
      </c>
      <c r="P84" s="41"/>
      <c r="Q84" s="17"/>
      <c r="R84" s="16"/>
      <c r="S84" s="60"/>
      <c r="T84" s="16"/>
      <c r="U84" s="41"/>
      <c r="V84" s="10"/>
      <c r="W84" s="34">
        <v>1134</v>
      </c>
      <c r="X84" s="33"/>
      <c r="Y84" s="33"/>
      <c r="Z84" s="33"/>
      <c r="AA84" s="33">
        <f t="shared" si="38"/>
        <v>110812</v>
      </c>
      <c r="AB84" s="33"/>
      <c r="AC84" s="46">
        <f t="shared" si="44"/>
        <v>5.8252784449662795E-2</v>
      </c>
      <c r="AD84" s="33"/>
      <c r="AE84" s="33">
        <f t="shared" si="45"/>
        <v>1477.4933333333333</v>
      </c>
      <c r="AF84" s="50"/>
      <c r="AG84" s="33">
        <f>SUM(AH52:AH82)</f>
        <v>42339</v>
      </c>
      <c r="AH84" s="33"/>
      <c r="AI84" s="231"/>
      <c r="AJ84" s="50"/>
      <c r="AK84" s="10"/>
      <c r="AL84" s="23">
        <f t="shared" si="39"/>
        <v>30348</v>
      </c>
      <c r="AM84" s="24"/>
      <c r="AN84" s="24"/>
      <c r="AO84" s="24">
        <v>178263</v>
      </c>
      <c r="AP84" s="24">
        <v>645676</v>
      </c>
      <c r="AQ84" s="24"/>
      <c r="AR84" s="25">
        <f t="shared" si="40"/>
        <v>4.9320037443444799E-2</v>
      </c>
      <c r="AS84" s="25"/>
      <c r="AT84" s="25"/>
      <c r="AU84" s="24"/>
      <c r="AV84" s="341">
        <f t="shared" si="46"/>
        <v>0.33942555727105794</v>
      </c>
      <c r="AW84" s="341"/>
      <c r="AX84" s="24">
        <f t="shared" si="47"/>
        <v>8609.0133333333342</v>
      </c>
      <c r="AY84" s="351"/>
      <c r="AZ84" s="10"/>
      <c r="BA84" s="66">
        <f t="shared" si="41"/>
        <v>453121</v>
      </c>
      <c r="BB84" s="67"/>
      <c r="BC84" s="67">
        <v>18603174</v>
      </c>
      <c r="BD84" s="67"/>
      <c r="BE84" s="67">
        <f t="shared" si="48"/>
        <v>21882</v>
      </c>
      <c r="BF84" s="67"/>
      <c r="BG84" s="156">
        <f t="shared" si="42"/>
        <v>4.8291736644295896E-2</v>
      </c>
      <c r="BH84" s="67"/>
      <c r="BI84" s="183"/>
      <c r="BJ84" s="67"/>
      <c r="BK84" s="67">
        <f>+BK82+BK75+BK68+BK61</f>
        <v>10475827</v>
      </c>
      <c r="BL84" s="67"/>
      <c r="BM84" s="156"/>
      <c r="BN84" s="66">
        <f t="shared" si="49"/>
        <v>248042.32</v>
      </c>
      <c r="BO84" s="67"/>
      <c r="BP84" s="67">
        <f t="shared" si="50"/>
        <v>1628883</v>
      </c>
      <c r="BQ84" s="67"/>
      <c r="BR84" s="74">
        <f t="shared" si="51"/>
        <v>8.7559413248513393E-2</v>
      </c>
      <c r="BS84" s="67"/>
      <c r="BT84" s="86"/>
      <c r="BU84" s="183"/>
      <c r="BV84" s="1"/>
      <c r="BW84">
        <f t="shared" si="53"/>
        <v>75</v>
      </c>
    </row>
    <row r="85" spans="2:75" x14ac:dyDescent="0.3">
      <c r="B85" s="171">
        <f t="shared" si="52"/>
        <v>43985</v>
      </c>
      <c r="C85" s="61"/>
      <c r="D85" s="17">
        <v>20578</v>
      </c>
      <c r="E85" s="16"/>
      <c r="F85" s="16"/>
      <c r="G85" s="16"/>
      <c r="H85" s="16">
        <f t="shared" si="36"/>
        <v>1922839</v>
      </c>
      <c r="I85" s="16"/>
      <c r="J85" s="38">
        <f t="shared" si="37"/>
        <v>1.0817653308352534E-2</v>
      </c>
      <c r="K85" s="16"/>
      <c r="L85" s="16"/>
      <c r="M85" s="16"/>
      <c r="N85" s="16"/>
      <c r="O85" s="16">
        <f t="shared" si="43"/>
        <v>25300.513157894737</v>
      </c>
      <c r="P85" s="41"/>
      <c r="Q85" s="17"/>
      <c r="R85" s="16"/>
      <c r="S85" s="60"/>
      <c r="T85" s="16"/>
      <c r="U85" s="41"/>
      <c r="V85" s="10"/>
      <c r="W85" s="34">
        <v>1083</v>
      </c>
      <c r="X85" s="33"/>
      <c r="Y85" s="33"/>
      <c r="Z85" s="33"/>
      <c r="AA85" s="33">
        <f t="shared" si="38"/>
        <v>111895</v>
      </c>
      <c r="AB85" s="33"/>
      <c r="AC85" s="46">
        <f t="shared" si="44"/>
        <v>5.819259958842108E-2</v>
      </c>
      <c r="AD85" s="33"/>
      <c r="AE85" s="33">
        <f t="shared" si="45"/>
        <v>1472.3026315789473</v>
      </c>
      <c r="AF85" s="50"/>
      <c r="AG85" s="231">
        <f>+AG84/AG83</f>
        <v>5.7049344671608188E-2</v>
      </c>
      <c r="AH85" s="33"/>
      <c r="AI85" s="231"/>
      <c r="AJ85" s="50"/>
      <c r="AK85" s="10"/>
      <c r="AL85" s="23">
        <f t="shared" si="39"/>
        <v>42994</v>
      </c>
      <c r="AM85" s="24"/>
      <c r="AN85" s="24"/>
      <c r="AO85" s="24">
        <v>178263</v>
      </c>
      <c r="AP85" s="24">
        <v>688670</v>
      </c>
      <c r="AQ85" s="24"/>
      <c r="AR85" s="25">
        <f t="shared" si="40"/>
        <v>6.6587576431522938E-2</v>
      </c>
      <c r="AS85" s="25"/>
      <c r="AT85" s="25"/>
      <c r="AU85" s="24"/>
      <c r="AV85" s="341">
        <f t="shared" si="46"/>
        <v>0.35815271065336202</v>
      </c>
      <c r="AW85" s="341"/>
      <c r="AX85" s="24">
        <f t="shared" si="47"/>
        <v>9061.4473684210534</v>
      </c>
      <c r="AY85" s="351"/>
      <c r="AZ85" s="10"/>
      <c r="BA85" s="66">
        <f t="shared" si="41"/>
        <v>493497</v>
      </c>
      <c r="BB85" s="67"/>
      <c r="BC85" s="67">
        <v>19096671</v>
      </c>
      <c r="BD85" s="67"/>
      <c r="BE85" s="67">
        <f t="shared" si="48"/>
        <v>20578</v>
      </c>
      <c r="BF85" s="67"/>
      <c r="BG85" s="156">
        <f t="shared" si="42"/>
        <v>4.1698328459950113E-2</v>
      </c>
      <c r="BH85" s="67"/>
      <c r="BI85" s="183"/>
      <c r="BJ85" s="67"/>
      <c r="BK85" s="67">
        <f>+BK84/4</f>
        <v>2618956.75</v>
      </c>
      <c r="BL85" s="67"/>
      <c r="BM85" s="156"/>
      <c r="BN85" s="66">
        <f t="shared" si="49"/>
        <v>251271.98684210525</v>
      </c>
      <c r="BO85" s="67"/>
      <c r="BP85" s="67">
        <f t="shared" si="50"/>
        <v>1649461</v>
      </c>
      <c r="BQ85" s="67"/>
      <c r="BR85" s="74">
        <f t="shared" si="51"/>
        <v>8.6374269106903503E-2</v>
      </c>
      <c r="BS85" s="67"/>
      <c r="BT85" s="86"/>
      <c r="BU85" s="183"/>
      <c r="BV85" s="1"/>
      <c r="BW85">
        <f t="shared" si="53"/>
        <v>76</v>
      </c>
    </row>
    <row r="86" spans="2:75" x14ac:dyDescent="0.3">
      <c r="B86" s="171">
        <f t="shared" si="52"/>
        <v>43986</v>
      </c>
      <c r="C86" s="61"/>
      <c r="D86" s="17">
        <v>22268</v>
      </c>
      <c r="E86" s="16"/>
      <c r="F86" s="16"/>
      <c r="G86" s="16"/>
      <c r="H86" s="16">
        <f t="shared" si="36"/>
        <v>1945107</v>
      </c>
      <c r="I86" s="16"/>
      <c r="J86" s="38">
        <f t="shared" si="37"/>
        <v>1.1580792775682207E-2</v>
      </c>
      <c r="K86" s="16"/>
      <c r="L86" s="16"/>
      <c r="M86" s="16"/>
      <c r="N86" s="16"/>
      <c r="O86" s="16">
        <f t="shared" si="43"/>
        <v>25261.129870129869</v>
      </c>
      <c r="P86" s="41"/>
      <c r="Q86" s="17"/>
      <c r="R86" s="16"/>
      <c r="S86" s="60"/>
      <c r="T86" s="16"/>
      <c r="U86" s="41"/>
      <c r="V86" s="10"/>
      <c r="W86" s="34">
        <v>1031</v>
      </c>
      <c r="X86" s="33"/>
      <c r="Y86" s="33"/>
      <c r="Z86" s="33"/>
      <c r="AA86" s="33">
        <f t="shared" si="38"/>
        <v>112926</v>
      </c>
      <c r="AB86" s="33"/>
      <c r="AC86" s="46">
        <f t="shared" si="44"/>
        <v>5.8056446252057088E-2</v>
      </c>
      <c r="AD86" s="33"/>
      <c r="AE86" s="33">
        <f t="shared" si="45"/>
        <v>1466.5714285714287</v>
      </c>
      <c r="AF86" s="50"/>
      <c r="AG86" s="33"/>
      <c r="AH86" s="33"/>
      <c r="AI86" s="231"/>
      <c r="AJ86" s="50"/>
      <c r="AK86" s="10"/>
      <c r="AL86" s="23">
        <f t="shared" si="39"/>
        <v>23582</v>
      </c>
      <c r="AM86" s="24"/>
      <c r="AN86" s="24"/>
      <c r="AO86" s="24">
        <v>178263</v>
      </c>
      <c r="AP86" s="24">
        <v>712252</v>
      </c>
      <c r="AQ86" s="24"/>
      <c r="AR86" s="25">
        <f t="shared" si="40"/>
        <v>3.4242815862459523E-2</v>
      </c>
      <c r="AS86" s="25"/>
      <c r="AT86" s="25"/>
      <c r="AU86" s="24"/>
      <c r="AV86" s="341">
        <f t="shared" si="46"/>
        <v>0.36617625662752745</v>
      </c>
      <c r="AW86" s="341"/>
      <c r="AX86" s="24">
        <f t="shared" si="47"/>
        <v>9250.0259740259735</v>
      </c>
      <c r="AY86" s="351"/>
      <c r="AZ86" s="10"/>
      <c r="BA86" s="66">
        <f t="shared" si="41"/>
        <v>471398</v>
      </c>
      <c r="BB86" s="67"/>
      <c r="BC86" s="67">
        <v>19568069</v>
      </c>
      <c r="BD86" s="67"/>
      <c r="BE86" s="67">
        <f t="shared" si="48"/>
        <v>22268</v>
      </c>
      <c r="BF86" s="67"/>
      <c r="BG86" s="156">
        <f t="shared" si="42"/>
        <v>4.7238214841810955E-2</v>
      </c>
      <c r="BH86" s="67"/>
      <c r="BI86" s="183"/>
      <c r="BJ86" s="67"/>
      <c r="BK86" s="67"/>
      <c r="BL86" s="67"/>
      <c r="BM86" s="156"/>
      <c r="BN86" s="66">
        <f t="shared" si="49"/>
        <v>254130.76623376625</v>
      </c>
      <c r="BO86" s="67"/>
      <c r="BP86" s="67">
        <f t="shared" si="50"/>
        <v>1671729</v>
      </c>
      <c r="BQ86" s="67"/>
      <c r="BR86" s="74">
        <f t="shared" si="51"/>
        <v>8.5431475124091188E-2</v>
      </c>
      <c r="BS86" s="67"/>
      <c r="BT86" s="86"/>
      <c r="BU86" s="183"/>
      <c r="BV86" s="1"/>
      <c r="BW86">
        <f t="shared" si="53"/>
        <v>77</v>
      </c>
    </row>
    <row r="87" spans="2:75" x14ac:dyDescent="0.3">
      <c r="B87" s="171">
        <f t="shared" si="52"/>
        <v>43987</v>
      </c>
      <c r="C87" s="61"/>
      <c r="D87" s="17">
        <v>25393</v>
      </c>
      <c r="E87" s="16"/>
      <c r="F87" s="16"/>
      <c r="G87" s="16"/>
      <c r="H87" s="16">
        <f t="shared" si="36"/>
        <v>1970500</v>
      </c>
      <c r="I87" s="16"/>
      <c r="J87" s="38">
        <f t="shared" si="37"/>
        <v>1.3054808810003768E-2</v>
      </c>
      <c r="K87" s="16"/>
      <c r="L87" s="16"/>
      <c r="M87" s="16"/>
      <c r="N87" s="16"/>
      <c r="O87" s="16">
        <f t="shared" si="43"/>
        <v>25262.820512820512</v>
      </c>
      <c r="P87" s="41"/>
      <c r="Q87" s="17"/>
      <c r="R87" s="16"/>
      <c r="S87" s="60"/>
      <c r="T87" s="16"/>
      <c r="U87" s="41"/>
      <c r="V87" s="10"/>
      <c r="W87" s="34">
        <v>975</v>
      </c>
      <c r="X87" s="33"/>
      <c r="Y87" s="33"/>
      <c r="Z87" s="33"/>
      <c r="AA87" s="33">
        <f t="shared" si="38"/>
        <v>113901</v>
      </c>
      <c r="AB87" s="33"/>
      <c r="AC87" s="46">
        <f t="shared" si="44"/>
        <v>5.7803095660999747E-2</v>
      </c>
      <c r="AD87" s="33"/>
      <c r="AE87" s="33">
        <f t="shared" si="45"/>
        <v>1460.2692307692307</v>
      </c>
      <c r="AF87" s="50"/>
      <c r="AG87" s="33"/>
      <c r="AH87" s="33"/>
      <c r="AI87" s="231"/>
      <c r="AJ87" s="50"/>
      <c r="AK87" s="10"/>
      <c r="AL87" s="23">
        <f t="shared" si="39"/>
        <v>26394</v>
      </c>
      <c r="AM87" s="24"/>
      <c r="AN87" s="24"/>
      <c r="AO87" s="24">
        <v>178263</v>
      </c>
      <c r="AP87" s="24">
        <v>738646</v>
      </c>
      <c r="AQ87" s="24"/>
      <c r="AR87" s="25">
        <f t="shared" si="40"/>
        <v>3.7057109000746928E-2</v>
      </c>
      <c r="AS87" s="25"/>
      <c r="AT87" s="25"/>
      <c r="AU87" s="24"/>
      <c r="AV87" s="341">
        <f t="shared" si="46"/>
        <v>0.37485206800304494</v>
      </c>
      <c r="AW87" s="341"/>
      <c r="AX87" s="24">
        <f t="shared" si="47"/>
        <v>9469.8205128205136</v>
      </c>
      <c r="AY87" s="351"/>
      <c r="AZ87" s="10"/>
      <c r="BA87" s="66">
        <f t="shared" si="41"/>
        <v>699286</v>
      </c>
      <c r="BB87" s="67"/>
      <c r="BC87" s="67">
        <v>20267355</v>
      </c>
      <c r="BD87" s="67"/>
      <c r="BE87" s="67">
        <f t="shared" si="48"/>
        <v>25393</v>
      </c>
      <c r="BF87" s="67"/>
      <c r="BG87" s="156">
        <f t="shared" si="42"/>
        <v>3.631275329407424E-2</v>
      </c>
      <c r="BH87" s="67"/>
      <c r="BI87" s="183"/>
      <c r="BJ87" s="67"/>
      <c r="BK87" s="67"/>
      <c r="BL87" s="67"/>
      <c r="BM87" s="156"/>
      <c r="BN87" s="66">
        <f t="shared" si="49"/>
        <v>259837.88461538462</v>
      </c>
      <c r="BO87" s="67"/>
      <c r="BP87" s="67">
        <f t="shared" si="50"/>
        <v>1697122</v>
      </c>
      <c r="BQ87" s="67"/>
      <c r="BR87" s="74">
        <f t="shared" si="51"/>
        <v>8.3736728349604578E-2</v>
      </c>
      <c r="BS87" s="67"/>
      <c r="BT87" s="86"/>
      <c r="BU87" s="183"/>
      <c r="BV87" s="1"/>
      <c r="BW87">
        <f t="shared" si="53"/>
        <v>78</v>
      </c>
    </row>
    <row r="88" spans="2:75" x14ac:dyDescent="0.3">
      <c r="B88" s="475">
        <f t="shared" si="52"/>
        <v>43988</v>
      </c>
      <c r="C88" s="61"/>
      <c r="D88" s="17">
        <v>22836</v>
      </c>
      <c r="E88" s="16"/>
      <c r="F88" s="16"/>
      <c r="G88" s="16"/>
      <c r="H88" s="16">
        <f t="shared" si="36"/>
        <v>1993336</v>
      </c>
      <c r="I88" s="16"/>
      <c r="J88" s="38">
        <f t="shared" si="37"/>
        <v>1.158893681806648E-2</v>
      </c>
      <c r="K88" s="16"/>
      <c r="L88" s="16"/>
      <c r="M88" s="16"/>
      <c r="N88" s="16"/>
      <c r="O88" s="16">
        <f t="shared" si="43"/>
        <v>25232.101265822785</v>
      </c>
      <c r="P88" s="41"/>
      <c r="Q88" s="17"/>
      <c r="R88" s="16"/>
      <c r="S88" s="60"/>
      <c r="T88" s="16"/>
      <c r="U88" s="41"/>
      <c r="V88" s="477"/>
      <c r="W88" s="34">
        <v>706</v>
      </c>
      <c r="X88" s="33"/>
      <c r="Y88" s="33"/>
      <c r="Z88" s="33"/>
      <c r="AA88" s="33">
        <f t="shared" si="38"/>
        <v>114607</v>
      </c>
      <c r="AB88" s="33"/>
      <c r="AC88" s="46">
        <f t="shared" si="44"/>
        <v>5.7495073585185838E-2</v>
      </c>
      <c r="AD88" s="33"/>
      <c r="AE88" s="33">
        <f t="shared" si="45"/>
        <v>1450.7215189873418</v>
      </c>
      <c r="AF88" s="50"/>
      <c r="AG88" s="33"/>
      <c r="AH88" s="33"/>
      <c r="AI88" s="231"/>
      <c r="AJ88" s="50"/>
      <c r="AK88" s="10"/>
      <c r="AL88" s="23">
        <f t="shared" si="39"/>
        <v>13049</v>
      </c>
      <c r="AM88" s="24"/>
      <c r="AN88" s="24"/>
      <c r="AO88" s="24">
        <v>178263</v>
      </c>
      <c r="AP88" s="24">
        <v>751695</v>
      </c>
      <c r="AQ88" s="24"/>
      <c r="AR88" s="25">
        <f t="shared" si="40"/>
        <v>1.7666107986775804E-2</v>
      </c>
      <c r="AS88" s="25"/>
      <c r="AT88" s="25"/>
      <c r="AU88" s="24"/>
      <c r="AV88" s="341">
        <f t="shared" si="46"/>
        <v>0.37710401056319659</v>
      </c>
      <c r="AW88" s="341"/>
      <c r="AX88" s="24">
        <f t="shared" si="47"/>
        <v>9515.1265822784808</v>
      </c>
      <c r="AY88" s="351"/>
      <c r="AZ88" s="10"/>
      <c r="BA88" s="66">
        <f t="shared" si="41"/>
        <v>551073</v>
      </c>
      <c r="BB88" s="67"/>
      <c r="BC88" s="67">
        <v>20818428</v>
      </c>
      <c r="BD88" s="67"/>
      <c r="BE88" s="67">
        <f t="shared" si="48"/>
        <v>22836</v>
      </c>
      <c r="BF88" s="67"/>
      <c r="BG88" s="156">
        <f t="shared" si="42"/>
        <v>4.1439155973890938E-2</v>
      </c>
      <c r="BH88" s="67"/>
      <c r="BI88" s="183"/>
      <c r="BJ88" s="67"/>
      <c r="BK88" s="67"/>
      <c r="BL88" s="67"/>
      <c r="BM88" s="156"/>
      <c r="BN88" s="66">
        <f t="shared" si="49"/>
        <v>263524.40506329114</v>
      </c>
      <c r="BO88" s="67"/>
      <c r="BP88" s="67">
        <f t="shared" si="50"/>
        <v>1719958</v>
      </c>
      <c r="BQ88" s="67"/>
      <c r="BR88" s="74">
        <f t="shared" si="51"/>
        <v>8.2617092894814156E-2</v>
      </c>
      <c r="BS88" s="67"/>
      <c r="BT88" s="86"/>
      <c r="BU88" s="183"/>
      <c r="BV88" s="1"/>
      <c r="BW88">
        <f t="shared" si="53"/>
        <v>79</v>
      </c>
    </row>
    <row r="89" spans="2:75" x14ac:dyDescent="0.3">
      <c r="B89" s="390">
        <f t="shared" si="52"/>
        <v>43989</v>
      </c>
      <c r="C89" s="61"/>
      <c r="D89" s="17">
        <v>18375</v>
      </c>
      <c r="E89" s="16"/>
      <c r="F89" s="16"/>
      <c r="G89" s="16"/>
      <c r="H89" s="16">
        <f t="shared" si="36"/>
        <v>2011711</v>
      </c>
      <c r="I89" s="16"/>
      <c r="J89" s="38">
        <f t="shared" si="37"/>
        <v>9.2182150926888393E-3</v>
      </c>
      <c r="K89" s="16"/>
      <c r="L89" s="16"/>
      <c r="M89" s="16"/>
      <c r="N89" s="16"/>
      <c r="O89" s="16">
        <f t="shared" si="43"/>
        <v>25146.387500000001</v>
      </c>
      <c r="P89" s="41"/>
      <c r="Q89" s="17">
        <f>SUM(D83:D89)</f>
        <v>153485</v>
      </c>
      <c r="R89" s="16"/>
      <c r="S89" s="60">
        <f>+(Q89-Q82)/Q82</f>
        <v>1.8250693274244695E-2</v>
      </c>
      <c r="T89" s="16"/>
      <c r="U89" s="41"/>
      <c r="V89" s="391"/>
      <c r="W89" s="34">
        <v>542</v>
      </c>
      <c r="X89" s="33"/>
      <c r="Y89" s="33"/>
      <c r="Z89" s="33"/>
      <c r="AA89" s="33">
        <f t="shared" si="38"/>
        <v>115149</v>
      </c>
      <c r="AB89" s="33"/>
      <c r="AC89" s="46">
        <f t="shared" si="44"/>
        <v>5.7239335073477254E-2</v>
      </c>
      <c r="AD89" s="33"/>
      <c r="AE89" s="33">
        <f t="shared" si="45"/>
        <v>1439.3625</v>
      </c>
      <c r="AF89" s="50"/>
      <c r="AG89" s="33">
        <f>SUM(W83:W89)</f>
        <v>6201</v>
      </c>
      <c r="AH89" s="33"/>
      <c r="AI89" s="231">
        <f>+(AG89-AG82)/AG82</f>
        <v>-0.10065264684554025</v>
      </c>
      <c r="AJ89" s="50"/>
      <c r="AK89" s="391"/>
      <c r="AL89" s="23">
        <f t="shared" si="39"/>
        <v>10013</v>
      </c>
      <c r="AM89" s="24"/>
      <c r="AN89" s="24"/>
      <c r="AO89" s="24">
        <v>178263</v>
      </c>
      <c r="AP89" s="24">
        <v>761708</v>
      </c>
      <c r="AQ89" s="24"/>
      <c r="AR89" s="25">
        <f t="shared" si="40"/>
        <v>1.3320562196103473E-2</v>
      </c>
      <c r="AS89" s="25"/>
      <c r="AT89" s="25"/>
      <c r="AU89" s="24"/>
      <c r="AV89" s="341">
        <f t="shared" si="46"/>
        <v>0.37863689168076331</v>
      </c>
      <c r="AW89" s="341"/>
      <c r="AX89" s="24">
        <f t="shared" si="47"/>
        <v>9521.35</v>
      </c>
      <c r="AY89" s="351"/>
      <c r="AZ89" s="391"/>
      <c r="BA89" s="66">
        <f t="shared" si="41"/>
        <v>473249</v>
      </c>
      <c r="BB89" s="67"/>
      <c r="BC89" s="67">
        <v>21291677</v>
      </c>
      <c r="BD89" s="67"/>
      <c r="BE89" s="67">
        <f t="shared" si="48"/>
        <v>18375</v>
      </c>
      <c r="BF89" s="67"/>
      <c r="BG89" s="156">
        <f t="shared" si="42"/>
        <v>3.8827340364163472E-2</v>
      </c>
      <c r="BH89" s="67"/>
      <c r="BI89" s="183"/>
      <c r="BJ89" s="67"/>
      <c r="BK89" s="67">
        <f>SUM(BA83:BA89)</f>
        <v>3619110</v>
      </c>
      <c r="BL89" s="67"/>
      <c r="BM89" s="156">
        <f>+Q89/BK89</f>
        <v>4.2409597939824982E-2</v>
      </c>
      <c r="BN89" s="66">
        <f t="shared" si="49"/>
        <v>266145.96250000002</v>
      </c>
      <c r="BO89" s="67"/>
      <c r="BP89" s="67">
        <f t="shared" si="50"/>
        <v>1738333</v>
      </c>
      <c r="BQ89" s="67"/>
      <c r="BR89" s="74">
        <f t="shared" si="51"/>
        <v>8.1643780337265118E-2</v>
      </c>
      <c r="BS89" s="67"/>
      <c r="BT89" s="86"/>
      <c r="BU89" s="183"/>
      <c r="BV89" s="1"/>
      <c r="BW89">
        <f t="shared" si="53"/>
        <v>80</v>
      </c>
    </row>
    <row r="90" spans="2:75" x14ac:dyDescent="0.3">
      <c r="B90" s="171">
        <f t="shared" si="52"/>
        <v>43990</v>
      </c>
      <c r="C90" s="61"/>
      <c r="D90" s="17">
        <v>19044</v>
      </c>
      <c r="E90" s="16"/>
      <c r="F90" s="16"/>
      <c r="G90" s="16"/>
      <c r="H90" s="16">
        <f t="shared" si="36"/>
        <v>2030755</v>
      </c>
      <c r="I90" s="16"/>
      <c r="J90" s="38">
        <f t="shared" si="37"/>
        <v>9.4665685081008165E-3</v>
      </c>
      <c r="K90" s="16"/>
      <c r="L90" s="16"/>
      <c r="M90" s="16"/>
      <c r="N90" s="16"/>
      <c r="O90" s="16">
        <f t="shared" si="43"/>
        <v>25071.04938271605</v>
      </c>
      <c r="P90" s="41"/>
      <c r="Q90" s="17"/>
      <c r="R90" s="16"/>
      <c r="S90" s="60"/>
      <c r="T90" s="16"/>
      <c r="U90" s="41"/>
      <c r="V90" s="10"/>
      <c r="W90" s="34">
        <v>586</v>
      </c>
      <c r="X90" s="33"/>
      <c r="Y90" s="33"/>
      <c r="Z90" s="33"/>
      <c r="AA90" s="33">
        <f t="shared" si="38"/>
        <v>115735</v>
      </c>
      <c r="AB90" s="33"/>
      <c r="AC90" s="46">
        <f t="shared" si="44"/>
        <v>5.6991119066554068E-2</v>
      </c>
      <c r="AD90" s="33"/>
      <c r="AE90" s="33">
        <f t="shared" si="45"/>
        <v>1428.8271604938273</v>
      </c>
      <c r="AF90" s="50"/>
      <c r="AG90" s="33"/>
      <c r="AH90" s="33"/>
      <c r="AI90" s="231"/>
      <c r="AJ90" s="50"/>
      <c r="AK90" s="10"/>
      <c r="AL90" s="23">
        <f t="shared" si="39"/>
        <v>11772</v>
      </c>
      <c r="AM90" s="24"/>
      <c r="AN90" s="24"/>
      <c r="AO90" s="24">
        <v>178263</v>
      </c>
      <c r="AP90" s="24">
        <v>773480</v>
      </c>
      <c r="AQ90" s="24"/>
      <c r="AR90" s="25">
        <f t="shared" si="40"/>
        <v>1.545474118691152E-2</v>
      </c>
      <c r="AS90" s="25"/>
      <c r="AT90" s="25"/>
      <c r="AU90" s="24"/>
      <c r="AV90" s="341">
        <f t="shared" si="46"/>
        <v>0.38088297209658478</v>
      </c>
      <c r="AW90" s="341"/>
      <c r="AX90" s="24">
        <f t="shared" si="47"/>
        <v>9549.1358024691363</v>
      </c>
      <c r="AY90" s="351"/>
      <c r="AZ90" s="10"/>
      <c r="BA90" s="66">
        <f t="shared" si="41"/>
        <v>433387</v>
      </c>
      <c r="BB90" s="67"/>
      <c r="BC90" s="67">
        <v>21725064</v>
      </c>
      <c r="BD90" s="67"/>
      <c r="BE90" s="67">
        <f t="shared" si="48"/>
        <v>19044</v>
      </c>
      <c r="BF90" s="67"/>
      <c r="BG90" s="156">
        <f t="shared" si="42"/>
        <v>4.3942250229010098E-2</v>
      </c>
      <c r="BH90" s="67"/>
      <c r="BI90" s="183"/>
      <c r="BJ90" s="67"/>
      <c r="BK90" s="67"/>
      <c r="BL90" s="67"/>
      <c r="BM90" s="156"/>
      <c r="BN90" s="66">
        <f t="shared" si="49"/>
        <v>268210.66666666669</v>
      </c>
      <c r="BO90" s="67"/>
      <c r="BP90" s="67">
        <f t="shared" si="50"/>
        <v>1757377</v>
      </c>
      <c r="BQ90" s="67"/>
      <c r="BR90" s="74">
        <f t="shared" si="51"/>
        <v>8.0891683449125854E-2</v>
      </c>
      <c r="BS90" s="67"/>
      <c r="BT90" s="86"/>
      <c r="BU90" s="183"/>
      <c r="BV90" s="1"/>
      <c r="BW90">
        <f t="shared" si="53"/>
        <v>81</v>
      </c>
    </row>
    <row r="91" spans="2:75" x14ac:dyDescent="0.3">
      <c r="B91" s="171">
        <f t="shared" si="52"/>
        <v>43991</v>
      </c>
      <c r="C91" s="61"/>
      <c r="D91" s="17">
        <v>19056</v>
      </c>
      <c r="E91" s="16"/>
      <c r="F91" s="16"/>
      <c r="G91" s="16"/>
      <c r="H91" s="16">
        <f t="shared" si="36"/>
        <v>2049811</v>
      </c>
      <c r="I91" s="16"/>
      <c r="J91" s="38">
        <f t="shared" si="37"/>
        <v>9.3837021206398599E-3</v>
      </c>
      <c r="K91" s="16"/>
      <c r="L91" s="16"/>
      <c r="M91" s="16"/>
      <c r="N91" s="16"/>
      <c r="O91" s="16">
        <f t="shared" si="43"/>
        <v>24997.695121951219</v>
      </c>
      <c r="P91" s="41"/>
      <c r="Q91" s="17"/>
      <c r="R91" s="16"/>
      <c r="S91" s="60"/>
      <c r="T91" s="16"/>
      <c r="U91" s="41"/>
      <c r="V91" s="10"/>
      <c r="W91" s="34">
        <v>1093</v>
      </c>
      <c r="X91" s="33"/>
      <c r="Y91" s="33"/>
      <c r="Z91" s="33"/>
      <c r="AA91" s="33">
        <f t="shared" si="38"/>
        <v>116828</v>
      </c>
      <c r="AB91" s="33"/>
      <c r="AC91" s="46">
        <f t="shared" si="44"/>
        <v>5.6994522909673134E-2</v>
      </c>
      <c r="AD91" s="33"/>
      <c r="AE91" s="33">
        <f t="shared" si="45"/>
        <v>1424.7317073170732</v>
      </c>
      <c r="AF91" s="50"/>
      <c r="AG91" s="33"/>
      <c r="AH91" s="33"/>
      <c r="AI91" s="231"/>
      <c r="AJ91" s="50"/>
      <c r="AK91" s="10"/>
      <c r="AL91" s="23">
        <f t="shared" si="39"/>
        <v>15382</v>
      </c>
      <c r="AM91" s="24"/>
      <c r="AN91" s="24"/>
      <c r="AO91" s="24">
        <v>178263</v>
      </c>
      <c r="AP91" s="24">
        <v>788862</v>
      </c>
      <c r="AQ91" s="24"/>
      <c r="AR91" s="25">
        <f t="shared" si="40"/>
        <v>1.988674561721053E-2</v>
      </c>
      <c r="AS91" s="25"/>
      <c r="AT91" s="25"/>
      <c r="AU91" s="24"/>
      <c r="AV91" s="341">
        <f t="shared" si="46"/>
        <v>0.38484621265082486</v>
      </c>
      <c r="AW91" s="341"/>
      <c r="AX91" s="24">
        <f t="shared" si="47"/>
        <v>9620.2682926829275</v>
      </c>
      <c r="AY91" s="351"/>
      <c r="AZ91" s="10"/>
      <c r="BA91" s="66">
        <f t="shared" si="41"/>
        <v>415612</v>
      </c>
      <c r="BB91" s="67"/>
      <c r="BC91" s="67">
        <v>22140676</v>
      </c>
      <c r="BD91" s="67"/>
      <c r="BE91" s="67">
        <f t="shared" si="48"/>
        <v>19056</v>
      </c>
      <c r="BF91" s="67"/>
      <c r="BG91" s="156">
        <f t="shared" si="42"/>
        <v>4.5850456675938137E-2</v>
      </c>
      <c r="BH91" s="67"/>
      <c r="BI91" s="183"/>
      <c r="BJ91" s="67"/>
      <c r="BK91" s="67"/>
      <c r="BL91" s="67"/>
      <c r="BM91" s="156"/>
      <c r="BN91" s="66">
        <f t="shared" si="49"/>
        <v>270008.24390243902</v>
      </c>
      <c r="BO91" s="67"/>
      <c r="BP91" s="67">
        <f t="shared" si="50"/>
        <v>1776433</v>
      </c>
      <c r="BQ91" s="67"/>
      <c r="BR91" s="74">
        <f t="shared" si="51"/>
        <v>8.0233909750542398E-2</v>
      </c>
      <c r="BS91" s="67"/>
      <c r="BT91" s="86"/>
      <c r="BU91" s="183"/>
      <c r="BV91" s="1"/>
      <c r="BW91">
        <f t="shared" si="53"/>
        <v>82</v>
      </c>
    </row>
    <row r="92" spans="2:75" x14ac:dyDescent="0.3">
      <c r="B92" s="171">
        <f t="shared" si="52"/>
        <v>43992</v>
      </c>
      <c r="C92" s="61"/>
      <c r="D92" s="17">
        <v>20852</v>
      </c>
      <c r="E92" s="16"/>
      <c r="F92" s="16"/>
      <c r="G92" s="16"/>
      <c r="H92" s="16">
        <f t="shared" si="36"/>
        <v>2070663</v>
      </c>
      <c r="I92" s="16"/>
      <c r="J92" s="38">
        <f t="shared" si="37"/>
        <v>1.0172645185336599E-2</v>
      </c>
      <c r="K92" s="16"/>
      <c r="L92" s="16"/>
      <c r="M92" s="16"/>
      <c r="N92" s="16"/>
      <c r="O92" s="16">
        <f t="shared" si="43"/>
        <v>24947.746987951807</v>
      </c>
      <c r="P92" s="41"/>
      <c r="Q92" s="17"/>
      <c r="R92" s="16"/>
      <c r="S92" s="60"/>
      <c r="T92" s="16"/>
      <c r="U92" s="41"/>
      <c r="V92" s="10"/>
      <c r="W92" s="34">
        <v>982</v>
      </c>
      <c r="X92" s="33"/>
      <c r="Y92" s="33"/>
      <c r="Z92" s="33"/>
      <c r="AA92" s="33">
        <f t="shared" si="38"/>
        <v>117810</v>
      </c>
      <c r="AB92" s="33"/>
      <c r="AC92" s="46">
        <f t="shared" si="44"/>
        <v>5.6894820644402301E-2</v>
      </c>
      <c r="AD92" s="33"/>
      <c r="AE92" s="33">
        <f t="shared" si="45"/>
        <v>1419.3975903614457</v>
      </c>
      <c r="AF92" s="50"/>
      <c r="AG92" s="33"/>
      <c r="AH92" s="33"/>
      <c r="AI92" s="231"/>
      <c r="AJ92" s="50"/>
      <c r="AK92" s="10"/>
      <c r="AL92" s="23">
        <f t="shared" si="39"/>
        <v>19632</v>
      </c>
      <c r="AM92" s="24"/>
      <c r="AN92" s="24"/>
      <c r="AO92" s="24">
        <v>178263</v>
      </c>
      <c r="AP92" s="24">
        <v>808494</v>
      </c>
      <c r="AQ92" s="24"/>
      <c r="AR92" s="25">
        <f t="shared" si="40"/>
        <v>2.4886482046289467E-2</v>
      </c>
      <c r="AS92" s="25"/>
      <c r="AT92" s="25"/>
      <c r="AU92" s="24"/>
      <c r="AV92" s="341">
        <f t="shared" si="46"/>
        <v>0.39045175385854675</v>
      </c>
      <c r="AW92" s="341"/>
      <c r="AX92" s="24">
        <f t="shared" si="47"/>
        <v>9740.8915662650597</v>
      </c>
      <c r="AY92" s="351"/>
      <c r="AZ92" s="10"/>
      <c r="BA92" s="66">
        <f t="shared" si="41"/>
        <v>485082</v>
      </c>
      <c r="BB92" s="67"/>
      <c r="BC92" s="67">
        <v>22625758</v>
      </c>
      <c r="BD92" s="67"/>
      <c r="BE92" s="67">
        <f t="shared" si="48"/>
        <v>20852</v>
      </c>
      <c r="BF92" s="67"/>
      <c r="BG92" s="156">
        <f t="shared" si="42"/>
        <v>4.298654660449161E-2</v>
      </c>
      <c r="BH92" s="67"/>
      <c r="BI92" s="183"/>
      <c r="BJ92" s="67"/>
      <c r="BK92" s="67"/>
      <c r="BL92" s="67"/>
      <c r="BM92" s="156"/>
      <c r="BN92" s="66">
        <f t="shared" si="49"/>
        <v>272599.49397590361</v>
      </c>
      <c r="BO92" s="67"/>
      <c r="BP92" s="67">
        <f t="shared" si="50"/>
        <v>1797285</v>
      </c>
      <c r="BQ92" s="67"/>
      <c r="BR92" s="74">
        <f t="shared" si="51"/>
        <v>7.9435349746072595E-2</v>
      </c>
      <c r="BS92" s="67"/>
      <c r="BT92" s="86"/>
      <c r="BU92" s="183"/>
      <c r="BV92" s="1"/>
      <c r="BW92">
        <f t="shared" si="53"/>
        <v>83</v>
      </c>
    </row>
    <row r="93" spans="2:75" x14ac:dyDescent="0.3">
      <c r="B93" s="171">
        <f t="shared" si="52"/>
        <v>43993</v>
      </c>
      <c r="C93" s="61"/>
      <c r="D93" s="17">
        <v>23300</v>
      </c>
      <c r="E93" s="16"/>
      <c r="F93" s="16"/>
      <c r="G93" s="16"/>
      <c r="H93" s="16">
        <f t="shared" si="36"/>
        <v>2093963</v>
      </c>
      <c r="I93" s="16"/>
      <c r="J93" s="38">
        <f t="shared" si="37"/>
        <v>1.1252434606693605E-2</v>
      </c>
      <c r="K93" s="16"/>
      <c r="L93" s="16"/>
      <c r="M93" s="16"/>
      <c r="N93" s="16"/>
      <c r="O93" s="16">
        <f t="shared" si="43"/>
        <v>24928.130952380954</v>
      </c>
      <c r="P93" s="41"/>
      <c r="Q93" s="17"/>
      <c r="R93" s="16"/>
      <c r="S93" s="60"/>
      <c r="T93" s="16"/>
      <c r="U93" s="41"/>
      <c r="V93" s="10"/>
      <c r="W93" s="34">
        <v>904</v>
      </c>
      <c r="X93" s="33"/>
      <c r="Y93" s="33"/>
      <c r="Z93" s="33"/>
      <c r="AA93" s="33">
        <f t="shared" si="38"/>
        <v>118714</v>
      </c>
      <c r="AB93" s="33"/>
      <c r="AC93" s="46">
        <f t="shared" si="44"/>
        <v>5.669345637912418E-2</v>
      </c>
      <c r="AD93" s="33"/>
      <c r="AE93" s="33">
        <f t="shared" si="45"/>
        <v>1413.2619047619048</v>
      </c>
      <c r="AF93" s="50"/>
      <c r="AG93" s="33"/>
      <c r="AH93" s="33"/>
      <c r="AI93" s="231"/>
      <c r="AJ93" s="50"/>
      <c r="AK93" s="10"/>
      <c r="AL93" s="23">
        <f t="shared" si="39"/>
        <v>5331</v>
      </c>
      <c r="AM93" s="24"/>
      <c r="AN93" s="24"/>
      <c r="AO93" s="24">
        <v>178263</v>
      </c>
      <c r="AP93" s="24">
        <v>813825</v>
      </c>
      <c r="AQ93" s="24"/>
      <c r="AR93" s="25">
        <f t="shared" si="40"/>
        <v>6.5937409554059773E-3</v>
      </c>
      <c r="AS93" s="25"/>
      <c r="AT93" s="25"/>
      <c r="AU93" s="24"/>
      <c r="AV93" s="341">
        <f t="shared" si="46"/>
        <v>0.38865299912176099</v>
      </c>
      <c r="AW93" s="341"/>
      <c r="AX93" s="24">
        <f t="shared" si="47"/>
        <v>9688.3928571428569</v>
      </c>
      <c r="AY93" s="351"/>
      <c r="AZ93" s="10"/>
      <c r="BA93" s="66">
        <f t="shared" si="41"/>
        <v>447712</v>
      </c>
      <c r="BB93" s="67"/>
      <c r="BC93" s="67">
        <v>23073470</v>
      </c>
      <c r="BD93" s="67"/>
      <c r="BE93" s="67">
        <f t="shared" si="48"/>
        <v>23300</v>
      </c>
      <c r="BF93" s="67"/>
      <c r="BG93" s="156">
        <f t="shared" si="42"/>
        <v>5.2042384389964974E-2</v>
      </c>
      <c r="BH93" s="67"/>
      <c r="BI93" s="183"/>
      <c r="BJ93" s="67"/>
      <c r="BK93" s="67"/>
      <c r="BL93" s="67"/>
      <c r="BM93" s="156"/>
      <c r="BN93" s="66">
        <f t="shared" si="49"/>
        <v>274684.16666666669</v>
      </c>
      <c r="BO93" s="67"/>
      <c r="BP93" s="67">
        <f t="shared" si="50"/>
        <v>1820585</v>
      </c>
      <c r="BQ93" s="67"/>
      <c r="BR93" s="74">
        <f t="shared" si="51"/>
        <v>7.8903823308761098E-2</v>
      </c>
      <c r="BS93" s="67"/>
      <c r="BT93" s="86"/>
      <c r="BU93" s="183"/>
      <c r="BV93" s="1"/>
      <c r="BW93">
        <f t="shared" si="53"/>
        <v>84</v>
      </c>
    </row>
    <row r="94" spans="2:75" x14ac:dyDescent="0.3">
      <c r="B94" s="171">
        <f t="shared" si="52"/>
        <v>43994</v>
      </c>
      <c r="C94" s="61"/>
      <c r="D94" s="17">
        <v>27221</v>
      </c>
      <c r="E94" s="16"/>
      <c r="F94" s="16"/>
      <c r="G94" s="16"/>
      <c r="H94" s="16">
        <f t="shared" si="36"/>
        <v>2121184</v>
      </c>
      <c r="I94" s="16"/>
      <c r="J94" s="38">
        <f t="shared" si="37"/>
        <v>1.2999752144617646E-2</v>
      </c>
      <c r="K94" s="16"/>
      <c r="L94" s="16"/>
      <c r="M94" s="16"/>
      <c r="N94" s="16"/>
      <c r="O94" s="16">
        <f t="shared" si="43"/>
        <v>24955.105882352942</v>
      </c>
      <c r="P94" s="41"/>
      <c r="Q94" s="17"/>
      <c r="R94" s="16"/>
      <c r="S94" s="60"/>
      <c r="T94" s="16"/>
      <c r="U94" s="41"/>
      <c r="V94" s="10"/>
      <c r="W94" s="34">
        <v>791</v>
      </c>
      <c r="X94" s="33"/>
      <c r="Y94" s="33"/>
      <c r="Z94" s="33"/>
      <c r="AA94" s="33">
        <f t="shared" si="38"/>
        <v>119505</v>
      </c>
      <c r="AB94" s="33"/>
      <c r="AC94" s="46">
        <f t="shared" si="44"/>
        <v>5.6338818320334307E-2</v>
      </c>
      <c r="AD94" s="33"/>
      <c r="AE94" s="33">
        <f t="shared" si="45"/>
        <v>1405.9411764705883</v>
      </c>
      <c r="AF94" s="50"/>
      <c r="AG94" s="33"/>
      <c r="AH94" s="33"/>
      <c r="AI94" s="231"/>
      <c r="AJ94" s="50"/>
      <c r="AK94" s="10"/>
      <c r="AL94" s="23">
        <f t="shared" si="39"/>
        <v>28109</v>
      </c>
      <c r="AM94" s="24"/>
      <c r="AN94" s="24"/>
      <c r="AO94" s="24">
        <v>178263</v>
      </c>
      <c r="AP94" s="24">
        <v>841934</v>
      </c>
      <c r="AQ94" s="24"/>
      <c r="AR94" s="25">
        <f t="shared" si="40"/>
        <v>3.4539366571437351E-2</v>
      </c>
      <c r="AS94" s="25"/>
      <c r="AT94" s="25"/>
      <c r="AU94" s="24"/>
      <c r="AV94" s="341">
        <f t="shared" si="46"/>
        <v>0.39691700484257847</v>
      </c>
      <c r="AW94" s="341"/>
      <c r="AX94" s="24">
        <f t="shared" si="47"/>
        <v>9905.105882352942</v>
      </c>
      <c r="AY94" s="351"/>
      <c r="AZ94" s="10"/>
      <c r="BA94" s="66">
        <f t="shared" si="41"/>
        <v>718721</v>
      </c>
      <c r="BB94" s="67"/>
      <c r="BC94" s="67">
        <v>23792191</v>
      </c>
      <c r="BD94" s="67"/>
      <c r="BE94" s="67">
        <f t="shared" si="48"/>
        <v>27221</v>
      </c>
      <c r="BF94" s="67"/>
      <c r="BG94" s="156">
        <f t="shared" si="42"/>
        <v>3.7874223794768763E-2</v>
      </c>
      <c r="BH94" s="67"/>
      <c r="BI94" s="183"/>
      <c r="BJ94" s="67"/>
      <c r="BK94" s="67"/>
      <c r="BL94" s="67"/>
      <c r="BM94" s="156"/>
      <c r="BN94" s="66">
        <f t="shared" si="49"/>
        <v>279908.12941176473</v>
      </c>
      <c r="BO94" s="67"/>
      <c r="BP94" s="67">
        <f t="shared" si="50"/>
        <v>1847806</v>
      </c>
      <c r="BQ94" s="67"/>
      <c r="BR94" s="74">
        <f t="shared" si="51"/>
        <v>7.7664389967279604E-2</v>
      </c>
      <c r="BS94" s="67"/>
      <c r="BT94" s="86"/>
      <c r="BU94" s="183"/>
      <c r="BV94" s="1"/>
      <c r="BW94">
        <f t="shared" si="53"/>
        <v>85</v>
      </c>
    </row>
    <row r="95" spans="2:75" x14ac:dyDescent="0.3">
      <c r="B95" s="475">
        <f t="shared" si="52"/>
        <v>43995</v>
      </c>
      <c r="C95" s="61"/>
      <c r="D95" s="17">
        <v>25302</v>
      </c>
      <c r="E95" s="16"/>
      <c r="F95" s="16"/>
      <c r="G95" s="16"/>
      <c r="H95" s="16">
        <f t="shared" si="36"/>
        <v>2146486</v>
      </c>
      <c r="I95" s="16"/>
      <c r="J95" s="38">
        <f t="shared" si="37"/>
        <v>1.1928243848718451E-2</v>
      </c>
      <c r="K95" s="16"/>
      <c r="L95" s="16"/>
      <c r="M95" s="16"/>
      <c r="N95" s="16"/>
      <c r="O95" s="16">
        <f t="shared" si="43"/>
        <v>24959.139534883721</v>
      </c>
      <c r="P95" s="41"/>
      <c r="Q95" s="17"/>
      <c r="R95" s="16"/>
      <c r="S95" s="60"/>
      <c r="T95" s="16"/>
      <c r="U95" s="41"/>
      <c r="V95" s="10"/>
      <c r="W95" s="34">
        <v>702</v>
      </c>
      <c r="X95" s="33"/>
      <c r="Y95" s="33"/>
      <c r="Z95" s="33"/>
      <c r="AA95" s="33">
        <f t="shared" si="38"/>
        <v>120207</v>
      </c>
      <c r="AB95" s="33"/>
      <c r="AC95" s="46">
        <f t="shared" si="44"/>
        <v>5.6001762881285971E-2</v>
      </c>
      <c r="AD95" s="33"/>
      <c r="AE95" s="33">
        <f t="shared" si="45"/>
        <v>1397.7558139534883</v>
      </c>
      <c r="AF95" s="50"/>
      <c r="AG95" s="33"/>
      <c r="AH95" s="33"/>
      <c r="AI95" s="231"/>
      <c r="AJ95" s="50"/>
      <c r="AK95" s="10"/>
      <c r="AL95" s="23">
        <f t="shared" si="39"/>
        <v>17978</v>
      </c>
      <c r="AM95" s="24"/>
      <c r="AN95" s="24"/>
      <c r="AO95" s="24">
        <v>178263</v>
      </c>
      <c r="AP95" s="24">
        <v>859912</v>
      </c>
      <c r="AQ95" s="24"/>
      <c r="AR95" s="25">
        <f t="shared" si="40"/>
        <v>2.1353217710651903E-2</v>
      </c>
      <c r="AS95" s="25"/>
      <c r="AT95" s="25"/>
      <c r="AU95" s="24"/>
      <c r="AV95" s="341">
        <f t="shared" si="46"/>
        <v>0.40061384048160575</v>
      </c>
      <c r="AW95" s="341"/>
      <c r="AX95" s="24">
        <f t="shared" si="47"/>
        <v>9998.9767441860458</v>
      </c>
      <c r="AY95" s="351"/>
      <c r="AZ95" s="10"/>
      <c r="BA95" s="66">
        <f t="shared" si="41"/>
        <v>500980</v>
      </c>
      <c r="BB95" s="67"/>
      <c r="BC95" s="67">
        <v>24293171</v>
      </c>
      <c r="BD95" s="67"/>
      <c r="BE95" s="67">
        <f t="shared" si="48"/>
        <v>25302</v>
      </c>
      <c r="BF95" s="67"/>
      <c r="BG95" s="156">
        <f t="shared" si="42"/>
        <v>5.0505010180047105E-2</v>
      </c>
      <c r="BH95" s="67"/>
      <c r="BI95" s="183"/>
      <c r="BJ95" s="67"/>
      <c r="BK95" s="67"/>
      <c r="BL95" s="67"/>
      <c r="BM95" s="156"/>
      <c r="BN95" s="66">
        <f t="shared" si="49"/>
        <v>282478.73255813954</v>
      </c>
      <c r="BO95" s="67"/>
      <c r="BP95" s="67">
        <f t="shared" si="50"/>
        <v>1873108</v>
      </c>
      <c r="BQ95" s="67"/>
      <c r="BR95" s="74">
        <f t="shared" si="51"/>
        <v>7.7104302274906805E-2</v>
      </c>
      <c r="BS95" s="67"/>
      <c r="BT95" s="86"/>
      <c r="BU95" s="183"/>
      <c r="BV95" s="1"/>
      <c r="BW95">
        <f t="shared" si="53"/>
        <v>86</v>
      </c>
    </row>
    <row r="96" spans="2:75" x14ac:dyDescent="0.3">
      <c r="B96" s="390">
        <f t="shared" si="52"/>
        <v>43996</v>
      </c>
      <c r="C96" s="61"/>
      <c r="D96" s="17">
        <v>20004</v>
      </c>
      <c r="E96" s="16"/>
      <c r="F96" s="16"/>
      <c r="G96" s="16"/>
      <c r="H96" s="16">
        <f t="shared" si="36"/>
        <v>2166490</v>
      </c>
      <c r="I96" s="16"/>
      <c r="J96" s="38">
        <f t="shared" si="37"/>
        <v>9.3194178764734546E-3</v>
      </c>
      <c r="K96" s="16"/>
      <c r="L96" s="16"/>
      <c r="M96" s="16"/>
      <c r="N96" s="16"/>
      <c r="O96" s="16">
        <f t="shared" si="43"/>
        <v>24902.183908045976</v>
      </c>
      <c r="P96" s="41"/>
      <c r="Q96" s="17">
        <f>SUM(D90:D96)</f>
        <v>154779</v>
      </c>
      <c r="R96" s="16"/>
      <c r="S96" s="60">
        <f>+(Q96-Q89)/Q89</f>
        <v>8.4307912825357535E-3</v>
      </c>
      <c r="T96" s="16"/>
      <c r="U96" s="41"/>
      <c r="V96" s="391"/>
      <c r="W96" s="34">
        <v>331</v>
      </c>
      <c r="X96" s="33"/>
      <c r="Y96" s="33"/>
      <c r="Z96" s="33"/>
      <c r="AA96" s="33">
        <f t="shared" si="38"/>
        <v>120538</v>
      </c>
      <c r="AB96" s="33"/>
      <c r="AC96" s="46">
        <f t="shared" si="44"/>
        <v>5.5637459669788461E-2</v>
      </c>
      <c r="AD96" s="33"/>
      <c r="AE96" s="33">
        <f t="shared" si="45"/>
        <v>1385.4942528735633</v>
      </c>
      <c r="AF96" s="50"/>
      <c r="AG96" s="33">
        <f>SUM(W90:W96)</f>
        <v>5389</v>
      </c>
      <c r="AH96" s="33"/>
      <c r="AI96" s="231">
        <f>+(AG96-AG89)/AG89</f>
        <v>-0.13094662151265926</v>
      </c>
      <c r="AJ96" s="50"/>
      <c r="AK96" s="391"/>
      <c r="AL96" s="23">
        <f t="shared" si="39"/>
        <v>7937</v>
      </c>
      <c r="AM96" s="24"/>
      <c r="AN96" s="24"/>
      <c r="AO96" s="24">
        <v>178263</v>
      </c>
      <c r="AP96" s="24">
        <v>867849</v>
      </c>
      <c r="AQ96" s="24"/>
      <c r="AR96" s="25">
        <f t="shared" si="40"/>
        <v>9.2300142340146427E-3</v>
      </c>
      <c r="AS96" s="25"/>
      <c r="AT96" s="25"/>
      <c r="AU96" s="24"/>
      <c r="AV96" s="341">
        <f t="shared" si="46"/>
        <v>0.40057835485047244</v>
      </c>
      <c r="AW96" s="341"/>
      <c r="AX96" s="24">
        <f t="shared" si="47"/>
        <v>9975.2758620689656</v>
      </c>
      <c r="AY96" s="351"/>
      <c r="AZ96" s="391"/>
      <c r="BA96" s="66">
        <f t="shared" si="41"/>
        <v>497760</v>
      </c>
      <c r="BB96" s="67"/>
      <c r="BC96" s="67">
        <v>24790931</v>
      </c>
      <c r="BD96" s="67"/>
      <c r="BE96" s="67">
        <f t="shared" si="48"/>
        <v>20004</v>
      </c>
      <c r="BF96" s="67"/>
      <c r="BG96" s="156">
        <f t="shared" si="42"/>
        <v>4.0188042430086786E-2</v>
      </c>
      <c r="BH96" s="67"/>
      <c r="BI96" s="183"/>
      <c r="BJ96" s="67"/>
      <c r="BK96" s="67">
        <f>SUM(BA90:BA96)</f>
        <v>3499254</v>
      </c>
      <c r="BL96" s="67"/>
      <c r="BM96" s="156">
        <f>+Q96/BK96</f>
        <v>4.4231999163250227E-2</v>
      </c>
      <c r="BN96" s="66">
        <f t="shared" si="49"/>
        <v>284953.22988505749</v>
      </c>
      <c r="BO96" s="67"/>
      <c r="BP96" s="67">
        <f t="shared" si="50"/>
        <v>1893112</v>
      </c>
      <c r="BQ96" s="67"/>
      <c r="BR96" s="74">
        <f t="shared" si="51"/>
        <v>7.636308616243577E-2</v>
      </c>
      <c r="BS96" s="67"/>
      <c r="BT96" s="86"/>
      <c r="BU96" s="183"/>
      <c r="BV96" s="1"/>
      <c r="BW96">
        <f t="shared" si="53"/>
        <v>87</v>
      </c>
    </row>
    <row r="97" spans="2:75" x14ac:dyDescent="0.3">
      <c r="B97" s="171">
        <f t="shared" si="52"/>
        <v>43997</v>
      </c>
      <c r="C97" s="61"/>
      <c r="D97" s="17">
        <v>20722</v>
      </c>
      <c r="E97" s="16"/>
      <c r="F97" s="16"/>
      <c r="G97" s="16"/>
      <c r="H97" s="16">
        <f t="shared" ref="H97:H108" si="54">+H96+D97</f>
        <v>2187212</v>
      </c>
      <c r="I97" s="16"/>
      <c r="J97" s="38">
        <f t="shared" ref="J97:J108" si="55">+D97/H96</f>
        <v>9.5647798974377914E-3</v>
      </c>
      <c r="K97" s="16"/>
      <c r="L97" s="16"/>
      <c r="M97" s="16"/>
      <c r="N97" s="16"/>
      <c r="O97" s="16">
        <f t="shared" ref="O97:O108" si="56">+H97/BW97</f>
        <v>24854.68181818182</v>
      </c>
      <c r="P97" s="41"/>
      <c r="Q97" s="17"/>
      <c r="R97" s="16"/>
      <c r="S97" s="60"/>
      <c r="T97" s="16"/>
      <c r="U97" s="41"/>
      <c r="V97" s="10"/>
      <c r="W97" s="34">
        <v>425</v>
      </c>
      <c r="X97" s="33"/>
      <c r="Y97" s="33"/>
      <c r="Z97" s="33"/>
      <c r="AA97" s="33">
        <f t="shared" ref="AA97:AA108" si="57">+AA96+W97</f>
        <v>120963</v>
      </c>
      <c r="AB97" s="33"/>
      <c r="AC97" s="46">
        <f t="shared" ref="AC97:AC108" si="58">+AA97/H97</f>
        <v>5.5304652681130134E-2</v>
      </c>
      <c r="AD97" s="33"/>
      <c r="AE97" s="33">
        <f t="shared" ref="AE97:AE108" si="59">+AA97/BW97</f>
        <v>1374.5795454545455</v>
      </c>
      <c r="AF97" s="50"/>
      <c r="AG97" s="33"/>
      <c r="AH97" s="33"/>
      <c r="AI97" s="231"/>
      <c r="AJ97" s="50"/>
      <c r="AK97" s="10"/>
      <c r="AL97" s="23">
        <f t="shared" ref="AL97:AL108" si="60">+AP97-AP96</f>
        <v>22017</v>
      </c>
      <c r="AM97" s="24"/>
      <c r="AN97" s="24"/>
      <c r="AO97" s="24">
        <v>178263</v>
      </c>
      <c r="AP97" s="24">
        <v>889866</v>
      </c>
      <c r="AQ97" s="24"/>
      <c r="AR97" s="25">
        <f t="shared" ref="AR97:AR108" si="61">+AL97/AP96</f>
        <v>2.5369620751997179E-2</v>
      </c>
      <c r="AS97" s="25"/>
      <c r="AT97" s="25"/>
      <c r="AU97" s="24"/>
      <c r="AV97" s="341">
        <f t="shared" ref="AV97:AV108" si="62">+AP97/H97</f>
        <v>0.40684945035049186</v>
      </c>
      <c r="AW97" s="341"/>
      <c r="AX97" s="24">
        <f t="shared" ref="AX97:AX108" si="63">+AP97/BW97</f>
        <v>10112.113636363636</v>
      </c>
      <c r="AY97" s="351"/>
      <c r="AZ97" s="10"/>
      <c r="BA97" s="66">
        <f t="shared" ref="BA97:BA108" si="64">+BC97-BC96</f>
        <v>468146</v>
      </c>
      <c r="BB97" s="67"/>
      <c r="BC97" s="67">
        <v>25259077</v>
      </c>
      <c r="BD97" s="67"/>
      <c r="BE97" s="67">
        <f t="shared" ref="BE97:BE108" si="65">+D97</f>
        <v>20722</v>
      </c>
      <c r="BF97" s="67"/>
      <c r="BG97" s="156">
        <f t="shared" ref="BG97:BG108" si="66">+BE97/BA97</f>
        <v>4.4263968932768835E-2</v>
      </c>
      <c r="BH97" s="67"/>
      <c r="BI97" s="183"/>
      <c r="BJ97" s="67"/>
      <c r="BK97" s="67"/>
      <c r="BL97" s="67"/>
      <c r="BM97" s="156"/>
      <c r="BN97" s="66">
        <f t="shared" ref="BN97:BN108" si="67">+BC97/BW97</f>
        <v>287034.96590909088</v>
      </c>
      <c r="BO97" s="67"/>
      <c r="BP97" s="67">
        <f t="shared" ref="BP97:BP108" si="68">+BP96+BE97</f>
        <v>1913834</v>
      </c>
      <c r="BQ97" s="67"/>
      <c r="BR97" s="74">
        <f t="shared" ref="BR97:BR108" si="69">+BP97/BC97</f>
        <v>7.5768168409320741E-2</v>
      </c>
      <c r="BS97" s="67"/>
      <c r="BT97" s="86"/>
      <c r="BU97" s="183"/>
      <c r="BV97" s="1"/>
      <c r="BW97">
        <f t="shared" si="53"/>
        <v>88</v>
      </c>
    </row>
    <row r="98" spans="2:75" x14ac:dyDescent="0.3">
      <c r="B98" s="171">
        <f t="shared" si="52"/>
        <v>43998</v>
      </c>
      <c r="C98" s="61"/>
      <c r="D98" s="17">
        <v>25294</v>
      </c>
      <c r="E98" s="16"/>
      <c r="F98" s="16"/>
      <c r="G98" s="16"/>
      <c r="H98" s="16">
        <f t="shared" si="54"/>
        <v>2212506</v>
      </c>
      <c r="I98" s="16"/>
      <c r="J98" s="38">
        <f t="shared" si="55"/>
        <v>1.1564493976807004E-2</v>
      </c>
      <c r="K98" s="16"/>
      <c r="L98" s="16"/>
      <c r="M98" s="16"/>
      <c r="N98" s="16"/>
      <c r="O98" s="16">
        <f t="shared" si="56"/>
        <v>24859.617977528091</v>
      </c>
      <c r="P98" s="41"/>
      <c r="Q98" s="17"/>
      <c r="R98" s="16"/>
      <c r="S98" s="60"/>
      <c r="T98" s="16"/>
      <c r="U98" s="41"/>
      <c r="V98" s="10"/>
      <c r="W98" s="34">
        <v>846</v>
      </c>
      <c r="X98" s="33"/>
      <c r="Y98" s="33"/>
      <c r="Z98" s="33"/>
      <c r="AA98" s="33">
        <f t="shared" si="57"/>
        <v>121809</v>
      </c>
      <c r="AB98" s="33"/>
      <c r="AC98" s="46">
        <f t="shared" si="58"/>
        <v>5.5054765953177077E-2</v>
      </c>
      <c r="AD98" s="33"/>
      <c r="AE98" s="33">
        <f t="shared" si="59"/>
        <v>1368.6404494382023</v>
      </c>
      <c r="AF98" s="50"/>
      <c r="AG98" s="33"/>
      <c r="AH98" s="33"/>
      <c r="AI98" s="231"/>
      <c r="AJ98" s="50"/>
      <c r="AK98" s="10"/>
      <c r="AL98" s="23">
        <f t="shared" si="60"/>
        <v>13175</v>
      </c>
      <c r="AM98" s="24"/>
      <c r="AN98" s="24"/>
      <c r="AO98" s="24">
        <v>178263</v>
      </c>
      <c r="AP98" s="24">
        <v>903041</v>
      </c>
      <c r="AQ98" s="24"/>
      <c r="AR98" s="25">
        <f t="shared" si="61"/>
        <v>1.4805599944261271E-2</v>
      </c>
      <c r="AS98" s="25"/>
      <c r="AT98" s="25"/>
      <c r="AU98" s="24"/>
      <c r="AV98" s="341">
        <f t="shared" si="62"/>
        <v>0.40815301743814481</v>
      </c>
      <c r="AW98" s="341"/>
      <c r="AX98" s="24">
        <f t="shared" si="63"/>
        <v>10146.528089887641</v>
      </c>
      <c r="AY98" s="351"/>
      <c r="AZ98" s="10"/>
      <c r="BA98" s="66">
        <f t="shared" si="64"/>
        <v>470291</v>
      </c>
      <c r="BB98" s="67"/>
      <c r="BC98" s="67">
        <v>25729368</v>
      </c>
      <c r="BD98" s="67"/>
      <c r="BE98" s="67">
        <f t="shared" si="65"/>
        <v>25294</v>
      </c>
      <c r="BF98" s="67"/>
      <c r="BG98" s="156">
        <f t="shared" si="66"/>
        <v>5.3783721142866864E-2</v>
      </c>
      <c r="BH98" s="67"/>
      <c r="BI98" s="183"/>
      <c r="BJ98" s="67"/>
      <c r="BK98" s="67"/>
      <c r="BL98" s="67"/>
      <c r="BM98" s="156"/>
      <c r="BN98" s="66">
        <f t="shared" si="67"/>
        <v>289094.02247191011</v>
      </c>
      <c r="BO98" s="67"/>
      <c r="BP98" s="67">
        <f t="shared" si="68"/>
        <v>1939128</v>
      </c>
      <c r="BQ98" s="67"/>
      <c r="BR98" s="74">
        <f t="shared" si="69"/>
        <v>7.5366328469475038E-2</v>
      </c>
      <c r="BS98" s="67"/>
      <c r="BT98" s="86"/>
      <c r="BU98" s="183"/>
      <c r="BV98" s="1"/>
      <c r="BW98">
        <f t="shared" si="53"/>
        <v>89</v>
      </c>
    </row>
    <row r="99" spans="2:75" x14ac:dyDescent="0.3">
      <c r="B99" s="171">
        <f t="shared" si="52"/>
        <v>43999</v>
      </c>
      <c r="C99" s="61"/>
      <c r="D99" s="17">
        <v>26071</v>
      </c>
      <c r="E99" s="16"/>
      <c r="F99" s="16"/>
      <c r="G99" s="16"/>
      <c r="H99" s="16">
        <f t="shared" si="54"/>
        <v>2238577</v>
      </c>
      <c r="I99" s="16"/>
      <c r="J99" s="38">
        <f t="shared" si="55"/>
        <v>1.1783470869683517E-2</v>
      </c>
      <c r="K99" s="16"/>
      <c r="L99" s="16"/>
      <c r="M99" s="16"/>
      <c r="N99" s="16"/>
      <c r="O99" s="16">
        <f t="shared" si="56"/>
        <v>24873.077777777777</v>
      </c>
      <c r="P99" s="41"/>
      <c r="Q99" s="17"/>
      <c r="R99" s="16"/>
      <c r="S99" s="60"/>
      <c r="T99" s="16"/>
      <c r="U99" s="41"/>
      <c r="V99" s="10"/>
      <c r="W99" s="34">
        <v>809</v>
      </c>
      <c r="X99" s="33"/>
      <c r="Y99" s="33"/>
      <c r="Z99" s="33"/>
      <c r="AA99" s="33">
        <f t="shared" si="57"/>
        <v>122618</v>
      </c>
      <c r="AB99" s="33"/>
      <c r="AC99" s="46">
        <f t="shared" si="58"/>
        <v>5.4774975352645902E-2</v>
      </c>
      <c r="AD99" s="33"/>
      <c r="AE99" s="33">
        <f t="shared" si="59"/>
        <v>1362.4222222222222</v>
      </c>
      <c r="AF99" s="50"/>
      <c r="AG99" s="33"/>
      <c r="AH99" s="33"/>
      <c r="AI99" s="231"/>
      <c r="AJ99" s="50"/>
      <c r="AK99" s="10"/>
      <c r="AL99" s="23">
        <f t="shared" si="60"/>
        <v>15755</v>
      </c>
      <c r="AM99" s="24"/>
      <c r="AN99" s="24"/>
      <c r="AO99" s="24">
        <v>178263</v>
      </c>
      <c r="AP99" s="24">
        <v>918796</v>
      </c>
      <c r="AQ99" s="24"/>
      <c r="AR99" s="25">
        <f t="shared" si="61"/>
        <v>1.7446605414372107E-2</v>
      </c>
      <c r="AS99" s="25"/>
      <c r="AT99" s="25"/>
      <c r="AU99" s="24"/>
      <c r="AV99" s="341">
        <f t="shared" si="62"/>
        <v>0.41043752348031809</v>
      </c>
      <c r="AW99" s="341"/>
      <c r="AX99" s="24">
        <f t="shared" si="63"/>
        <v>10208.844444444445</v>
      </c>
      <c r="AY99" s="351"/>
      <c r="AZ99" s="10"/>
      <c r="BA99" s="66">
        <f t="shared" si="64"/>
        <v>514443</v>
      </c>
      <c r="BB99" s="67"/>
      <c r="BC99" s="67">
        <v>26243811</v>
      </c>
      <c r="BD99" s="67"/>
      <c r="BE99" s="67">
        <f t="shared" si="65"/>
        <v>26071</v>
      </c>
      <c r="BF99" s="67"/>
      <c r="BG99" s="156">
        <f t="shared" si="66"/>
        <v>5.0678112055174238E-2</v>
      </c>
      <c r="BH99" s="67"/>
      <c r="BI99" s="183"/>
      <c r="BJ99" s="67"/>
      <c r="BK99" s="67"/>
      <c r="BL99" s="67"/>
      <c r="BM99" s="156"/>
      <c r="BN99" s="66">
        <f t="shared" si="67"/>
        <v>291597.90000000002</v>
      </c>
      <c r="BO99" s="67"/>
      <c r="BP99" s="67">
        <f t="shared" si="68"/>
        <v>1965199</v>
      </c>
      <c r="BQ99" s="67"/>
      <c r="BR99" s="74">
        <f t="shared" si="69"/>
        <v>7.4882378934980134E-2</v>
      </c>
      <c r="BS99" s="67"/>
      <c r="BT99" s="86"/>
      <c r="BU99" s="183"/>
      <c r="BV99" s="1"/>
      <c r="BW99">
        <f t="shared" si="53"/>
        <v>90</v>
      </c>
    </row>
    <row r="100" spans="2:75" x14ac:dyDescent="0.3">
      <c r="B100" s="171">
        <f t="shared" si="52"/>
        <v>44000</v>
      </c>
      <c r="C100" s="61"/>
      <c r="D100" s="17">
        <v>27924</v>
      </c>
      <c r="E100" s="16"/>
      <c r="F100" s="16"/>
      <c r="G100" s="16"/>
      <c r="H100" s="16">
        <f t="shared" si="54"/>
        <v>2266501</v>
      </c>
      <c r="I100" s="16"/>
      <c r="J100" s="38">
        <f t="shared" si="55"/>
        <v>1.2473995757126067E-2</v>
      </c>
      <c r="K100" s="16"/>
      <c r="L100" s="16"/>
      <c r="M100" s="16"/>
      <c r="N100" s="16"/>
      <c r="O100" s="16">
        <f t="shared" si="56"/>
        <v>24906.604395604394</v>
      </c>
      <c r="P100" s="41"/>
      <c r="Q100" s="17"/>
      <c r="R100" s="16"/>
      <c r="S100" s="60"/>
      <c r="T100" s="16"/>
      <c r="U100" s="41"/>
      <c r="V100" s="10"/>
      <c r="W100" s="34">
        <v>747</v>
      </c>
      <c r="X100" s="33"/>
      <c r="Y100" s="33"/>
      <c r="Z100" s="33"/>
      <c r="AA100" s="33">
        <f t="shared" si="57"/>
        <v>123365</v>
      </c>
      <c r="AB100" s="33"/>
      <c r="AC100" s="46">
        <f t="shared" si="58"/>
        <v>5.4429713465822427E-2</v>
      </c>
      <c r="AD100" s="33"/>
      <c r="AE100" s="33">
        <f t="shared" si="59"/>
        <v>1355.6593406593406</v>
      </c>
      <c r="AF100" s="50"/>
      <c r="AG100" s="33"/>
      <c r="AH100" s="33"/>
      <c r="AI100" s="231"/>
      <c r="AJ100" s="50"/>
      <c r="AK100" s="10"/>
      <c r="AL100" s="23">
        <f t="shared" si="60"/>
        <v>12198</v>
      </c>
      <c r="AM100" s="24"/>
      <c r="AN100" s="24"/>
      <c r="AO100" s="24">
        <v>178263</v>
      </c>
      <c r="AP100" s="24">
        <v>930994</v>
      </c>
      <c r="AQ100" s="24"/>
      <c r="AR100" s="25">
        <f t="shared" si="61"/>
        <v>1.3276069987244177E-2</v>
      </c>
      <c r="AS100" s="25"/>
      <c r="AT100" s="25"/>
      <c r="AU100" s="24"/>
      <c r="AV100" s="341">
        <f t="shared" si="62"/>
        <v>0.41076266897742381</v>
      </c>
      <c r="AW100" s="341"/>
      <c r="AX100" s="24">
        <f t="shared" si="63"/>
        <v>10230.703296703297</v>
      </c>
      <c r="AY100" s="351"/>
      <c r="AZ100" s="10"/>
      <c r="BA100" s="66">
        <f t="shared" si="64"/>
        <v>479368</v>
      </c>
      <c r="BB100" s="67"/>
      <c r="BC100" s="67">
        <v>26723179</v>
      </c>
      <c r="BD100" s="67"/>
      <c r="BE100" s="67">
        <f t="shared" si="65"/>
        <v>27924</v>
      </c>
      <c r="BF100" s="67"/>
      <c r="BG100" s="156">
        <f t="shared" si="66"/>
        <v>5.825169806912435E-2</v>
      </c>
      <c r="BH100" s="67"/>
      <c r="BI100" s="183"/>
      <c r="BJ100" s="67"/>
      <c r="BK100" s="67"/>
      <c r="BL100" s="67"/>
      <c r="BM100" s="156"/>
      <c r="BN100" s="66">
        <f t="shared" si="67"/>
        <v>293661.30769230769</v>
      </c>
      <c r="BO100" s="67"/>
      <c r="BP100" s="67">
        <f t="shared" si="68"/>
        <v>1993123</v>
      </c>
      <c r="BQ100" s="67"/>
      <c r="BR100" s="74">
        <f t="shared" si="69"/>
        <v>7.4584053042491688E-2</v>
      </c>
      <c r="BS100" s="67"/>
      <c r="BT100" s="86"/>
      <c r="BU100" s="183"/>
      <c r="BV100" s="1"/>
      <c r="BW100">
        <f t="shared" si="53"/>
        <v>91</v>
      </c>
    </row>
    <row r="101" spans="2:75" x14ac:dyDescent="0.3">
      <c r="B101" s="171">
        <f t="shared" si="52"/>
        <v>44001</v>
      </c>
      <c r="C101" s="61"/>
      <c r="D101" s="17">
        <v>33539</v>
      </c>
      <c r="E101" s="16"/>
      <c r="F101" s="16"/>
      <c r="G101" s="16"/>
      <c r="H101" s="16">
        <f t="shared" si="54"/>
        <v>2300040</v>
      </c>
      <c r="I101" s="16"/>
      <c r="J101" s="38">
        <f t="shared" si="55"/>
        <v>1.4797699184778652E-2</v>
      </c>
      <c r="K101" s="16"/>
      <c r="L101" s="16"/>
      <c r="M101" s="16"/>
      <c r="N101" s="16"/>
      <c r="O101" s="16">
        <f t="shared" si="56"/>
        <v>25000.434782608696</v>
      </c>
      <c r="P101" s="41"/>
      <c r="Q101" s="17"/>
      <c r="R101" s="16"/>
      <c r="S101" s="60"/>
      <c r="T101" s="16"/>
      <c r="U101" s="41"/>
      <c r="V101" s="10"/>
      <c r="W101" s="34">
        <v>719</v>
      </c>
      <c r="X101" s="33"/>
      <c r="Y101" s="33"/>
      <c r="Z101" s="33"/>
      <c r="AA101" s="33">
        <f t="shared" si="57"/>
        <v>124084</v>
      </c>
      <c r="AB101" s="33"/>
      <c r="AC101" s="46">
        <f t="shared" si="58"/>
        <v>5.3948626980400344E-2</v>
      </c>
      <c r="AD101" s="33"/>
      <c r="AE101" s="33">
        <f t="shared" si="59"/>
        <v>1348.7391304347825</v>
      </c>
      <c r="AF101" s="50"/>
      <c r="AG101" s="33"/>
      <c r="AH101" s="33"/>
      <c r="AI101" s="231"/>
      <c r="AJ101" s="50"/>
      <c r="AK101" s="10"/>
      <c r="AL101" s="23">
        <f t="shared" si="60"/>
        <v>25067</v>
      </c>
      <c r="AM101" s="24"/>
      <c r="AN101" s="24"/>
      <c r="AO101" s="24">
        <v>178263</v>
      </c>
      <c r="AP101" s="24">
        <v>956061</v>
      </c>
      <c r="AQ101" s="24"/>
      <c r="AR101" s="25">
        <f t="shared" si="61"/>
        <v>2.6924985553075528E-2</v>
      </c>
      <c r="AS101" s="25"/>
      <c r="AT101" s="25"/>
      <c r="AU101" s="24"/>
      <c r="AV101" s="341">
        <f t="shared" si="62"/>
        <v>0.41567146658318987</v>
      </c>
      <c r="AW101" s="341"/>
      <c r="AX101" s="24">
        <f t="shared" si="63"/>
        <v>10391.967391304348</v>
      </c>
      <c r="AY101" s="351"/>
      <c r="AZ101" s="10"/>
      <c r="BA101" s="66">
        <f t="shared" si="64"/>
        <v>614206</v>
      </c>
      <c r="BB101" s="67"/>
      <c r="BC101" s="67">
        <v>27337385</v>
      </c>
      <c r="BD101" s="67"/>
      <c r="BE101" s="67">
        <f t="shared" si="65"/>
        <v>33539</v>
      </c>
      <c r="BF101" s="67"/>
      <c r="BG101" s="156">
        <f t="shared" si="66"/>
        <v>5.460545810363298E-2</v>
      </c>
      <c r="BH101" s="67"/>
      <c r="BI101" s="183"/>
      <c r="BJ101" s="67"/>
      <c r="BK101" s="67"/>
      <c r="BL101" s="67"/>
      <c r="BM101" s="156"/>
      <c r="BN101" s="66">
        <f t="shared" si="67"/>
        <v>297145.48913043475</v>
      </c>
      <c r="BO101" s="67"/>
      <c r="BP101" s="67">
        <f t="shared" si="68"/>
        <v>2026662</v>
      </c>
      <c r="BQ101" s="67"/>
      <c r="BR101" s="74">
        <f t="shared" si="69"/>
        <v>7.4135181547174314E-2</v>
      </c>
      <c r="BS101" s="67"/>
      <c r="BT101" s="86"/>
      <c r="BU101" s="183"/>
      <c r="BV101" s="1"/>
      <c r="BW101">
        <f t="shared" si="53"/>
        <v>92</v>
      </c>
    </row>
    <row r="102" spans="2:75" x14ac:dyDescent="0.3">
      <c r="B102" s="476">
        <f t="shared" si="52"/>
        <v>44002</v>
      </c>
      <c r="C102" s="61"/>
      <c r="D102" s="17">
        <v>33338</v>
      </c>
      <c r="E102" s="16"/>
      <c r="F102" s="16"/>
      <c r="G102" s="16"/>
      <c r="H102" s="16">
        <f t="shared" si="54"/>
        <v>2333378</v>
      </c>
      <c r="I102" s="16"/>
      <c r="J102" s="38">
        <f t="shared" si="55"/>
        <v>1.4494530529903828E-2</v>
      </c>
      <c r="K102" s="16"/>
      <c r="L102" s="16"/>
      <c r="M102" s="16"/>
      <c r="N102" s="16"/>
      <c r="O102" s="16">
        <f t="shared" si="56"/>
        <v>25090.086021505376</v>
      </c>
      <c r="P102" s="41"/>
      <c r="Q102" s="17"/>
      <c r="R102" s="16"/>
      <c r="S102" s="60"/>
      <c r="T102" s="16"/>
      <c r="U102" s="41"/>
      <c r="V102" s="10"/>
      <c r="W102" s="34">
        <v>573</v>
      </c>
      <c r="X102" s="33"/>
      <c r="Y102" s="33"/>
      <c r="Z102" s="33"/>
      <c r="AA102" s="33">
        <f t="shared" si="57"/>
        <v>124657</v>
      </c>
      <c r="AB102" s="33"/>
      <c r="AC102" s="46">
        <f t="shared" si="58"/>
        <v>5.3423405894801441E-2</v>
      </c>
      <c r="AD102" s="33"/>
      <c r="AE102" s="33">
        <f t="shared" si="59"/>
        <v>1340.3978494623657</v>
      </c>
      <c r="AF102" s="50"/>
      <c r="AG102" s="33"/>
      <c r="AH102" s="33"/>
      <c r="AI102" s="231"/>
      <c r="AJ102" s="50"/>
      <c r="AK102" s="10"/>
      <c r="AL102" s="23">
        <f t="shared" si="60"/>
        <v>16880</v>
      </c>
      <c r="AM102" s="24"/>
      <c r="AN102" s="24"/>
      <c r="AO102" s="24">
        <v>178263</v>
      </c>
      <c r="AP102" s="24">
        <v>972941</v>
      </c>
      <c r="AQ102" s="24"/>
      <c r="AR102" s="25">
        <f t="shared" si="61"/>
        <v>1.7655777194133009E-2</v>
      </c>
      <c r="AS102" s="25"/>
      <c r="AT102" s="25"/>
      <c r="AU102" s="24"/>
      <c r="AV102" s="341">
        <f t="shared" si="62"/>
        <v>0.41696673235112358</v>
      </c>
      <c r="AW102" s="341"/>
      <c r="AX102" s="24">
        <f t="shared" si="63"/>
        <v>10461.731182795698</v>
      </c>
      <c r="AY102" s="351"/>
      <c r="AZ102" s="10"/>
      <c r="BA102" s="66">
        <f t="shared" si="64"/>
        <v>638478</v>
      </c>
      <c r="BB102" s="67"/>
      <c r="BC102" s="67">
        <v>27975863</v>
      </c>
      <c r="BD102" s="67"/>
      <c r="BE102" s="67">
        <f t="shared" si="65"/>
        <v>33338</v>
      </c>
      <c r="BF102" s="67"/>
      <c r="BG102" s="156">
        <f t="shared" si="66"/>
        <v>5.2214798317248207E-2</v>
      </c>
      <c r="BH102" s="67"/>
      <c r="BI102" s="183"/>
      <c r="BJ102" s="67"/>
      <c r="BK102" s="67"/>
      <c r="BL102" s="67"/>
      <c r="BM102" s="156"/>
      <c r="BN102" s="66">
        <f t="shared" si="67"/>
        <v>300815.73118279572</v>
      </c>
      <c r="BO102" s="67"/>
      <c r="BP102" s="67">
        <f t="shared" si="68"/>
        <v>2060000</v>
      </c>
      <c r="BQ102" s="67"/>
      <c r="BR102" s="74">
        <f t="shared" si="69"/>
        <v>7.3634904488916034E-2</v>
      </c>
      <c r="BS102" s="67"/>
      <c r="BT102" s="86"/>
      <c r="BU102" s="183"/>
      <c r="BV102" s="1"/>
      <c r="BW102">
        <f t="shared" si="53"/>
        <v>93</v>
      </c>
    </row>
    <row r="103" spans="2:75" x14ac:dyDescent="0.3">
      <c r="B103" s="390">
        <f t="shared" si="52"/>
        <v>44003</v>
      </c>
      <c r="C103" s="61"/>
      <c r="D103" s="17">
        <v>26079</v>
      </c>
      <c r="E103" s="16"/>
      <c r="F103" s="16"/>
      <c r="G103" s="16"/>
      <c r="H103" s="16">
        <f t="shared" si="54"/>
        <v>2359457</v>
      </c>
      <c r="I103" s="16"/>
      <c r="J103" s="38">
        <f t="shared" si="55"/>
        <v>1.1176500335565005E-2</v>
      </c>
      <c r="K103" s="16"/>
      <c r="L103" s="16"/>
      <c r="M103" s="16"/>
      <c r="N103" s="16">
        <f>SUM(D97:D103)</f>
        <v>192967</v>
      </c>
      <c r="O103" s="16">
        <f t="shared" si="56"/>
        <v>25100.606382978724</v>
      </c>
      <c r="P103" s="41"/>
      <c r="Q103" s="17">
        <f>SUM(D97:D103)</f>
        <v>192967</v>
      </c>
      <c r="R103" s="16"/>
      <c r="S103" s="60">
        <f>+(Q103-Q96)/Q96</f>
        <v>0.24672597703822871</v>
      </c>
      <c r="T103" s="16"/>
      <c r="U103" s="41"/>
      <c r="V103" s="391"/>
      <c r="W103" s="34">
        <v>267</v>
      </c>
      <c r="X103" s="33"/>
      <c r="Y103" s="33"/>
      <c r="Z103" s="33"/>
      <c r="AA103" s="33">
        <f t="shared" si="57"/>
        <v>124924</v>
      </c>
      <c r="AB103" s="33"/>
      <c r="AC103" s="46">
        <f t="shared" si="58"/>
        <v>5.2946080390530531E-2</v>
      </c>
      <c r="AD103" s="33"/>
      <c r="AE103" s="33">
        <f t="shared" si="59"/>
        <v>1328.9787234042553</v>
      </c>
      <c r="AF103" s="50"/>
      <c r="AG103" s="33">
        <f>SUM(W97:W103)</f>
        <v>4386</v>
      </c>
      <c r="AH103" s="33"/>
      <c r="AI103" s="231">
        <f>+(AG103-AG96)/AG96</f>
        <v>-0.18611987381703471</v>
      </c>
      <c r="AJ103" s="50"/>
      <c r="AK103" s="391"/>
      <c r="AL103" s="23">
        <f t="shared" si="60"/>
        <v>7414</v>
      </c>
      <c r="AM103" s="24"/>
      <c r="AN103" s="24"/>
      <c r="AO103" s="24">
        <v>178263</v>
      </c>
      <c r="AP103" s="24">
        <v>980355</v>
      </c>
      <c r="AQ103" s="24"/>
      <c r="AR103" s="25">
        <f t="shared" si="61"/>
        <v>7.620194852514181E-3</v>
      </c>
      <c r="AS103" s="25"/>
      <c r="AT103" s="25"/>
      <c r="AU103" s="24"/>
      <c r="AV103" s="341">
        <f t="shared" si="62"/>
        <v>0.41550026128893214</v>
      </c>
      <c r="AW103" s="341"/>
      <c r="AX103" s="24">
        <f t="shared" si="63"/>
        <v>10429.308510638299</v>
      </c>
      <c r="AY103" s="351"/>
      <c r="AZ103" s="391"/>
      <c r="BA103" s="66">
        <f t="shared" si="64"/>
        <v>516127</v>
      </c>
      <c r="BB103" s="67"/>
      <c r="BC103" s="67">
        <v>28491990</v>
      </c>
      <c r="BD103" s="67"/>
      <c r="BE103" s="67">
        <f t="shared" si="65"/>
        <v>26079</v>
      </c>
      <c r="BF103" s="67"/>
      <c r="BG103" s="156">
        <f t="shared" si="66"/>
        <v>5.0528261455029477E-2</v>
      </c>
      <c r="BH103" s="67"/>
      <c r="BI103" s="183"/>
      <c r="BJ103" s="67"/>
      <c r="BK103" s="67">
        <f>SUM(BA97:BA103)</f>
        <v>3701059</v>
      </c>
      <c r="BL103" s="67"/>
      <c r="BM103" s="156">
        <f>+Q103/BK103</f>
        <v>5.2138320410455491E-2</v>
      </c>
      <c r="BN103" s="66">
        <f t="shared" si="67"/>
        <v>303106.27659574465</v>
      </c>
      <c r="BO103" s="67"/>
      <c r="BP103" s="67">
        <f t="shared" si="68"/>
        <v>2086079</v>
      </c>
      <c r="BQ103" s="67"/>
      <c r="BR103" s="478">
        <f t="shared" si="69"/>
        <v>7.3216332028756145E-2</v>
      </c>
      <c r="BS103" s="67"/>
      <c r="BT103" s="86"/>
      <c r="BU103" s="183"/>
      <c r="BV103" s="1"/>
      <c r="BW103">
        <f t="shared" si="53"/>
        <v>94</v>
      </c>
    </row>
    <row r="104" spans="2:75" x14ac:dyDescent="0.3">
      <c r="B104" s="171">
        <f t="shared" si="52"/>
        <v>44004</v>
      </c>
      <c r="C104" s="61"/>
      <c r="D104" s="17">
        <v>31496</v>
      </c>
      <c r="E104" s="16"/>
      <c r="F104" s="16"/>
      <c r="G104" s="16"/>
      <c r="H104" s="16">
        <f t="shared" si="54"/>
        <v>2390953</v>
      </c>
      <c r="I104" s="16"/>
      <c r="J104" s="38">
        <f t="shared" si="55"/>
        <v>1.3348834074958772E-2</v>
      </c>
      <c r="K104" s="16"/>
      <c r="L104" s="16"/>
      <c r="M104" s="16"/>
      <c r="N104" s="16"/>
      <c r="O104" s="16">
        <f t="shared" si="56"/>
        <v>25167.926315789475</v>
      </c>
      <c r="P104" s="41"/>
      <c r="Q104" s="17"/>
      <c r="R104" s="16"/>
      <c r="S104" s="60"/>
      <c r="T104" s="16"/>
      <c r="U104" s="41"/>
      <c r="V104" s="10"/>
      <c r="W104" s="34">
        <v>363</v>
      </c>
      <c r="X104" s="33"/>
      <c r="Y104" s="33"/>
      <c r="Z104" s="33"/>
      <c r="AA104" s="33">
        <f t="shared" si="57"/>
        <v>125287</v>
      </c>
      <c r="AB104" s="33"/>
      <c r="AC104" s="46">
        <f t="shared" si="58"/>
        <v>5.2400444508946854E-2</v>
      </c>
      <c r="AD104" s="33"/>
      <c r="AE104" s="33">
        <f t="shared" si="59"/>
        <v>1318.8105263157895</v>
      </c>
      <c r="AF104" s="50"/>
      <c r="AG104" s="33"/>
      <c r="AH104" s="33"/>
      <c r="AI104" s="231"/>
      <c r="AJ104" s="50"/>
      <c r="AK104" s="10"/>
      <c r="AL104" s="23">
        <f t="shared" si="60"/>
        <v>22574</v>
      </c>
      <c r="AM104" s="24"/>
      <c r="AN104" s="24"/>
      <c r="AO104" s="24">
        <v>178263</v>
      </c>
      <c r="AP104" s="24">
        <v>1002929</v>
      </c>
      <c r="AQ104" s="24"/>
      <c r="AR104" s="25">
        <f t="shared" si="61"/>
        <v>2.3026352698767284E-2</v>
      </c>
      <c r="AS104" s="25"/>
      <c r="AT104" s="25"/>
      <c r="AU104" s="24"/>
      <c r="AV104" s="341">
        <f t="shared" si="62"/>
        <v>0.41946830406118396</v>
      </c>
      <c r="AW104" s="341"/>
      <c r="AX104" s="24">
        <f t="shared" si="63"/>
        <v>10557.147368421052</v>
      </c>
      <c r="AY104" s="351"/>
      <c r="AZ104" s="10"/>
      <c r="BA104" s="66">
        <f t="shared" si="64"/>
        <v>521192</v>
      </c>
      <c r="BB104" s="67"/>
      <c r="BC104" s="67">
        <v>29013182</v>
      </c>
      <c r="BD104" s="67"/>
      <c r="BE104" s="67">
        <f t="shared" si="65"/>
        <v>31496</v>
      </c>
      <c r="BF104" s="67"/>
      <c r="BG104" s="156">
        <f t="shared" si="66"/>
        <v>6.0430704999309276E-2</v>
      </c>
      <c r="BH104" s="67"/>
      <c r="BI104" s="183"/>
      <c r="BJ104" s="67"/>
      <c r="BK104" s="67"/>
      <c r="BL104" s="67"/>
      <c r="BM104" s="156"/>
      <c r="BN104" s="66">
        <f t="shared" si="67"/>
        <v>305401.91578947369</v>
      </c>
      <c r="BO104" s="67"/>
      <c r="BP104" s="67">
        <f t="shared" si="68"/>
        <v>2117575</v>
      </c>
      <c r="BQ104" s="67"/>
      <c r="BR104" s="478">
        <f t="shared" si="69"/>
        <v>7.2986651377983977E-2</v>
      </c>
      <c r="BS104" s="67"/>
      <c r="BT104" s="86"/>
      <c r="BU104" s="183"/>
      <c r="BV104" s="1"/>
      <c r="BW104">
        <f t="shared" si="53"/>
        <v>95</v>
      </c>
    </row>
    <row r="105" spans="2:75" x14ac:dyDescent="0.3">
      <c r="B105" s="171">
        <f t="shared" si="52"/>
        <v>44005</v>
      </c>
      <c r="C105" s="61"/>
      <c r="D105" s="17">
        <v>36038</v>
      </c>
      <c r="E105" s="16"/>
      <c r="F105" s="16"/>
      <c r="G105" s="16"/>
      <c r="H105" s="16">
        <f t="shared" si="54"/>
        <v>2426991</v>
      </c>
      <c r="I105" s="16"/>
      <c r="J105" s="38">
        <f t="shared" si="55"/>
        <v>1.5072650947132796E-2</v>
      </c>
      <c r="K105" s="16"/>
      <c r="L105" s="16"/>
      <c r="M105" s="16"/>
      <c r="N105" s="16"/>
      <c r="O105" s="16">
        <f t="shared" si="56"/>
        <v>25281.15625</v>
      </c>
      <c r="P105" s="41"/>
      <c r="Q105" s="17"/>
      <c r="R105" s="16"/>
      <c r="S105" s="60"/>
      <c r="T105" s="16"/>
      <c r="U105" s="41"/>
      <c r="V105" s="10"/>
      <c r="W105" s="34">
        <v>871</v>
      </c>
      <c r="X105" s="33"/>
      <c r="Y105" s="33"/>
      <c r="Z105" s="33"/>
      <c r="AA105" s="33">
        <f t="shared" si="57"/>
        <v>126158</v>
      </c>
      <c r="AB105" s="33"/>
      <c r="AC105" s="46">
        <f t="shared" si="58"/>
        <v>5.1981239320623769E-2</v>
      </c>
      <c r="AD105" s="33"/>
      <c r="AE105" s="33">
        <f t="shared" si="59"/>
        <v>1314.1458333333333</v>
      </c>
      <c r="AF105" s="50"/>
      <c r="AG105" s="33"/>
      <c r="AH105" s="33"/>
      <c r="AI105" s="231"/>
      <c r="AJ105" s="50"/>
      <c r="AK105" s="10"/>
      <c r="AL105" s="23">
        <f t="shared" si="60"/>
        <v>17452</v>
      </c>
      <c r="AM105" s="24"/>
      <c r="AN105" s="24"/>
      <c r="AO105" s="24">
        <v>178263</v>
      </c>
      <c r="AP105" s="24">
        <v>1020381</v>
      </c>
      <c r="AQ105" s="24"/>
      <c r="AR105" s="25">
        <f t="shared" si="61"/>
        <v>1.7401032376170196E-2</v>
      </c>
      <c r="AS105" s="25"/>
      <c r="AT105" s="25"/>
      <c r="AU105" s="24"/>
      <c r="AV105" s="341">
        <f t="shared" si="62"/>
        <v>0.42043048367299263</v>
      </c>
      <c r="AW105" s="341"/>
      <c r="AX105" s="24">
        <f t="shared" si="63"/>
        <v>10628.96875</v>
      </c>
      <c r="AY105" s="351"/>
      <c r="AZ105" s="10"/>
      <c r="BA105" s="66">
        <f t="shared" si="64"/>
        <v>539508</v>
      </c>
      <c r="BB105" s="67"/>
      <c r="BC105" s="67">
        <v>29552690</v>
      </c>
      <c r="BD105" s="67"/>
      <c r="BE105" s="67">
        <f t="shared" si="65"/>
        <v>36038</v>
      </c>
      <c r="BF105" s="67"/>
      <c r="BG105" s="156">
        <f t="shared" si="66"/>
        <v>6.6797897343505566E-2</v>
      </c>
      <c r="BH105" s="67"/>
      <c r="BI105" s="183"/>
      <c r="BJ105" s="67"/>
      <c r="BK105" s="67"/>
      <c r="BL105" s="67"/>
      <c r="BM105" s="156"/>
      <c r="BN105" s="66">
        <f t="shared" si="67"/>
        <v>307840.52083333331</v>
      </c>
      <c r="BO105" s="67"/>
      <c r="BP105" s="67">
        <f t="shared" si="68"/>
        <v>2153613</v>
      </c>
      <c r="BQ105" s="67"/>
      <c r="BR105" s="478">
        <f t="shared" si="69"/>
        <v>7.2873670721683881E-2</v>
      </c>
      <c r="BS105" s="67"/>
      <c r="BT105" s="86"/>
      <c r="BU105" s="183"/>
      <c r="BV105" s="1"/>
      <c r="BW105">
        <f t="shared" si="53"/>
        <v>96</v>
      </c>
    </row>
    <row r="106" spans="2:75" x14ac:dyDescent="0.3">
      <c r="B106" s="171">
        <f t="shared" si="52"/>
        <v>44006</v>
      </c>
      <c r="C106" s="61"/>
      <c r="D106" s="17">
        <v>38412</v>
      </c>
      <c r="E106" s="16"/>
      <c r="F106" s="16"/>
      <c r="G106" s="16"/>
      <c r="H106" s="16">
        <f t="shared" si="54"/>
        <v>2465403</v>
      </c>
      <c r="I106" s="16"/>
      <c r="J106" s="38">
        <f t="shared" si="55"/>
        <v>1.5827005538957498E-2</v>
      </c>
      <c r="K106" s="16"/>
      <c r="L106" s="16"/>
      <c r="M106" s="16"/>
      <c r="N106" s="16"/>
      <c r="O106" s="16">
        <f t="shared" si="56"/>
        <v>25416.525773195877</v>
      </c>
      <c r="P106" s="41"/>
      <c r="Q106" s="17"/>
      <c r="R106" s="16"/>
      <c r="S106" s="60"/>
      <c r="T106" s="16"/>
      <c r="U106" s="41"/>
      <c r="V106" s="10"/>
      <c r="W106" s="34">
        <v>819</v>
      </c>
      <c r="X106" s="33"/>
      <c r="Y106" s="33"/>
      <c r="Z106" s="33"/>
      <c r="AA106" s="33">
        <f t="shared" si="57"/>
        <v>126977</v>
      </c>
      <c r="AB106" s="33"/>
      <c r="AC106" s="46">
        <f t="shared" si="58"/>
        <v>5.1503547290240176E-2</v>
      </c>
      <c r="AD106" s="33"/>
      <c r="AE106" s="33">
        <f t="shared" si="59"/>
        <v>1309.0412371134021</v>
      </c>
      <c r="AF106" s="50"/>
      <c r="AG106" s="33"/>
      <c r="AH106" s="33"/>
      <c r="AI106" s="231"/>
      <c r="AJ106" s="50"/>
      <c r="AK106" s="10"/>
      <c r="AL106" s="23">
        <f t="shared" si="60"/>
        <v>20224</v>
      </c>
      <c r="AM106" s="24"/>
      <c r="AN106" s="24"/>
      <c r="AO106" s="24">
        <v>178263</v>
      </c>
      <c r="AP106" s="24">
        <v>1040605</v>
      </c>
      <c r="AQ106" s="24"/>
      <c r="AR106" s="25">
        <f t="shared" si="61"/>
        <v>1.9820047609667369E-2</v>
      </c>
      <c r="AS106" s="25"/>
      <c r="AT106" s="25"/>
      <c r="AU106" s="24"/>
      <c r="AV106" s="341">
        <f t="shared" si="62"/>
        <v>0.42208312393551883</v>
      </c>
      <c r="AW106" s="341"/>
      <c r="AX106" s="24">
        <f t="shared" si="63"/>
        <v>10727.886597938144</v>
      </c>
      <c r="AY106" s="351"/>
      <c r="AZ106" s="10"/>
      <c r="BA106" s="66">
        <f t="shared" si="64"/>
        <v>507174</v>
      </c>
      <c r="BB106" s="67"/>
      <c r="BC106" s="67">
        <f>30059864</f>
        <v>30059864</v>
      </c>
      <c r="BD106" s="67"/>
      <c r="BE106" s="67">
        <f t="shared" si="65"/>
        <v>38412</v>
      </c>
      <c r="BF106" s="67"/>
      <c r="BG106" s="156">
        <f t="shared" si="66"/>
        <v>7.5737320919447765E-2</v>
      </c>
      <c r="BH106" s="67"/>
      <c r="BI106" s="183"/>
      <c r="BJ106" s="67"/>
      <c r="BK106" s="67"/>
      <c r="BL106" s="67"/>
      <c r="BM106" s="156"/>
      <c r="BN106" s="66">
        <f t="shared" si="67"/>
        <v>309895.50515463919</v>
      </c>
      <c r="BO106" s="67"/>
      <c r="BP106" s="67">
        <f t="shared" si="68"/>
        <v>2192025</v>
      </c>
      <c r="BQ106" s="67"/>
      <c r="BR106" s="478">
        <f t="shared" si="69"/>
        <v>7.2921986606459696E-2</v>
      </c>
      <c r="BS106" s="67"/>
      <c r="BT106" s="86"/>
      <c r="BU106" s="183"/>
      <c r="BV106" s="1"/>
      <c r="BW106">
        <f t="shared" si="53"/>
        <v>97</v>
      </c>
    </row>
    <row r="107" spans="2:75" x14ac:dyDescent="0.3">
      <c r="B107" s="171">
        <f t="shared" si="52"/>
        <v>44007</v>
      </c>
      <c r="C107" s="61"/>
      <c r="D107" s="17">
        <v>40212</v>
      </c>
      <c r="E107" s="16"/>
      <c r="F107" s="16"/>
      <c r="G107" s="16"/>
      <c r="H107" s="16">
        <f t="shared" si="54"/>
        <v>2505615</v>
      </c>
      <c r="I107" s="16"/>
      <c r="J107" s="38">
        <f t="shared" si="55"/>
        <v>1.6310517996449263E-2</v>
      </c>
      <c r="K107" s="16"/>
      <c r="L107" s="16"/>
      <c r="M107" s="16"/>
      <c r="N107" s="16"/>
      <c r="O107" s="16">
        <f t="shared" si="56"/>
        <v>25567.5</v>
      </c>
      <c r="P107" s="41"/>
      <c r="Q107" s="17"/>
      <c r="R107" s="16"/>
      <c r="S107" s="60"/>
      <c r="T107" s="16"/>
      <c r="U107" s="41"/>
      <c r="V107" s="10"/>
      <c r="W107" s="34">
        <v>653</v>
      </c>
      <c r="X107" s="33"/>
      <c r="Y107" s="33"/>
      <c r="Z107" s="33"/>
      <c r="AA107" s="33">
        <f t="shared" si="57"/>
        <v>127630</v>
      </c>
      <c r="AB107" s="33"/>
      <c r="AC107" s="46">
        <f t="shared" si="58"/>
        <v>5.0937594163508758E-2</v>
      </c>
      <c r="AD107" s="33"/>
      <c r="AE107" s="33">
        <f t="shared" si="59"/>
        <v>1302.3469387755101</v>
      </c>
      <c r="AF107" s="50"/>
      <c r="AG107" s="33"/>
      <c r="AH107" s="33"/>
      <c r="AI107" s="231"/>
      <c r="AJ107" s="50"/>
      <c r="AK107" s="10"/>
      <c r="AL107" s="23">
        <f t="shared" si="60"/>
        <v>11688</v>
      </c>
      <c r="AM107" s="24"/>
      <c r="AN107" s="24"/>
      <c r="AO107" s="24">
        <v>178263</v>
      </c>
      <c r="AP107" s="24">
        <v>1052293</v>
      </c>
      <c r="AQ107" s="24"/>
      <c r="AR107" s="25">
        <f t="shared" si="61"/>
        <v>1.1231927580590138E-2</v>
      </c>
      <c r="AS107" s="25"/>
      <c r="AT107" s="25"/>
      <c r="AU107" s="24"/>
      <c r="AV107" s="341">
        <f t="shared" si="62"/>
        <v>0.41997393853405252</v>
      </c>
      <c r="AW107" s="341"/>
      <c r="AX107" s="24">
        <f t="shared" si="63"/>
        <v>10737.683673469388</v>
      </c>
      <c r="AY107" s="351"/>
      <c r="AZ107" s="10"/>
      <c r="BA107" s="66">
        <f t="shared" si="64"/>
        <v>672688</v>
      </c>
      <c r="BB107" s="67"/>
      <c r="BC107" s="67">
        <v>30732552</v>
      </c>
      <c r="BD107" s="67"/>
      <c r="BE107" s="67">
        <f t="shared" si="65"/>
        <v>40212</v>
      </c>
      <c r="BF107" s="67"/>
      <c r="BG107" s="156">
        <f t="shared" si="66"/>
        <v>5.9778084342221059E-2</v>
      </c>
      <c r="BH107" s="67"/>
      <c r="BI107" s="183"/>
      <c r="BJ107" s="67"/>
      <c r="BK107" s="67"/>
      <c r="BL107" s="67"/>
      <c r="BM107" s="156"/>
      <c r="BN107" s="66">
        <f t="shared" si="67"/>
        <v>313597.46938775509</v>
      </c>
      <c r="BO107" s="67"/>
      <c r="BP107" s="67">
        <f t="shared" si="68"/>
        <v>2232237</v>
      </c>
      <c r="BQ107" s="67"/>
      <c r="BR107" s="478">
        <f t="shared" si="69"/>
        <v>7.2634286928075484E-2</v>
      </c>
      <c r="BS107" s="67"/>
      <c r="BT107" s="86"/>
      <c r="BU107" s="183"/>
      <c r="BV107" s="1"/>
      <c r="BW107">
        <f t="shared" si="53"/>
        <v>98</v>
      </c>
    </row>
    <row r="108" spans="2:75" x14ac:dyDescent="0.3">
      <c r="B108" s="171">
        <f t="shared" si="52"/>
        <v>44008</v>
      </c>
      <c r="C108" s="61"/>
      <c r="D108" s="17">
        <v>47341</v>
      </c>
      <c r="E108" s="16"/>
      <c r="F108" s="16"/>
      <c r="G108" s="16"/>
      <c r="H108" s="16">
        <f t="shared" si="54"/>
        <v>2552956</v>
      </c>
      <c r="I108" s="16"/>
      <c r="J108" s="38">
        <f t="shared" si="55"/>
        <v>1.8893964156504493E-2</v>
      </c>
      <c r="K108" s="16"/>
      <c r="L108" s="16"/>
      <c r="M108" s="16"/>
      <c r="N108" s="16"/>
      <c r="O108" s="16">
        <f t="shared" si="56"/>
        <v>25787.434343434343</v>
      </c>
      <c r="P108" s="41"/>
      <c r="Q108" s="17"/>
      <c r="R108" s="16"/>
      <c r="S108" s="60"/>
      <c r="T108" s="16"/>
      <c r="U108" s="41"/>
      <c r="W108" s="34">
        <v>663</v>
      </c>
      <c r="X108" s="33"/>
      <c r="Y108" s="33"/>
      <c r="Z108" s="33"/>
      <c r="AA108" s="33">
        <f t="shared" si="57"/>
        <v>128293</v>
      </c>
      <c r="AB108" s="33"/>
      <c r="AC108" s="46">
        <f t="shared" si="58"/>
        <v>5.0252726643154055E-2</v>
      </c>
      <c r="AD108" s="33"/>
      <c r="AE108" s="33">
        <f t="shared" si="59"/>
        <v>1295.8888888888889</v>
      </c>
      <c r="AF108" s="50"/>
      <c r="AG108" s="33"/>
      <c r="AH108" s="33"/>
      <c r="AI108" s="231"/>
      <c r="AJ108" s="50"/>
      <c r="AK108" s="10"/>
      <c r="AL108" s="23">
        <f t="shared" si="60"/>
        <v>16410</v>
      </c>
      <c r="AM108" s="24"/>
      <c r="AN108" s="24"/>
      <c r="AO108" s="24">
        <v>178263</v>
      </c>
      <c r="AP108" s="24">
        <v>1068703</v>
      </c>
      <c r="AQ108" s="24"/>
      <c r="AR108" s="25">
        <f t="shared" si="61"/>
        <v>1.55945159760637E-2</v>
      </c>
      <c r="AS108" s="25"/>
      <c r="AT108" s="25"/>
      <c r="AU108" s="24"/>
      <c r="AV108" s="341">
        <f t="shared" si="62"/>
        <v>0.41861395182682348</v>
      </c>
      <c r="AW108" s="341"/>
      <c r="AX108" s="24">
        <f t="shared" si="63"/>
        <v>10794.979797979799</v>
      </c>
      <c r="AY108" s="351"/>
      <c r="AZ108" s="10"/>
      <c r="BA108" s="66">
        <f t="shared" si="64"/>
        <v>619948</v>
      </c>
      <c r="BB108" s="67"/>
      <c r="BC108" s="67">
        <v>31352500</v>
      </c>
      <c r="BD108" s="67"/>
      <c r="BE108" s="67">
        <f t="shared" si="65"/>
        <v>47341</v>
      </c>
      <c r="BF108" s="67"/>
      <c r="BG108" s="156">
        <f t="shared" si="66"/>
        <v>7.6362856239555577E-2</v>
      </c>
      <c r="BH108" s="67"/>
      <c r="BI108" s="183"/>
      <c r="BJ108" s="67"/>
      <c r="BK108" s="67"/>
      <c r="BL108" s="67"/>
      <c r="BM108" s="156"/>
      <c r="BN108" s="66">
        <f t="shared" si="67"/>
        <v>316691.91919191921</v>
      </c>
      <c r="BO108" s="67"/>
      <c r="BP108" s="67">
        <f t="shared" si="68"/>
        <v>2279578</v>
      </c>
      <c r="BQ108" s="67"/>
      <c r="BR108" s="478">
        <f t="shared" si="69"/>
        <v>7.2708013715014758E-2</v>
      </c>
      <c r="BS108" s="67"/>
      <c r="BT108" s="86"/>
      <c r="BU108" s="183"/>
      <c r="BV108" s="1"/>
      <c r="BW108">
        <f t="shared" si="53"/>
        <v>99</v>
      </c>
    </row>
    <row r="109" spans="2:75" x14ac:dyDescent="0.3">
      <c r="B109" s="171">
        <f t="shared" si="52"/>
        <v>44009</v>
      </c>
      <c r="C109" s="61"/>
      <c r="D109" s="17">
        <v>43581</v>
      </c>
      <c r="E109" s="16"/>
      <c r="F109" s="16"/>
      <c r="G109" s="16"/>
      <c r="H109" s="16">
        <f>+H108+D109</f>
        <v>2596537</v>
      </c>
      <c r="I109" s="16"/>
      <c r="J109" s="38">
        <f t="shared" ref="J109:J126" si="70">+D109/H108</f>
        <v>1.7070799496740251E-2</v>
      </c>
      <c r="K109" s="16"/>
      <c r="L109" s="16"/>
      <c r="M109" s="16"/>
      <c r="N109" s="16"/>
      <c r="O109" s="16">
        <f t="shared" ref="O109:O126" si="71">+H109/BW109</f>
        <v>25965.37</v>
      </c>
      <c r="P109" s="41"/>
      <c r="Q109" s="17"/>
      <c r="R109" s="16"/>
      <c r="S109" s="60"/>
      <c r="T109" s="16"/>
      <c r="U109" s="41"/>
      <c r="V109" s="10">
        <v>1</v>
      </c>
      <c r="W109" s="34">
        <v>512</v>
      </c>
      <c r="X109" s="33"/>
      <c r="Y109" s="33"/>
      <c r="Z109" s="33"/>
      <c r="AA109" s="33">
        <f t="shared" ref="AA109:AA126" si="72">+AA108+W109</f>
        <v>128805</v>
      </c>
      <c r="AB109" s="33"/>
      <c r="AC109" s="46">
        <f t="shared" ref="AC109:AC126" si="73">+AA109/H109</f>
        <v>4.9606456599694128E-2</v>
      </c>
      <c r="AD109" s="33"/>
      <c r="AE109" s="33">
        <f t="shared" ref="AE109:AE126" si="74">+AA109/BW109</f>
        <v>1288.05</v>
      </c>
      <c r="AF109" s="50"/>
      <c r="AG109" s="33"/>
      <c r="AH109" s="33"/>
      <c r="AI109" s="231"/>
      <c r="AJ109" s="50"/>
      <c r="AK109" s="10"/>
      <c r="AL109" s="23">
        <f t="shared" ref="AL109:AL126" si="75">+AP109-AP108</f>
        <v>12734</v>
      </c>
      <c r="AM109" s="24"/>
      <c r="AN109" s="24"/>
      <c r="AO109" s="24">
        <v>178263</v>
      </c>
      <c r="AP109" s="24">
        <v>1081437</v>
      </c>
      <c r="AQ109" s="24"/>
      <c r="AR109" s="504">
        <f t="shared" ref="AR109:AR126" si="76">+AL109/AP108</f>
        <v>1.1915377799070462E-2</v>
      </c>
      <c r="AS109" s="25"/>
      <c r="AT109" s="25"/>
      <c r="AU109" s="24"/>
      <c r="AV109" s="341">
        <f t="shared" ref="AV109:AV126" si="77">+AP109/H109</f>
        <v>0.41649204305580856</v>
      </c>
      <c r="AW109" s="341"/>
      <c r="AX109" s="24">
        <f t="shared" ref="AX109:AX126" si="78">+AP109/BW109</f>
        <v>10814.37</v>
      </c>
      <c r="AY109" s="351"/>
      <c r="AZ109" s="10"/>
      <c r="BA109" s="66">
        <f t="shared" ref="BA109:BA126" si="79">+BC109-BC108</f>
        <v>645524</v>
      </c>
      <c r="BB109" s="67"/>
      <c r="BC109" s="67">
        <v>31998024</v>
      </c>
      <c r="BD109" s="67"/>
      <c r="BE109" s="67">
        <f t="shared" ref="BE109:BE126" si="80">+D109</f>
        <v>43581</v>
      </c>
      <c r="BF109" s="67"/>
      <c r="BG109" s="156">
        <f t="shared" ref="BG109:BG126" si="81">+BE109/BA109</f>
        <v>6.7512594419417399E-2</v>
      </c>
      <c r="BH109" s="67"/>
      <c r="BI109" s="183"/>
      <c r="BJ109" s="67"/>
      <c r="BK109" s="67"/>
      <c r="BL109" s="67"/>
      <c r="BM109" s="156"/>
      <c r="BN109" s="66">
        <f t="shared" ref="BN109:BN126" si="82">+BC109/BW109</f>
        <v>319980.24</v>
      </c>
      <c r="BO109" s="67"/>
      <c r="BP109" s="67">
        <f t="shared" ref="BP109:BP126" si="83">+BP108+BE109</f>
        <v>2323159</v>
      </c>
      <c r="BQ109" s="67"/>
      <c r="BR109" s="478">
        <f t="shared" ref="BR109:BR126" si="84">+BP109/BC109</f>
        <v>7.2603201997723354E-2</v>
      </c>
      <c r="BS109" s="67"/>
      <c r="BT109" s="86"/>
      <c r="BU109" s="183"/>
      <c r="BV109" s="1"/>
      <c r="BW109">
        <f t="shared" si="53"/>
        <v>100</v>
      </c>
    </row>
    <row r="110" spans="2:75" x14ac:dyDescent="0.3">
      <c r="B110" s="390">
        <f t="shared" si="52"/>
        <v>44010</v>
      </c>
      <c r="C110" s="61"/>
      <c r="D110" s="17">
        <v>40540</v>
      </c>
      <c r="E110" s="16"/>
      <c r="F110" s="16"/>
      <c r="G110" s="16"/>
      <c r="H110" s="16">
        <f>+H109+D110</f>
        <v>2637077</v>
      </c>
      <c r="I110" s="16"/>
      <c r="J110" s="38">
        <f t="shared" si="70"/>
        <v>1.5613103144688483E-2</v>
      </c>
      <c r="K110" s="16"/>
      <c r="L110" s="16"/>
      <c r="M110" s="16"/>
      <c r="N110" s="16">
        <f>SUM(D104:D110)</f>
        <v>277620</v>
      </c>
      <c r="O110" s="16">
        <f t="shared" si="71"/>
        <v>26109.673267326732</v>
      </c>
      <c r="P110" s="41"/>
      <c r="Q110" s="17">
        <f>SUM(D104:D110)</f>
        <v>277620</v>
      </c>
      <c r="R110" s="16"/>
      <c r="S110" s="60">
        <f>+(Q110-Q103)/Q103</f>
        <v>0.43869158975368844</v>
      </c>
      <c r="T110" s="16"/>
      <c r="U110" s="41"/>
      <c r="V110" s="391">
        <f>+V109+1</f>
        <v>2</v>
      </c>
      <c r="W110" s="34">
        <v>285</v>
      </c>
      <c r="X110" s="33"/>
      <c r="Y110" s="33"/>
      <c r="Z110" s="33"/>
      <c r="AA110" s="33">
        <f t="shared" si="72"/>
        <v>129090</v>
      </c>
      <c r="AB110" s="33"/>
      <c r="AC110" s="46">
        <f t="shared" si="73"/>
        <v>4.8951926697627712E-2</v>
      </c>
      <c r="AD110" s="33"/>
      <c r="AE110" s="33">
        <f t="shared" si="74"/>
        <v>1278.1188118811881</v>
      </c>
      <c r="AF110" s="50"/>
      <c r="AG110" s="33">
        <f>SUM(W104:W110)</f>
        <v>4166</v>
      </c>
      <c r="AH110" s="33"/>
      <c r="AI110" s="231">
        <f>+(AG110-AG103)/AG103</f>
        <v>-5.0159598723210214E-2</v>
      </c>
      <c r="AJ110" s="50"/>
      <c r="AK110" s="391"/>
      <c r="AL110" s="23">
        <f t="shared" si="75"/>
        <v>12019</v>
      </c>
      <c r="AM110" s="24"/>
      <c r="AN110" s="24"/>
      <c r="AO110" s="24">
        <v>178263</v>
      </c>
      <c r="AP110" s="24">
        <f>1093456</f>
        <v>1093456</v>
      </c>
      <c r="AQ110" s="24"/>
      <c r="AR110" s="504">
        <f t="shared" si="76"/>
        <v>1.1113916020997988E-2</v>
      </c>
      <c r="AS110" s="25"/>
      <c r="AT110" s="25"/>
      <c r="AU110" s="24"/>
      <c r="AV110" s="341">
        <f t="shared" si="77"/>
        <v>0.41464697466171824</v>
      </c>
      <c r="AW110" s="341"/>
      <c r="AX110" s="24">
        <f t="shared" si="78"/>
        <v>10826.29702970297</v>
      </c>
      <c r="AY110" s="351"/>
      <c r="AZ110" s="391"/>
      <c r="BA110" s="66">
        <f t="shared" si="79"/>
        <v>594344</v>
      </c>
      <c r="BB110" s="67"/>
      <c r="BC110" s="67">
        <f>32592368</f>
        <v>32592368</v>
      </c>
      <c r="BD110" s="67"/>
      <c r="BE110" s="67">
        <f t="shared" si="80"/>
        <v>40540</v>
      </c>
      <c r="BF110" s="67"/>
      <c r="BG110" s="156">
        <f t="shared" si="81"/>
        <v>6.8209656360626175E-2</v>
      </c>
      <c r="BH110" s="67"/>
      <c r="BI110" s="183"/>
      <c r="BJ110" s="67"/>
      <c r="BK110" s="67">
        <f>SUM(BA104:BA110)</f>
        <v>4100378</v>
      </c>
      <c r="BL110" s="67"/>
      <c r="BM110" s="156">
        <f>+Q110/BK110</f>
        <v>6.7705952963360932E-2</v>
      </c>
      <c r="BN110" s="66">
        <f t="shared" si="82"/>
        <v>322696.71287128713</v>
      </c>
      <c r="BO110" s="67"/>
      <c r="BP110" s="67">
        <f t="shared" si="83"/>
        <v>2363699</v>
      </c>
      <c r="BQ110" s="67"/>
      <c r="BR110" s="478">
        <f t="shared" si="84"/>
        <v>7.2523082704515365E-2</v>
      </c>
      <c r="BS110" s="67"/>
      <c r="BT110" s="86"/>
      <c r="BU110" s="183"/>
      <c r="BV110" s="1"/>
      <c r="BW110">
        <f t="shared" si="53"/>
        <v>101</v>
      </c>
    </row>
    <row r="111" spans="2:75" x14ac:dyDescent="0.3">
      <c r="B111" s="171">
        <f t="shared" si="52"/>
        <v>44011</v>
      </c>
      <c r="C111" s="61"/>
      <c r="D111" s="17">
        <v>44734</v>
      </c>
      <c r="E111" s="16"/>
      <c r="F111" s="16"/>
      <c r="G111" s="16"/>
      <c r="H111" s="16">
        <f>+H110+D111</f>
        <v>2681811</v>
      </c>
      <c r="I111" s="16"/>
      <c r="J111" s="38">
        <f t="shared" si="70"/>
        <v>1.696347888211076E-2</v>
      </c>
      <c r="K111" s="16"/>
      <c r="L111" s="16"/>
      <c r="M111" s="16"/>
      <c r="N111" s="16"/>
      <c r="O111" s="16">
        <f t="shared" si="71"/>
        <v>26292.264705882353</v>
      </c>
      <c r="P111" s="41"/>
      <c r="Q111" s="17"/>
      <c r="R111" s="16"/>
      <c r="S111" s="60"/>
      <c r="T111" s="16"/>
      <c r="U111" s="41"/>
      <c r="V111" s="10">
        <f t="shared" ref="V111:V138" si="85">+V110+1</f>
        <v>3</v>
      </c>
      <c r="W111" s="34">
        <v>346</v>
      </c>
      <c r="X111" s="33"/>
      <c r="Y111" s="33"/>
      <c r="Z111" s="33"/>
      <c r="AA111" s="33">
        <f t="shared" si="72"/>
        <v>129436</v>
      </c>
      <c r="AB111" s="33"/>
      <c r="AC111" s="46">
        <f t="shared" si="73"/>
        <v>4.8264400436868964E-2</v>
      </c>
      <c r="AD111" s="33"/>
      <c r="AE111" s="33">
        <f t="shared" si="74"/>
        <v>1268.9803921568628</v>
      </c>
      <c r="AF111" s="50"/>
      <c r="AG111" s="33"/>
      <c r="AH111" s="33"/>
      <c r="AI111" s="231"/>
      <c r="AJ111" s="50"/>
      <c r="AK111" s="10"/>
      <c r="AL111" s="23">
        <f t="shared" si="75"/>
        <v>23721</v>
      </c>
      <c r="AM111" s="24"/>
      <c r="AN111" s="24"/>
      <c r="AO111" s="24">
        <v>178263</v>
      </c>
      <c r="AP111" s="24">
        <v>1117177</v>
      </c>
      <c r="AQ111" s="24"/>
      <c r="AR111" s="504">
        <f t="shared" si="76"/>
        <v>2.1693602668968848E-2</v>
      </c>
      <c r="AS111" s="25"/>
      <c r="AT111" s="25"/>
      <c r="AU111" s="24"/>
      <c r="AV111" s="341">
        <f t="shared" si="77"/>
        <v>0.41657559015158041</v>
      </c>
      <c r="AW111" s="341"/>
      <c r="AX111" s="24">
        <f t="shared" si="78"/>
        <v>10952.715686274511</v>
      </c>
      <c r="AY111" s="351"/>
      <c r="AZ111" s="10"/>
      <c r="BA111" s="66">
        <f t="shared" si="79"/>
        <v>597145</v>
      </c>
      <c r="BB111" s="67"/>
      <c r="BC111" s="67">
        <v>33189513</v>
      </c>
      <c r="BD111" s="67"/>
      <c r="BE111" s="67">
        <f t="shared" si="80"/>
        <v>44734</v>
      </c>
      <c r="BF111" s="67"/>
      <c r="BG111" s="156">
        <f t="shared" si="81"/>
        <v>7.4913128302171159E-2</v>
      </c>
      <c r="BH111" s="67"/>
      <c r="BI111" s="183"/>
      <c r="BJ111" s="67"/>
      <c r="BK111" s="67"/>
      <c r="BL111" s="67"/>
      <c r="BM111" s="156"/>
      <c r="BN111" s="66">
        <f t="shared" si="82"/>
        <v>325387.3823529412</v>
      </c>
      <c r="BO111" s="67"/>
      <c r="BP111" s="67">
        <f t="shared" si="83"/>
        <v>2408433</v>
      </c>
      <c r="BQ111" s="67"/>
      <c r="BR111" s="478">
        <f t="shared" si="84"/>
        <v>7.2566084353211213E-2</v>
      </c>
      <c r="BS111" s="67"/>
      <c r="BT111" s="86"/>
      <c r="BU111" s="183"/>
      <c r="BV111" s="1"/>
      <c r="BW111">
        <f t="shared" si="53"/>
        <v>102</v>
      </c>
    </row>
    <row r="112" spans="2:75" x14ac:dyDescent="0.3">
      <c r="B112" s="171">
        <f t="shared" si="52"/>
        <v>44012</v>
      </c>
      <c r="C112" s="61"/>
      <c r="D112" s="17">
        <v>46042</v>
      </c>
      <c r="E112" s="16"/>
      <c r="F112" s="16"/>
      <c r="G112" s="16"/>
      <c r="H112" s="16">
        <f>+H111+D112</f>
        <v>2727853</v>
      </c>
      <c r="I112" s="16"/>
      <c r="J112" s="38">
        <f t="shared" si="70"/>
        <v>1.7168249365820336E-2</v>
      </c>
      <c r="K112" s="16"/>
      <c r="L112" s="16"/>
      <c r="M112" s="16"/>
      <c r="N112" s="469">
        <f>SUM(D83:D112)</f>
        <v>869627</v>
      </c>
      <c r="O112" s="16">
        <f t="shared" si="71"/>
        <v>26484.009708737864</v>
      </c>
      <c r="P112" s="41"/>
      <c r="Q112" s="17"/>
      <c r="R112" s="16"/>
      <c r="S112" s="60"/>
      <c r="T112" s="16"/>
      <c r="U112" s="41"/>
      <c r="V112" s="10">
        <f t="shared" si="85"/>
        <v>4</v>
      </c>
      <c r="W112" s="34">
        <v>764</v>
      </c>
      <c r="X112" s="33"/>
      <c r="Y112" s="33"/>
      <c r="Z112" s="33"/>
      <c r="AA112" s="33">
        <f t="shared" si="72"/>
        <v>130200</v>
      </c>
      <c r="AB112" s="33"/>
      <c r="AC112" s="46">
        <f t="shared" si="73"/>
        <v>4.7729844680046908E-2</v>
      </c>
      <c r="AD112" s="33"/>
      <c r="AE112" s="33">
        <f t="shared" si="74"/>
        <v>1264.0776699029127</v>
      </c>
      <c r="AF112" s="50"/>
      <c r="AG112" s="33">
        <f>SUM(W82:W112)</f>
        <v>21890</v>
      </c>
      <c r="AH112" s="33"/>
      <c r="AI112" s="231"/>
      <c r="AJ112" s="50"/>
      <c r="AK112" s="10"/>
      <c r="AL112" s="23">
        <f t="shared" si="75"/>
        <v>26157</v>
      </c>
      <c r="AM112" s="24"/>
      <c r="AN112" s="24"/>
      <c r="AO112" s="24">
        <v>178263</v>
      </c>
      <c r="AP112" s="24">
        <v>1143334</v>
      </c>
      <c r="AQ112" s="24"/>
      <c r="AR112" s="504">
        <f t="shared" si="76"/>
        <v>2.3413478795213293E-2</v>
      </c>
      <c r="AS112" s="25"/>
      <c r="AT112" s="25"/>
      <c r="AU112" s="24"/>
      <c r="AV112" s="341">
        <f t="shared" si="77"/>
        <v>0.41913328907386138</v>
      </c>
      <c r="AW112" s="341"/>
      <c r="AX112" s="24">
        <f t="shared" si="78"/>
        <v>11100.330097087379</v>
      </c>
      <c r="AY112" s="351"/>
      <c r="AZ112" s="10"/>
      <c r="BA112" s="66">
        <f t="shared" si="79"/>
        <v>1008514</v>
      </c>
      <c r="BB112" s="67"/>
      <c r="BC112" s="67">
        <v>34198027</v>
      </c>
      <c r="BD112" s="67"/>
      <c r="BE112" s="67">
        <f t="shared" si="80"/>
        <v>46042</v>
      </c>
      <c r="BF112" s="67"/>
      <c r="BG112" s="156">
        <f t="shared" si="81"/>
        <v>4.5653307737919355E-2</v>
      </c>
      <c r="BH112" s="67"/>
      <c r="BI112" s="183"/>
      <c r="BJ112" s="67"/>
      <c r="BK112" s="67"/>
      <c r="BL112" s="67"/>
      <c r="BM112" s="156"/>
      <c r="BN112" s="66">
        <f t="shared" si="82"/>
        <v>332019.67961165047</v>
      </c>
      <c r="BO112" s="67"/>
      <c r="BP112" s="67">
        <f t="shared" si="83"/>
        <v>2454475</v>
      </c>
      <c r="BQ112" s="67"/>
      <c r="BR112" s="478">
        <f t="shared" si="84"/>
        <v>7.1772415408643306E-2</v>
      </c>
      <c r="BS112" s="67"/>
      <c r="BT112" s="86"/>
      <c r="BU112" s="183"/>
      <c r="BV112" s="1"/>
      <c r="BW112">
        <f t="shared" si="53"/>
        <v>103</v>
      </c>
    </row>
    <row r="113" spans="1:75" x14ac:dyDescent="0.3">
      <c r="B113" s="171">
        <f t="shared" si="52"/>
        <v>44013</v>
      </c>
      <c r="C113" s="61"/>
      <c r="D113" s="17">
        <v>51097</v>
      </c>
      <c r="E113" s="16"/>
      <c r="F113" s="16"/>
      <c r="G113" s="16"/>
      <c r="H113" s="16">
        <f>+H112+D113</f>
        <v>2778950</v>
      </c>
      <c r="I113" s="16"/>
      <c r="J113" s="38">
        <f t="shared" si="70"/>
        <v>1.8731581210571096E-2</v>
      </c>
      <c r="K113" s="16"/>
      <c r="L113" s="16"/>
      <c r="M113" s="16"/>
      <c r="N113" s="16"/>
      <c r="O113" s="16">
        <f t="shared" si="71"/>
        <v>26720.673076923078</v>
      </c>
      <c r="P113" s="41"/>
      <c r="Q113" s="17"/>
      <c r="R113" s="16"/>
      <c r="S113" s="60"/>
      <c r="T113" s="16"/>
      <c r="U113" s="41"/>
      <c r="V113" s="10">
        <f t="shared" si="85"/>
        <v>5</v>
      </c>
      <c r="W113" s="34">
        <v>676</v>
      </c>
      <c r="X113" s="33"/>
      <c r="Y113" s="33"/>
      <c r="Z113" s="33"/>
      <c r="AA113" s="33">
        <f t="shared" si="72"/>
        <v>130876</v>
      </c>
      <c r="AB113" s="33"/>
      <c r="AC113" s="46">
        <f t="shared" si="73"/>
        <v>4.7095485705032476E-2</v>
      </c>
      <c r="AD113" s="33"/>
      <c r="AE113" s="33">
        <f t="shared" si="74"/>
        <v>1258.4230769230769</v>
      </c>
      <c r="AF113" s="50"/>
      <c r="AG113" s="33"/>
      <c r="AH113" s="33">
        <f>SUM(D83:D112)</f>
        <v>869627</v>
      </c>
      <c r="AI113" s="231"/>
      <c r="AJ113" s="50"/>
      <c r="AK113" s="10"/>
      <c r="AL113" s="23">
        <f t="shared" si="75"/>
        <v>20966</v>
      </c>
      <c r="AM113" s="24"/>
      <c r="AN113" s="24"/>
      <c r="AO113" s="24">
        <v>178263</v>
      </c>
      <c r="AP113" s="24">
        <v>1164300</v>
      </c>
      <c r="AQ113" s="24"/>
      <c r="AR113" s="504">
        <f t="shared" si="76"/>
        <v>1.8337598636968724E-2</v>
      </c>
      <c r="AS113" s="25"/>
      <c r="AT113" s="25"/>
      <c r="AU113" s="24"/>
      <c r="AV113" s="341">
        <f t="shared" si="77"/>
        <v>0.41897119415606615</v>
      </c>
      <c r="AW113" s="341"/>
      <c r="AX113" s="24">
        <f t="shared" si="78"/>
        <v>11195.192307692309</v>
      </c>
      <c r="AY113" s="351"/>
      <c r="AZ113" s="10"/>
      <c r="BA113" s="66">
        <f t="shared" si="79"/>
        <v>657615</v>
      </c>
      <c r="BB113" s="67"/>
      <c r="BC113" s="67">
        <v>34855642</v>
      </c>
      <c r="BD113" s="67"/>
      <c r="BE113" s="67">
        <f t="shared" si="80"/>
        <v>51097</v>
      </c>
      <c r="BF113" s="67"/>
      <c r="BG113" s="156">
        <f t="shared" si="81"/>
        <v>7.7700478243349066E-2</v>
      </c>
      <c r="BH113" s="67"/>
      <c r="BI113" s="183"/>
      <c r="BJ113" s="67"/>
      <c r="BK113" s="67"/>
      <c r="BL113" s="67"/>
      <c r="BM113" s="156"/>
      <c r="BN113" s="66">
        <f t="shared" si="82"/>
        <v>335150.40384615387</v>
      </c>
      <c r="BO113" s="67"/>
      <c r="BP113" s="67">
        <f t="shared" si="83"/>
        <v>2505572</v>
      </c>
      <c r="BQ113" s="67"/>
      <c r="BR113" s="478">
        <f t="shared" si="84"/>
        <v>7.1884259082073423E-2</v>
      </c>
      <c r="BS113" s="67"/>
      <c r="BT113" s="86"/>
      <c r="BU113" s="183"/>
      <c r="BV113" s="1"/>
      <c r="BW113">
        <f t="shared" si="53"/>
        <v>104</v>
      </c>
    </row>
    <row r="114" spans="1:75" x14ac:dyDescent="0.3">
      <c r="B114" s="171">
        <f t="shared" si="52"/>
        <v>44014</v>
      </c>
      <c r="C114" s="61"/>
      <c r="D114" s="17">
        <f>57232+2643</f>
        <v>59875</v>
      </c>
      <c r="E114" s="16"/>
      <c r="F114" s="16"/>
      <c r="G114" s="16"/>
      <c r="H114" s="16">
        <f>+H113+D114+2141+4101+9611-5628+30786</f>
        <v>2879836</v>
      </c>
      <c r="I114" s="505" t="s">
        <v>149</v>
      </c>
      <c r="J114" s="38">
        <f t="shared" si="70"/>
        <v>2.1545907626981414E-2</v>
      </c>
      <c r="K114" s="16"/>
      <c r="L114" s="16"/>
      <c r="M114" s="16"/>
      <c r="N114" s="16"/>
      <c r="O114" s="16">
        <f t="shared" si="71"/>
        <v>27427.009523809524</v>
      </c>
      <c r="P114" s="41"/>
      <c r="Q114" s="17"/>
      <c r="R114" s="16"/>
      <c r="S114" s="60"/>
      <c r="T114" s="16"/>
      <c r="U114" s="41"/>
      <c r="V114" s="10">
        <f t="shared" si="85"/>
        <v>6</v>
      </c>
      <c r="W114" s="34">
        <f>604-30-21</f>
        <v>553</v>
      </c>
      <c r="X114" s="33"/>
      <c r="Y114" s="33"/>
      <c r="Z114" s="533" t="s">
        <v>149</v>
      </c>
      <c r="AA114" s="33">
        <f>+AA113+W114+670+642-57-19+91</f>
        <v>132756</v>
      </c>
      <c r="AB114" s="33"/>
      <c r="AC114" s="46">
        <f t="shared" si="73"/>
        <v>4.6098458384435784E-2</v>
      </c>
      <c r="AD114" s="33"/>
      <c r="AE114" s="33">
        <f t="shared" si="74"/>
        <v>1264.3428571428572</v>
      </c>
      <c r="AF114" s="50"/>
      <c r="AG114" s="33"/>
      <c r="AH114" s="33">
        <f>SUM(W83:W112)</f>
        <v>21252</v>
      </c>
      <c r="AI114" s="231"/>
      <c r="AJ114" s="50"/>
      <c r="AK114" s="10"/>
      <c r="AL114" s="23">
        <f t="shared" si="75"/>
        <v>20879</v>
      </c>
      <c r="AM114" s="24"/>
      <c r="AN114" s="24"/>
      <c r="AO114" s="24">
        <v>178263</v>
      </c>
      <c r="AP114" s="24">
        <v>1185179</v>
      </c>
      <c r="AQ114" s="24"/>
      <c r="AR114" s="504">
        <f t="shared" si="76"/>
        <v>1.7932663402903032E-2</v>
      </c>
      <c r="AS114" s="25"/>
      <c r="AT114" s="25"/>
      <c r="AU114" s="24"/>
      <c r="AV114" s="341">
        <f t="shared" si="77"/>
        <v>0.41154392125107125</v>
      </c>
      <c r="AW114" s="341"/>
      <c r="AX114" s="24">
        <f t="shared" si="78"/>
        <v>11287.419047619047</v>
      </c>
      <c r="AY114" s="351"/>
      <c r="AZ114" s="10"/>
      <c r="BA114" s="66">
        <f t="shared" si="79"/>
        <v>682358</v>
      </c>
      <c r="BB114" s="67"/>
      <c r="BC114" s="67">
        <v>35538000</v>
      </c>
      <c r="BD114" s="67"/>
      <c r="BE114" s="67">
        <f t="shared" si="80"/>
        <v>59875</v>
      </c>
      <c r="BF114" s="67"/>
      <c r="BG114" s="156">
        <f t="shared" si="81"/>
        <v>8.7747194288042341E-2</v>
      </c>
      <c r="BH114" s="67"/>
      <c r="BI114" s="183"/>
      <c r="BJ114" s="67"/>
      <c r="BK114" s="67"/>
      <c r="BL114" s="67"/>
      <c r="BM114" s="156"/>
      <c r="BN114" s="66">
        <f t="shared" si="82"/>
        <v>338457.14285714284</v>
      </c>
      <c r="BO114" s="67"/>
      <c r="BP114" s="67">
        <f t="shared" si="83"/>
        <v>2565447</v>
      </c>
      <c r="BQ114" s="67"/>
      <c r="BR114" s="478">
        <f t="shared" si="84"/>
        <v>7.2188840114806682E-2</v>
      </c>
      <c r="BS114" s="67"/>
      <c r="BT114" s="86"/>
      <c r="BU114" s="183"/>
      <c r="BV114" s="1"/>
      <c r="BW114">
        <f t="shared" si="53"/>
        <v>105</v>
      </c>
    </row>
    <row r="115" spans="1:75" x14ac:dyDescent="0.3">
      <c r="B115" s="171">
        <f t="shared" si="52"/>
        <v>44015</v>
      </c>
      <c r="C115" s="61"/>
      <c r="D115" s="17">
        <f>54904+3187</f>
        <v>58091</v>
      </c>
      <c r="E115" s="16"/>
      <c r="F115" s="16"/>
      <c r="G115" s="16"/>
      <c r="H115" s="16">
        <f t="shared" ref="H115:H126" si="86">+H114+D115</f>
        <v>2937927</v>
      </c>
      <c r="I115" s="505" t="s">
        <v>149</v>
      </c>
      <c r="J115" s="38">
        <f t="shared" si="70"/>
        <v>2.0171634773646831E-2</v>
      </c>
      <c r="K115" s="16"/>
      <c r="L115" s="16"/>
      <c r="M115" s="16"/>
      <c r="N115" s="16"/>
      <c r="O115" s="16">
        <f t="shared" si="71"/>
        <v>27716.292452830188</v>
      </c>
      <c r="P115" s="41"/>
      <c r="Q115" s="17"/>
      <c r="R115" s="16"/>
      <c r="S115" s="60"/>
      <c r="T115" s="16"/>
      <c r="U115" s="41"/>
      <c r="V115" s="10">
        <f t="shared" si="85"/>
        <v>7</v>
      </c>
      <c r="W115" s="34">
        <v>616</v>
      </c>
      <c r="X115" s="33"/>
      <c r="Y115" s="33"/>
      <c r="Z115" s="33"/>
      <c r="AA115" s="33">
        <f t="shared" si="72"/>
        <v>133372</v>
      </c>
      <c r="AB115" s="33"/>
      <c r="AC115" s="46">
        <f t="shared" si="73"/>
        <v>4.5396635110402678E-2</v>
      </c>
      <c r="AD115" s="33"/>
      <c r="AE115" s="33">
        <f t="shared" si="74"/>
        <v>1258.2264150943397</v>
      </c>
      <c r="AF115" s="50"/>
      <c r="AG115" s="33"/>
      <c r="AH115" s="231">
        <f>+AH114/AH113</f>
        <v>2.4438063675575852E-2</v>
      </c>
      <c r="AI115" s="231"/>
      <c r="AJ115" s="50"/>
      <c r="AK115" s="10"/>
      <c r="AL115" s="23">
        <f t="shared" si="75"/>
        <v>50309</v>
      </c>
      <c r="AM115" s="24"/>
      <c r="AN115" s="24"/>
      <c r="AO115" s="24">
        <v>178263</v>
      </c>
      <c r="AP115" s="24">
        <v>1235488</v>
      </c>
      <c r="AQ115" s="24"/>
      <c r="AR115" s="504">
        <f t="shared" si="76"/>
        <v>4.2448440277797699E-2</v>
      </c>
      <c r="AS115" s="25"/>
      <c r="AT115" s="25"/>
      <c r="AU115" s="24"/>
      <c r="AV115" s="341">
        <f t="shared" si="77"/>
        <v>0.42053053054075201</v>
      </c>
      <c r="AW115" s="341"/>
      <c r="AX115" s="24">
        <f t="shared" si="78"/>
        <v>11655.547169811322</v>
      </c>
      <c r="AY115" s="351"/>
      <c r="AZ115" s="10"/>
      <c r="BA115" s="66">
        <f t="shared" si="79"/>
        <v>759195</v>
      </c>
      <c r="BB115" s="67"/>
      <c r="BC115" s="67">
        <v>36297195</v>
      </c>
      <c r="BD115" s="67"/>
      <c r="BE115" s="67">
        <f t="shared" si="80"/>
        <v>58091</v>
      </c>
      <c r="BF115" s="67"/>
      <c r="BG115" s="156">
        <f t="shared" si="81"/>
        <v>7.6516573475852709E-2</v>
      </c>
      <c r="BH115" s="67"/>
      <c r="BI115" s="183"/>
      <c r="BJ115" s="67"/>
      <c r="BK115" s="67"/>
      <c r="BL115" s="67"/>
      <c r="BM115" s="156"/>
      <c r="BN115" s="66">
        <f t="shared" si="82"/>
        <v>342426.36792452831</v>
      </c>
      <c r="BO115" s="67"/>
      <c r="BP115" s="67">
        <f t="shared" si="83"/>
        <v>2623538</v>
      </c>
      <c r="BQ115" s="67"/>
      <c r="BR115" s="478">
        <f t="shared" si="84"/>
        <v>7.2279359327903983E-2</v>
      </c>
      <c r="BS115" s="67"/>
      <c r="BT115" s="86"/>
      <c r="BU115" s="183"/>
      <c r="BV115" s="1"/>
      <c r="BW115">
        <f t="shared" si="53"/>
        <v>106</v>
      </c>
    </row>
    <row r="116" spans="1:75" x14ac:dyDescent="0.3">
      <c r="B116" s="171">
        <f t="shared" si="52"/>
        <v>44016</v>
      </c>
      <c r="C116" s="61"/>
      <c r="D116" s="17">
        <f>45182+1402</f>
        <v>46584</v>
      </c>
      <c r="E116" s="16"/>
      <c r="F116" s="16"/>
      <c r="G116" s="16"/>
      <c r="H116" s="16">
        <f>+H115+D116+2919+25339</f>
        <v>3012769</v>
      </c>
      <c r="I116" s="505" t="s">
        <v>149</v>
      </c>
      <c r="J116" s="38">
        <f t="shared" si="70"/>
        <v>1.5856078112219944E-2</v>
      </c>
      <c r="K116" s="16"/>
      <c r="L116" s="16"/>
      <c r="M116" s="16"/>
      <c r="N116" s="16"/>
      <c r="O116" s="16">
        <f t="shared" si="71"/>
        <v>28156.719626168226</v>
      </c>
      <c r="P116" s="41"/>
      <c r="Q116" s="17"/>
      <c r="R116" s="16"/>
      <c r="S116" s="60"/>
      <c r="T116" s="16"/>
      <c r="U116" s="41"/>
      <c r="V116" s="10">
        <f t="shared" si="85"/>
        <v>8</v>
      </c>
      <c r="W116" s="34">
        <v>254</v>
      </c>
      <c r="X116" s="33"/>
      <c r="Y116" s="33"/>
      <c r="Z116" s="33"/>
      <c r="AA116" s="33">
        <f t="shared" si="72"/>
        <v>133626</v>
      </c>
      <c r="AB116" s="33"/>
      <c r="AC116" s="46">
        <f t="shared" si="73"/>
        <v>4.4353217920125969E-2</v>
      </c>
      <c r="AD116" s="33"/>
      <c r="AE116" s="33">
        <f t="shared" si="74"/>
        <v>1248.8411214953271</v>
      </c>
      <c r="AF116" s="50"/>
      <c r="AG116" s="33"/>
      <c r="AH116" s="33"/>
      <c r="AI116" s="231"/>
      <c r="AJ116" s="50"/>
      <c r="AK116" s="10"/>
      <c r="AL116" s="23">
        <f t="shared" si="75"/>
        <v>24917</v>
      </c>
      <c r="AM116" s="24"/>
      <c r="AN116" s="24"/>
      <c r="AO116" s="24">
        <v>178263</v>
      </c>
      <c r="AP116" s="24">
        <v>1260405</v>
      </c>
      <c r="AQ116" s="24"/>
      <c r="AR116" s="504">
        <f t="shared" si="76"/>
        <v>2.0167739387189517E-2</v>
      </c>
      <c r="AS116" s="25"/>
      <c r="AT116" s="25"/>
      <c r="AU116" s="24"/>
      <c r="AV116" s="341">
        <f t="shared" si="77"/>
        <v>0.41835434445853631</v>
      </c>
      <c r="AW116" s="341"/>
      <c r="AX116" s="24">
        <f t="shared" si="78"/>
        <v>11779.485981308411</v>
      </c>
      <c r="AY116" s="351"/>
      <c r="AZ116" s="10"/>
      <c r="BA116" s="66">
        <f t="shared" si="79"/>
        <v>656438</v>
      </c>
      <c r="BB116" s="67"/>
      <c r="BC116" s="67">
        <v>36953633</v>
      </c>
      <c r="BD116" s="67"/>
      <c r="BE116" s="67">
        <f t="shared" si="80"/>
        <v>46584</v>
      </c>
      <c r="BF116" s="67"/>
      <c r="BG116" s="156">
        <f t="shared" si="81"/>
        <v>7.0964813127820145E-2</v>
      </c>
      <c r="BH116" s="67"/>
      <c r="BI116" s="183"/>
      <c r="BJ116" s="67"/>
      <c r="BK116" s="67"/>
      <c r="BL116" s="67"/>
      <c r="BM116" s="156"/>
      <c r="BN116" s="66">
        <f t="shared" si="82"/>
        <v>345361.05607476638</v>
      </c>
      <c r="BO116" s="67"/>
      <c r="BP116" s="67">
        <f t="shared" si="83"/>
        <v>2670122</v>
      </c>
      <c r="BQ116" s="67"/>
      <c r="BR116" s="478">
        <f t="shared" si="84"/>
        <v>7.2256007954617077E-2</v>
      </c>
      <c r="BS116" s="67"/>
      <c r="BT116" s="86"/>
      <c r="BU116" s="183"/>
      <c r="BV116" s="1"/>
      <c r="BW116">
        <f t="shared" si="53"/>
        <v>107</v>
      </c>
    </row>
    <row r="117" spans="1:75" x14ac:dyDescent="0.3">
      <c r="B117" s="390">
        <f t="shared" si="52"/>
        <v>44017</v>
      </c>
      <c r="C117" s="61"/>
      <c r="D117" s="17">
        <v>44530</v>
      </c>
      <c r="E117" s="16"/>
      <c r="F117" s="16"/>
      <c r="G117" s="16"/>
      <c r="H117" s="16">
        <f t="shared" si="86"/>
        <v>3057299</v>
      </c>
      <c r="I117" s="16"/>
      <c r="J117" s="38">
        <f t="shared" si="70"/>
        <v>1.4780422926550293E-2</v>
      </c>
      <c r="K117" s="16"/>
      <c r="L117" s="16"/>
      <c r="M117" s="16"/>
      <c r="N117" s="16">
        <f>SUM(D111:D117)</f>
        <v>350953</v>
      </c>
      <c r="O117" s="16">
        <f t="shared" si="71"/>
        <v>28308.324074074073</v>
      </c>
      <c r="P117" s="41"/>
      <c r="Q117" s="17">
        <f t="shared" ref="Q117:Q126" si="87">SUM(D111:D117)</f>
        <v>350953</v>
      </c>
      <c r="R117" s="16"/>
      <c r="S117" s="60">
        <f>+(Q117-Q110)/Q110</f>
        <v>0.26414883653915422</v>
      </c>
      <c r="T117" s="16"/>
      <c r="U117" s="41"/>
      <c r="V117" s="391">
        <f t="shared" si="85"/>
        <v>9</v>
      </c>
      <c r="W117" s="34">
        <v>251</v>
      </c>
      <c r="X117" s="33"/>
      <c r="Y117" s="33"/>
      <c r="Z117" s="33"/>
      <c r="AA117" s="33">
        <f t="shared" si="72"/>
        <v>133877</v>
      </c>
      <c r="AB117" s="33"/>
      <c r="AC117" s="46">
        <f t="shared" si="73"/>
        <v>4.3789305527526093E-2</v>
      </c>
      <c r="AD117" s="33"/>
      <c r="AE117" s="33">
        <f t="shared" si="74"/>
        <v>1239.601851851852</v>
      </c>
      <c r="AF117" s="50"/>
      <c r="AG117" s="33">
        <f>SUM(W111:W117)</f>
        <v>3460</v>
      </c>
      <c r="AH117" s="33"/>
      <c r="AI117" s="231">
        <f>+(AG117-AG110)/AG110</f>
        <v>-0.16946711473835813</v>
      </c>
      <c r="AJ117" s="50"/>
      <c r="AK117" s="391"/>
      <c r="AL117" s="23">
        <f t="shared" si="75"/>
        <v>25154</v>
      </c>
      <c r="AM117" s="24"/>
      <c r="AN117" s="24"/>
      <c r="AO117" s="24">
        <v>178263</v>
      </c>
      <c r="AP117" s="24">
        <v>1285559</v>
      </c>
      <c r="AQ117" s="24"/>
      <c r="AR117" s="504">
        <f t="shared" si="76"/>
        <v>1.9957077288649282E-2</v>
      </c>
      <c r="AS117" s="25"/>
      <c r="AT117" s="25"/>
      <c r="AU117" s="24"/>
      <c r="AV117" s="341">
        <f t="shared" si="77"/>
        <v>0.42048847692031432</v>
      </c>
      <c r="AW117" s="341"/>
      <c r="AX117" s="24">
        <f t="shared" si="78"/>
        <v>11903.324074074075</v>
      </c>
      <c r="AY117" s="351"/>
      <c r="AZ117" s="391"/>
      <c r="BA117" s="66">
        <f t="shared" si="79"/>
        <v>633176</v>
      </c>
      <c r="BB117" s="67"/>
      <c r="BC117" s="67">
        <v>37586809</v>
      </c>
      <c r="BD117" s="67"/>
      <c r="BE117" s="67">
        <f t="shared" si="80"/>
        <v>44530</v>
      </c>
      <c r="BF117" s="67"/>
      <c r="BG117" s="156">
        <f t="shared" si="81"/>
        <v>7.0327997270900985E-2</v>
      </c>
      <c r="BH117" s="67"/>
      <c r="BI117" s="183"/>
      <c r="BJ117" s="67"/>
      <c r="BK117" s="67">
        <f>SUM(BA111:BA117)</f>
        <v>4994441</v>
      </c>
      <c r="BL117" s="67"/>
      <c r="BM117" s="156">
        <f>+Q117/BK117</f>
        <v>7.0268724768197288E-2</v>
      </c>
      <c r="BN117" s="66">
        <f t="shared" si="82"/>
        <v>348026.00925925927</v>
      </c>
      <c r="BO117" s="67"/>
      <c r="BP117" s="67">
        <f t="shared" si="83"/>
        <v>2714652</v>
      </c>
      <c r="BQ117" s="67"/>
      <c r="BR117" s="478">
        <f t="shared" si="84"/>
        <v>7.2223529270601286E-2</v>
      </c>
      <c r="BS117" s="67"/>
      <c r="BT117" s="86"/>
      <c r="BU117" s="183"/>
      <c r="BV117" s="1"/>
      <c r="BW117" s="472">
        <f t="shared" si="53"/>
        <v>108</v>
      </c>
    </row>
    <row r="118" spans="1:75" x14ac:dyDescent="0.3">
      <c r="B118" s="171">
        <f t="shared" si="52"/>
        <v>44018</v>
      </c>
      <c r="C118" s="61"/>
      <c r="D118" s="17">
        <f>50586+3026</f>
        <v>53612</v>
      </c>
      <c r="E118" s="16"/>
      <c r="F118" s="16"/>
      <c r="G118" s="16"/>
      <c r="H118" s="16">
        <f t="shared" si="86"/>
        <v>3110911</v>
      </c>
      <c r="I118" s="16"/>
      <c r="J118" s="38">
        <f t="shared" si="70"/>
        <v>1.7535739880201445E-2</v>
      </c>
      <c r="K118" s="16"/>
      <c r="L118" s="16"/>
      <c r="M118" s="16"/>
      <c r="N118" s="16"/>
      <c r="O118" s="16">
        <f t="shared" si="71"/>
        <v>28540.467889908257</v>
      </c>
      <c r="P118" s="41"/>
      <c r="Q118" s="17">
        <f t="shared" si="87"/>
        <v>359831</v>
      </c>
      <c r="R118" s="16"/>
      <c r="S118" s="60"/>
      <c r="T118" s="16"/>
      <c r="U118" s="41"/>
      <c r="V118" s="10">
        <f t="shared" si="85"/>
        <v>10</v>
      </c>
      <c r="W118" s="34">
        <v>378</v>
      </c>
      <c r="X118" s="33"/>
      <c r="Y118" s="33"/>
      <c r="Z118" s="33"/>
      <c r="AA118" s="33">
        <f t="shared" si="72"/>
        <v>134255</v>
      </c>
      <c r="AB118" s="33"/>
      <c r="AC118" s="46">
        <f t="shared" si="73"/>
        <v>4.3156168723566826E-2</v>
      </c>
      <c r="AD118" s="33"/>
      <c r="AE118" s="33">
        <f t="shared" si="74"/>
        <v>1231.6972477064221</v>
      </c>
      <c r="AF118" s="50"/>
      <c r="AG118" s="33"/>
      <c r="AH118" s="33"/>
      <c r="AI118" s="231"/>
      <c r="AJ118" s="50"/>
      <c r="AK118" s="10"/>
      <c r="AL118" s="23">
        <f t="shared" si="75"/>
        <v>39388</v>
      </c>
      <c r="AM118" s="24"/>
      <c r="AN118" s="24"/>
      <c r="AO118" s="24">
        <v>178263</v>
      </c>
      <c r="AP118" s="24">
        <v>1324947</v>
      </c>
      <c r="AQ118" s="24"/>
      <c r="AR118" s="504">
        <f t="shared" si="76"/>
        <v>3.0638811598689752E-2</v>
      </c>
      <c r="AS118" s="25"/>
      <c r="AT118" s="25"/>
      <c r="AU118" s="24"/>
      <c r="AV118" s="341">
        <f t="shared" si="77"/>
        <v>0.42590321613186621</v>
      </c>
      <c r="AW118" s="341"/>
      <c r="AX118" s="24">
        <f t="shared" si="78"/>
        <v>12155.477064220184</v>
      </c>
      <c r="AY118" s="351"/>
      <c r="AZ118" s="10"/>
      <c r="BA118" s="66">
        <f t="shared" si="79"/>
        <v>630831</v>
      </c>
      <c r="BB118" s="67"/>
      <c r="BC118" s="67">
        <v>38217640</v>
      </c>
      <c r="BD118" s="67"/>
      <c r="BE118" s="67">
        <f t="shared" si="80"/>
        <v>53612</v>
      </c>
      <c r="BF118" s="67"/>
      <c r="BG118" s="156">
        <f t="shared" si="81"/>
        <v>8.4986311706304857E-2</v>
      </c>
      <c r="BH118" s="67"/>
      <c r="BI118" s="183"/>
      <c r="BJ118" s="67"/>
      <c r="BK118" s="67"/>
      <c r="BL118" s="67"/>
      <c r="BM118" s="156"/>
      <c r="BN118" s="66">
        <f t="shared" si="82"/>
        <v>350620.55045871559</v>
      </c>
      <c r="BO118" s="67"/>
      <c r="BP118" s="67">
        <f t="shared" si="83"/>
        <v>2768264</v>
      </c>
      <c r="BQ118" s="67"/>
      <c r="BR118" s="478">
        <f t="shared" si="84"/>
        <v>7.2434195308763175E-2</v>
      </c>
      <c r="BS118" s="67"/>
      <c r="BT118" s="86"/>
      <c r="BU118" s="183"/>
      <c r="BV118" s="1"/>
      <c r="BW118">
        <f t="shared" si="53"/>
        <v>109</v>
      </c>
    </row>
    <row r="119" spans="1:75" x14ac:dyDescent="0.3">
      <c r="B119" s="171">
        <f t="shared" si="52"/>
        <v>44019</v>
      </c>
      <c r="C119" s="61"/>
      <c r="D119" s="17">
        <v>55442</v>
      </c>
      <c r="E119" s="16"/>
      <c r="F119" s="16"/>
      <c r="G119" s="16"/>
      <c r="H119" s="16">
        <f t="shared" si="86"/>
        <v>3166353</v>
      </c>
      <c r="I119" s="16"/>
      <c r="J119" s="38">
        <f t="shared" si="70"/>
        <v>1.782178918008262E-2</v>
      </c>
      <c r="K119" s="16"/>
      <c r="L119" s="16"/>
      <c r="M119" s="16"/>
      <c r="N119" s="16"/>
      <c r="O119" s="16">
        <f t="shared" si="71"/>
        <v>28785.027272727271</v>
      </c>
      <c r="P119" s="41"/>
      <c r="Q119" s="17">
        <f t="shared" si="87"/>
        <v>369231</v>
      </c>
      <c r="R119" s="16"/>
      <c r="S119" s="60"/>
      <c r="T119" s="16"/>
      <c r="U119" s="41"/>
      <c r="V119" s="10">
        <f t="shared" si="85"/>
        <v>11</v>
      </c>
      <c r="W119" s="34">
        <v>993</v>
      </c>
      <c r="X119" s="33"/>
      <c r="Y119" s="33"/>
      <c r="Z119" s="33"/>
      <c r="AA119" s="33">
        <f t="shared" si="72"/>
        <v>135248</v>
      </c>
      <c r="AB119" s="33"/>
      <c r="AC119" s="46">
        <f t="shared" si="73"/>
        <v>4.2714125683396637E-2</v>
      </c>
      <c r="AD119" s="33"/>
      <c r="AE119" s="33">
        <f t="shared" si="74"/>
        <v>1229.5272727272727</v>
      </c>
      <c r="AF119" s="50"/>
      <c r="AG119" s="33"/>
      <c r="AH119" s="33"/>
      <c r="AI119" s="231"/>
      <c r="AJ119" s="50"/>
      <c r="AK119" s="10"/>
      <c r="AL119" s="23">
        <f t="shared" si="75"/>
        <v>29916</v>
      </c>
      <c r="AM119" s="24"/>
      <c r="AN119" s="24"/>
      <c r="AO119" s="24">
        <v>178263</v>
      </c>
      <c r="AP119" s="24">
        <v>1354863</v>
      </c>
      <c r="AQ119" s="24"/>
      <c r="AR119" s="504">
        <f t="shared" si="76"/>
        <v>2.2579016368201896E-2</v>
      </c>
      <c r="AS119" s="25"/>
      <c r="AT119" s="25"/>
      <c r="AU119" s="24"/>
      <c r="AV119" s="341">
        <f t="shared" si="77"/>
        <v>0.42789385769685184</v>
      </c>
      <c r="AW119" s="341"/>
      <c r="AX119" s="24">
        <f t="shared" si="78"/>
        <v>12316.936363636363</v>
      </c>
      <c r="AY119" s="351"/>
      <c r="AZ119" s="10"/>
      <c r="BA119" s="66">
        <f t="shared" si="79"/>
        <v>583951</v>
      </c>
      <c r="BB119" s="67"/>
      <c r="BC119" s="67">
        <v>38801591</v>
      </c>
      <c r="BD119" s="67"/>
      <c r="BE119" s="67">
        <f t="shared" si="80"/>
        <v>55442</v>
      </c>
      <c r="BF119" s="67"/>
      <c r="BG119" s="156">
        <f t="shared" si="81"/>
        <v>9.4942897606134766E-2</v>
      </c>
      <c r="BH119" s="67"/>
      <c r="BI119" s="183"/>
      <c r="BJ119" s="67"/>
      <c r="BK119" s="67"/>
      <c r="BL119" s="67"/>
      <c r="BM119" s="156"/>
      <c r="BN119" s="66">
        <f t="shared" si="82"/>
        <v>352741.73636363639</v>
      </c>
      <c r="BO119" s="67"/>
      <c r="BP119" s="67">
        <f t="shared" si="83"/>
        <v>2823706</v>
      </c>
      <c r="BQ119" s="67"/>
      <c r="BR119" s="478">
        <f t="shared" si="84"/>
        <v>7.2772943769238735E-2</v>
      </c>
      <c r="BS119" s="67"/>
      <c r="BT119" s="86"/>
      <c r="BU119" s="183"/>
      <c r="BV119" s="1"/>
      <c r="BW119">
        <f t="shared" si="53"/>
        <v>110</v>
      </c>
    </row>
    <row r="120" spans="1:75" x14ac:dyDescent="0.3">
      <c r="B120" s="171">
        <f t="shared" si="52"/>
        <v>44020</v>
      </c>
      <c r="C120" s="61"/>
      <c r="D120" s="17">
        <v>61848</v>
      </c>
      <c r="E120" s="16"/>
      <c r="F120" s="16"/>
      <c r="G120" s="16"/>
      <c r="H120" s="16">
        <f t="shared" si="86"/>
        <v>3228201</v>
      </c>
      <c r="I120" s="16"/>
      <c r="J120" s="38">
        <f t="shared" si="70"/>
        <v>1.9532882151800511E-2</v>
      </c>
      <c r="K120" s="16"/>
      <c r="L120" s="16"/>
      <c r="M120" s="16"/>
      <c r="N120" s="16"/>
      <c r="O120" s="16">
        <f t="shared" si="71"/>
        <v>29082.891891891893</v>
      </c>
      <c r="P120" s="41"/>
      <c r="Q120" s="17">
        <f t="shared" si="87"/>
        <v>379982</v>
      </c>
      <c r="R120" s="16"/>
      <c r="S120" s="60"/>
      <c r="T120" s="16"/>
      <c r="U120" s="41"/>
      <c r="V120" s="10">
        <f t="shared" si="85"/>
        <v>12</v>
      </c>
      <c r="W120" s="34">
        <v>890</v>
      </c>
      <c r="X120" s="33"/>
      <c r="Y120" s="33"/>
      <c r="Z120" s="33"/>
      <c r="AA120" s="33">
        <f t="shared" si="72"/>
        <v>136138</v>
      </c>
      <c r="AB120" s="33"/>
      <c r="AC120" s="46">
        <f t="shared" si="73"/>
        <v>4.2171475691879158E-2</v>
      </c>
      <c r="AD120" s="33"/>
      <c r="AE120" s="33">
        <f t="shared" si="74"/>
        <v>1226.4684684684685</v>
      </c>
      <c r="AF120" s="50"/>
      <c r="AG120" s="33"/>
      <c r="AH120" s="33"/>
      <c r="AI120" s="231"/>
      <c r="AJ120" s="50"/>
      <c r="AK120" s="10"/>
      <c r="AL120" s="23">
        <f t="shared" si="75"/>
        <v>37816</v>
      </c>
      <c r="AM120" s="24"/>
      <c r="AN120" s="24"/>
      <c r="AO120" s="24">
        <v>178263</v>
      </c>
      <c r="AP120" s="24">
        <v>1392679</v>
      </c>
      <c r="AQ120" s="24"/>
      <c r="AR120" s="504">
        <f t="shared" si="76"/>
        <v>2.7911309113910411E-2</v>
      </c>
      <c r="AS120" s="25"/>
      <c r="AT120" s="25"/>
      <c r="AU120" s="24"/>
      <c r="AV120" s="341">
        <f t="shared" si="77"/>
        <v>0.43141024985742832</v>
      </c>
      <c r="AW120" s="341"/>
      <c r="AX120" s="24">
        <f t="shared" si="78"/>
        <v>12546.657657657657</v>
      </c>
      <c r="AY120" s="351"/>
      <c r="AZ120" s="10"/>
      <c r="BA120" s="66">
        <f t="shared" si="79"/>
        <v>677846</v>
      </c>
      <c r="BB120" s="67"/>
      <c r="BC120" s="67">
        <v>39479437</v>
      </c>
      <c r="BD120" s="67"/>
      <c r="BE120" s="67">
        <f t="shared" si="80"/>
        <v>61848</v>
      </c>
      <c r="BF120" s="67"/>
      <c r="BG120" s="156">
        <f t="shared" si="81"/>
        <v>9.1241963513836483E-2</v>
      </c>
      <c r="BH120" s="67"/>
      <c r="BI120" s="183"/>
      <c r="BJ120" s="67"/>
      <c r="BK120" s="67"/>
      <c r="BL120" s="67"/>
      <c r="BM120" s="156"/>
      <c r="BN120" s="66">
        <f t="shared" si="82"/>
        <v>355670.60360360361</v>
      </c>
      <c r="BO120" s="67"/>
      <c r="BP120" s="67">
        <f t="shared" si="83"/>
        <v>2885554</v>
      </c>
      <c r="BQ120" s="67"/>
      <c r="BR120" s="478">
        <f t="shared" si="84"/>
        <v>7.3090049384442843E-2</v>
      </c>
      <c r="BS120" s="67"/>
      <c r="BT120" s="86"/>
      <c r="BU120" s="183"/>
      <c r="BV120" s="1"/>
      <c r="BW120">
        <f t="shared" si="53"/>
        <v>111</v>
      </c>
    </row>
    <row r="121" spans="1:75" x14ac:dyDescent="0.3">
      <c r="B121" s="171">
        <f t="shared" si="52"/>
        <v>44021</v>
      </c>
      <c r="C121" s="61"/>
      <c r="D121" s="17">
        <v>61067</v>
      </c>
      <c r="E121" s="16"/>
      <c r="F121" s="16"/>
      <c r="G121" s="16"/>
      <c r="H121" s="16">
        <f t="shared" si="86"/>
        <v>3289268</v>
      </c>
      <c r="I121" s="16"/>
      <c r="J121" s="38">
        <f t="shared" si="70"/>
        <v>1.8916727923694962E-2</v>
      </c>
      <c r="K121" s="16"/>
      <c r="L121" s="16"/>
      <c r="M121" s="16"/>
      <c r="N121" s="16"/>
      <c r="O121" s="16">
        <f t="shared" si="71"/>
        <v>29368.464285714286</v>
      </c>
      <c r="P121" s="41"/>
      <c r="Q121" s="17">
        <f t="shared" si="87"/>
        <v>381174</v>
      </c>
      <c r="R121" s="16"/>
      <c r="S121" s="60"/>
      <c r="T121" s="16"/>
      <c r="U121" s="41"/>
      <c r="V121" s="10">
        <f t="shared" si="85"/>
        <v>13</v>
      </c>
      <c r="W121" s="34">
        <v>960</v>
      </c>
      <c r="X121" s="33"/>
      <c r="Y121" s="33"/>
      <c r="Z121" s="33"/>
      <c r="AA121" s="33">
        <f t="shared" si="72"/>
        <v>137098</v>
      </c>
      <c r="AB121" s="33"/>
      <c r="AC121" s="46">
        <f t="shared" si="73"/>
        <v>4.1680398191938146E-2</v>
      </c>
      <c r="AD121" s="33"/>
      <c r="AE121" s="33">
        <f t="shared" si="74"/>
        <v>1224.0892857142858</v>
      </c>
      <c r="AF121" s="50"/>
      <c r="AG121" s="33"/>
      <c r="AH121" s="33"/>
      <c r="AI121" s="231"/>
      <c r="AJ121" s="50"/>
      <c r="AK121" s="10"/>
      <c r="AL121" s="23">
        <f t="shared" si="75"/>
        <v>33749</v>
      </c>
      <c r="AM121" s="24"/>
      <c r="AN121" s="24"/>
      <c r="AO121" s="24">
        <v>178263</v>
      </c>
      <c r="AP121" s="24">
        <v>1426428</v>
      </c>
      <c r="AQ121" s="24"/>
      <c r="AR121" s="504">
        <f t="shared" si="76"/>
        <v>2.423315063988184E-2</v>
      </c>
      <c r="AS121" s="25"/>
      <c r="AT121" s="25"/>
      <c r="AU121" s="24"/>
      <c r="AV121" s="341">
        <f t="shared" si="77"/>
        <v>0.43366122796926249</v>
      </c>
      <c r="AW121" s="341"/>
      <c r="AX121" s="24">
        <f t="shared" si="78"/>
        <v>12735.964285714286</v>
      </c>
      <c r="AY121" s="351"/>
      <c r="AZ121" s="10"/>
      <c r="BA121" s="66">
        <f t="shared" si="79"/>
        <v>681700</v>
      </c>
      <c r="BB121" s="67"/>
      <c r="BC121" s="67">
        <v>40161137</v>
      </c>
      <c r="BD121" s="67"/>
      <c r="BE121" s="67">
        <f t="shared" si="80"/>
        <v>61067</v>
      </c>
      <c r="BF121" s="67"/>
      <c r="BG121" s="156">
        <f t="shared" si="81"/>
        <v>8.9580460613172944E-2</v>
      </c>
      <c r="BH121" s="67"/>
      <c r="BI121" s="183"/>
      <c r="BJ121" s="67"/>
      <c r="BK121" s="67"/>
      <c r="BL121" s="67"/>
      <c r="BM121" s="156"/>
      <c r="BN121" s="66">
        <f t="shared" si="82"/>
        <v>358581.58035714284</v>
      </c>
      <c r="BO121" s="67"/>
      <c r="BP121" s="67">
        <f t="shared" si="83"/>
        <v>2946621</v>
      </c>
      <c r="BQ121" s="67"/>
      <c r="BR121" s="478">
        <f t="shared" si="84"/>
        <v>7.336995962041612E-2</v>
      </c>
      <c r="BS121" s="67"/>
      <c r="BT121" s="86"/>
      <c r="BU121" s="183"/>
      <c r="BV121" s="1"/>
      <c r="BW121">
        <f t="shared" si="53"/>
        <v>112</v>
      </c>
    </row>
    <row r="122" spans="1:75" x14ac:dyDescent="0.3">
      <c r="B122" s="171">
        <f t="shared" si="52"/>
        <v>44022</v>
      </c>
      <c r="C122" s="61"/>
      <c r="D122" s="17">
        <v>71787</v>
      </c>
      <c r="E122" s="16"/>
      <c r="F122" s="16"/>
      <c r="G122" s="16"/>
      <c r="H122" s="16">
        <f t="shared" si="86"/>
        <v>3361055</v>
      </c>
      <c r="I122" s="16"/>
      <c r="J122" s="38">
        <f t="shared" si="70"/>
        <v>2.1824612649379741E-2</v>
      </c>
      <c r="K122" s="16"/>
      <c r="L122" s="16"/>
      <c r="M122" s="16"/>
      <c r="N122" s="16"/>
      <c r="O122" s="16">
        <f t="shared" si="71"/>
        <v>29743.849557522124</v>
      </c>
      <c r="P122" s="41"/>
      <c r="Q122" s="17">
        <f t="shared" si="87"/>
        <v>394870</v>
      </c>
      <c r="R122" s="16"/>
      <c r="S122" s="60"/>
      <c r="T122" s="16"/>
      <c r="U122" s="41"/>
      <c r="V122" s="10">
        <f t="shared" si="85"/>
        <v>14</v>
      </c>
      <c r="W122" s="34">
        <v>849</v>
      </c>
      <c r="X122" s="33"/>
      <c r="Y122" s="33"/>
      <c r="Z122" s="33"/>
      <c r="AA122" s="33">
        <f t="shared" si="72"/>
        <v>137947</v>
      </c>
      <c r="AB122" s="33"/>
      <c r="AC122" s="46">
        <f t="shared" si="73"/>
        <v>4.1042767821413216E-2</v>
      </c>
      <c r="AD122" s="33"/>
      <c r="AE122" s="33">
        <f t="shared" si="74"/>
        <v>1220.7699115044247</v>
      </c>
      <c r="AF122" s="50"/>
      <c r="AG122" s="33"/>
      <c r="AH122" s="33"/>
      <c r="AI122" s="231"/>
      <c r="AJ122" s="50"/>
      <c r="AK122" s="10"/>
      <c r="AL122" s="23">
        <f t="shared" si="75"/>
        <v>34067</v>
      </c>
      <c r="AM122" s="24"/>
      <c r="AN122" s="24"/>
      <c r="AO122" s="24">
        <v>178263</v>
      </c>
      <c r="AP122" s="24">
        <v>1460495</v>
      </c>
      <c r="AQ122" s="24"/>
      <c r="AR122" s="504">
        <f t="shared" si="76"/>
        <v>2.3882733653573823E-2</v>
      </c>
      <c r="AS122" s="25"/>
      <c r="AT122" s="25"/>
      <c r="AU122" s="24"/>
      <c r="AV122" s="341">
        <f t="shared" si="77"/>
        <v>0.43453469223205216</v>
      </c>
      <c r="AW122" s="341"/>
      <c r="AX122" s="24">
        <f t="shared" si="78"/>
        <v>12924.734513274336</v>
      </c>
      <c r="AY122" s="351"/>
      <c r="AZ122" s="10"/>
      <c r="BA122" s="66">
        <f t="shared" si="79"/>
        <v>849076</v>
      </c>
      <c r="BB122" s="67"/>
      <c r="BC122" s="67">
        <v>41010213</v>
      </c>
      <c r="BD122" s="67"/>
      <c r="BE122" s="67">
        <f t="shared" si="80"/>
        <v>71787</v>
      </c>
      <c r="BF122" s="67"/>
      <c r="BG122" s="156">
        <f t="shared" si="81"/>
        <v>8.4547201899476607E-2</v>
      </c>
      <c r="BH122" s="67"/>
      <c r="BI122" s="183"/>
      <c r="BJ122" s="67"/>
      <c r="BK122" s="67"/>
      <c r="BL122" s="67"/>
      <c r="BM122" s="156"/>
      <c r="BN122" s="66">
        <f t="shared" si="82"/>
        <v>362922.23893805308</v>
      </c>
      <c r="BO122" s="67"/>
      <c r="BP122" s="67">
        <f t="shared" si="83"/>
        <v>3018408</v>
      </c>
      <c r="BQ122" s="67"/>
      <c r="BR122" s="478">
        <f t="shared" si="84"/>
        <v>7.3601373394476158E-2</v>
      </c>
      <c r="BS122" s="67"/>
      <c r="BT122" s="86"/>
      <c r="BU122" s="183"/>
      <c r="BV122" s="1"/>
      <c r="BW122">
        <f t="shared" si="53"/>
        <v>113</v>
      </c>
    </row>
    <row r="123" spans="1:75" x14ac:dyDescent="0.3">
      <c r="B123" s="171">
        <f t="shared" si="52"/>
        <v>44023</v>
      </c>
      <c r="C123" s="61"/>
      <c r="D123" s="17">
        <v>61719</v>
      </c>
      <c r="E123" s="16"/>
      <c r="F123" s="16"/>
      <c r="G123" s="16"/>
      <c r="H123" s="16">
        <f t="shared" si="86"/>
        <v>3422774</v>
      </c>
      <c r="I123" s="16"/>
      <c r="J123" s="38">
        <f t="shared" si="70"/>
        <v>1.8362984241555108E-2</v>
      </c>
      <c r="K123" s="16"/>
      <c r="L123" s="16"/>
      <c r="M123" s="16"/>
      <c r="N123" s="16"/>
      <c r="O123" s="16">
        <f t="shared" si="71"/>
        <v>30024.333333333332</v>
      </c>
      <c r="P123" s="41"/>
      <c r="Q123" s="17">
        <f t="shared" si="87"/>
        <v>410005</v>
      </c>
      <c r="R123" s="16"/>
      <c r="S123" s="60"/>
      <c r="T123" s="16"/>
      <c r="U123" s="41"/>
      <c r="V123" s="10">
        <f t="shared" si="85"/>
        <v>15</v>
      </c>
      <c r="W123" s="34">
        <v>731</v>
      </c>
      <c r="X123" s="33"/>
      <c r="Y123" s="33"/>
      <c r="Z123" s="33"/>
      <c r="AA123" s="33">
        <f t="shared" si="72"/>
        <v>138678</v>
      </c>
      <c r="AB123" s="33"/>
      <c r="AC123" s="46">
        <f t="shared" si="73"/>
        <v>4.0516259618660184E-2</v>
      </c>
      <c r="AD123" s="33"/>
      <c r="AE123" s="33">
        <f t="shared" si="74"/>
        <v>1216.4736842105262</v>
      </c>
      <c r="AF123" s="50"/>
      <c r="AG123" s="33"/>
      <c r="AH123" s="33"/>
      <c r="AI123" s="231"/>
      <c r="AJ123" s="50"/>
      <c r="AK123" s="10"/>
      <c r="AL123" s="23">
        <f t="shared" si="75"/>
        <v>29951</v>
      </c>
      <c r="AM123" s="24"/>
      <c r="AN123" s="24"/>
      <c r="AO123" s="24">
        <v>178263</v>
      </c>
      <c r="AP123" s="24">
        <v>1490446</v>
      </c>
      <c r="AQ123" s="24"/>
      <c r="AR123" s="504">
        <f t="shared" si="76"/>
        <v>2.0507430699865457E-2</v>
      </c>
      <c r="AS123" s="25"/>
      <c r="AT123" s="25"/>
      <c r="AU123" s="24"/>
      <c r="AV123" s="341">
        <f t="shared" si="77"/>
        <v>0.4354497258656283</v>
      </c>
      <c r="AW123" s="341"/>
      <c r="AX123" s="24">
        <f t="shared" si="78"/>
        <v>13074.087719298246</v>
      </c>
      <c r="AY123" s="351"/>
      <c r="AZ123" s="10"/>
      <c r="BA123" s="66">
        <f t="shared" si="79"/>
        <v>760123</v>
      </c>
      <c r="BB123" s="67"/>
      <c r="BC123" s="67">
        <v>41770336</v>
      </c>
      <c r="BD123" s="67"/>
      <c r="BE123" s="67">
        <f t="shared" si="80"/>
        <v>61719</v>
      </c>
      <c r="BF123" s="67"/>
      <c r="BG123" s="156">
        <f t="shared" si="81"/>
        <v>8.1196069583475305E-2</v>
      </c>
      <c r="BH123" s="67"/>
      <c r="BI123" s="183"/>
      <c r="BJ123" s="67"/>
      <c r="BK123" s="67"/>
      <c r="BL123" s="67"/>
      <c r="BM123" s="156"/>
      <c r="BN123" s="66">
        <f t="shared" si="82"/>
        <v>366406.4561403509</v>
      </c>
      <c r="BO123" s="67"/>
      <c r="BP123" s="67">
        <f t="shared" si="83"/>
        <v>3080127</v>
      </c>
      <c r="BQ123" s="67"/>
      <c r="BR123" s="478">
        <f t="shared" si="84"/>
        <v>7.3739579207598424E-2</v>
      </c>
      <c r="BS123" s="67"/>
      <c r="BT123" s="86"/>
      <c r="BU123" s="183"/>
      <c r="BV123" s="1"/>
      <c r="BW123">
        <f t="shared" si="53"/>
        <v>114</v>
      </c>
    </row>
    <row r="124" spans="1:75" x14ac:dyDescent="0.3">
      <c r="A124" s="547"/>
      <c r="B124" s="390">
        <f t="shared" si="52"/>
        <v>44024</v>
      </c>
      <c r="C124" s="61"/>
      <c r="D124" s="17">
        <v>58349</v>
      </c>
      <c r="E124" s="16"/>
      <c r="F124" s="16"/>
      <c r="G124" s="16"/>
      <c r="H124" s="16">
        <f t="shared" si="86"/>
        <v>3481123</v>
      </c>
      <c r="I124" s="16"/>
      <c r="J124" s="38">
        <f t="shared" si="70"/>
        <v>1.7047283869750091E-2</v>
      </c>
      <c r="K124" s="16"/>
      <c r="L124" s="16"/>
      <c r="M124" s="16"/>
      <c r="N124" s="16">
        <f>SUM(D118:D124)</f>
        <v>423824</v>
      </c>
      <c r="O124" s="16">
        <f t="shared" si="71"/>
        <v>30270.634782608697</v>
      </c>
      <c r="P124" s="41"/>
      <c r="Q124" s="17">
        <f t="shared" si="87"/>
        <v>423824</v>
      </c>
      <c r="R124" s="16"/>
      <c r="S124" s="60">
        <f t="shared" ref="S124:S129" si="88">+(Q124-Q117)/Q117</f>
        <v>0.20763748992030273</v>
      </c>
      <c r="T124" s="16"/>
      <c r="U124" s="41"/>
      <c r="V124" s="10">
        <f t="shared" si="85"/>
        <v>16</v>
      </c>
      <c r="W124" s="34">
        <v>380</v>
      </c>
      <c r="X124" s="33"/>
      <c r="Y124" s="33"/>
      <c r="Z124" s="33"/>
      <c r="AA124" s="33">
        <f t="shared" si="72"/>
        <v>139058</v>
      </c>
      <c r="AB124" s="33"/>
      <c r="AC124" s="46">
        <f t="shared" si="73"/>
        <v>3.9946304683862073E-2</v>
      </c>
      <c r="AD124" s="33"/>
      <c r="AE124" s="33">
        <f t="shared" si="74"/>
        <v>1209.2</v>
      </c>
      <c r="AF124" s="50"/>
      <c r="AG124" s="33">
        <f>SUM(W118:W124)</f>
        <v>5181</v>
      </c>
      <c r="AH124" s="33">
        <f>SUM(D95:D125)</f>
        <v>1356158</v>
      </c>
      <c r="AI124" s="231">
        <f>+(AG124-AG117)/AG117</f>
        <v>0.49739884393063583</v>
      </c>
      <c r="AJ124" s="50"/>
      <c r="AK124" s="391"/>
      <c r="AL124" s="23">
        <f t="shared" si="75"/>
        <v>26638</v>
      </c>
      <c r="AM124" s="24"/>
      <c r="AN124" s="24"/>
      <c r="AO124" s="24">
        <v>178263</v>
      </c>
      <c r="AP124" s="24">
        <v>1517084</v>
      </c>
      <c r="AQ124" s="24"/>
      <c r="AR124" s="504">
        <f t="shared" si="76"/>
        <v>1.7872502593183518E-2</v>
      </c>
      <c r="AS124" s="25"/>
      <c r="AT124" s="25"/>
      <c r="AU124" s="24"/>
      <c r="AV124" s="341">
        <f t="shared" si="77"/>
        <v>0.43580304401769199</v>
      </c>
      <c r="AW124" s="341"/>
      <c r="AX124" s="24">
        <f t="shared" si="78"/>
        <v>13192.034782608696</v>
      </c>
      <c r="AY124" s="351"/>
      <c r="AZ124" s="391"/>
      <c r="BA124" s="66">
        <f t="shared" si="79"/>
        <v>699271</v>
      </c>
      <c r="BB124" s="67"/>
      <c r="BC124" s="67">
        <v>42469607</v>
      </c>
      <c r="BD124" s="67"/>
      <c r="BE124" s="67">
        <f t="shared" si="80"/>
        <v>58349</v>
      </c>
      <c r="BF124" s="67"/>
      <c r="BG124" s="156">
        <f t="shared" si="81"/>
        <v>8.3442613807808416E-2</v>
      </c>
      <c r="BH124" s="67"/>
      <c r="BI124" s="183"/>
      <c r="BJ124" s="67"/>
      <c r="BK124" s="67">
        <f>SUM(BA118:BA124)</f>
        <v>4882798</v>
      </c>
      <c r="BL124" s="67"/>
      <c r="BM124" s="156">
        <f>+Q124/BK124</f>
        <v>8.679941295953672E-2</v>
      </c>
      <c r="BN124" s="66">
        <f t="shared" si="82"/>
        <v>369300.93043478258</v>
      </c>
      <c r="BO124" s="67"/>
      <c r="BP124" s="67">
        <f t="shared" si="83"/>
        <v>3138476</v>
      </c>
      <c r="BQ124" s="67"/>
      <c r="BR124" s="478">
        <f t="shared" si="84"/>
        <v>7.3899341710414221E-2</v>
      </c>
      <c r="BS124" s="67"/>
      <c r="BT124" s="86"/>
      <c r="BU124" s="183"/>
      <c r="BV124" s="1"/>
      <c r="BW124" s="472">
        <f t="shared" si="53"/>
        <v>115</v>
      </c>
    </row>
    <row r="125" spans="1:75" x14ac:dyDescent="0.3">
      <c r="B125" s="171">
        <f t="shared" si="52"/>
        <v>44025</v>
      </c>
      <c r="C125" s="61"/>
      <c r="D125" s="17">
        <v>65488</v>
      </c>
      <c r="E125" s="16"/>
      <c r="F125" s="16"/>
      <c r="G125" s="16"/>
      <c r="H125" s="16">
        <f t="shared" si="86"/>
        <v>3546611</v>
      </c>
      <c r="I125" s="16"/>
      <c r="J125" s="38">
        <f t="shared" si="70"/>
        <v>1.8812320047295081E-2</v>
      </c>
      <c r="K125" s="16"/>
      <c r="L125" s="16"/>
      <c r="M125" s="16"/>
      <c r="N125" s="16"/>
      <c r="O125" s="16">
        <f t="shared" si="71"/>
        <v>30574.232758620688</v>
      </c>
      <c r="P125" s="41"/>
      <c r="Q125" s="17">
        <f t="shared" si="87"/>
        <v>435700</v>
      </c>
      <c r="R125" s="16"/>
      <c r="S125" s="60">
        <f t="shared" si="88"/>
        <v>0.21084620280075925</v>
      </c>
      <c r="T125" s="16"/>
      <c r="U125" s="41"/>
      <c r="V125" s="535">
        <f t="shared" si="85"/>
        <v>17</v>
      </c>
      <c r="W125" s="34">
        <v>465</v>
      </c>
      <c r="X125" s="33"/>
      <c r="Y125" s="33"/>
      <c r="Z125" s="33"/>
      <c r="AA125" s="33">
        <f t="shared" si="72"/>
        <v>139523</v>
      </c>
      <c r="AB125" s="33"/>
      <c r="AC125" s="46">
        <f t="shared" si="73"/>
        <v>3.9339809186854716E-2</v>
      </c>
      <c r="AD125" s="33"/>
      <c r="AE125" s="33">
        <f t="shared" si="74"/>
        <v>1202.7844827586207</v>
      </c>
      <c r="AF125" s="50"/>
      <c r="AG125" s="33"/>
      <c r="AH125" s="33"/>
      <c r="AI125" s="231"/>
      <c r="AJ125" s="50"/>
      <c r="AK125" s="10"/>
      <c r="AL125" s="23">
        <f t="shared" si="75"/>
        <v>32385</v>
      </c>
      <c r="AM125" s="24"/>
      <c r="AN125" s="24"/>
      <c r="AO125" s="24">
        <v>178263</v>
      </c>
      <c r="AP125" s="24">
        <v>1549469</v>
      </c>
      <c r="AQ125" s="24"/>
      <c r="AR125" s="504">
        <f t="shared" si="76"/>
        <v>2.1346873343862306E-2</v>
      </c>
      <c r="AS125" s="25"/>
      <c r="AT125" s="25"/>
      <c r="AU125" s="24"/>
      <c r="AV125" s="341">
        <f t="shared" si="77"/>
        <v>0.43688721430120192</v>
      </c>
      <c r="AW125" s="341"/>
      <c r="AX125" s="24">
        <f t="shared" si="78"/>
        <v>13357.491379310344</v>
      </c>
      <c r="AY125" s="351"/>
      <c r="AZ125" s="10"/>
      <c r="BA125" s="66">
        <f t="shared" si="79"/>
        <v>783226</v>
      </c>
      <c r="BB125" s="67"/>
      <c r="BC125" s="67">
        <v>43252833</v>
      </c>
      <c r="BD125" s="67"/>
      <c r="BE125" s="67">
        <f t="shared" si="80"/>
        <v>65488</v>
      </c>
      <c r="BF125" s="67"/>
      <c r="BG125" s="156">
        <f t="shared" si="81"/>
        <v>8.3613158909433549E-2</v>
      </c>
      <c r="BH125" s="67"/>
      <c r="BI125" s="183"/>
      <c r="BJ125" s="67"/>
      <c r="BK125" s="67"/>
      <c r="BL125" s="67"/>
      <c r="BM125" s="156"/>
      <c r="BN125" s="66">
        <f t="shared" si="82"/>
        <v>372869.25</v>
      </c>
      <c r="BO125" s="67"/>
      <c r="BP125" s="67">
        <f t="shared" si="83"/>
        <v>3203964</v>
      </c>
      <c r="BQ125" s="67"/>
      <c r="BR125" s="478">
        <f t="shared" si="84"/>
        <v>7.4075240343216359E-2</v>
      </c>
      <c r="BS125" s="67"/>
      <c r="BT125" s="86"/>
      <c r="BU125" s="183"/>
      <c r="BV125" s="1"/>
      <c r="BW125">
        <f t="shared" si="53"/>
        <v>116</v>
      </c>
    </row>
    <row r="126" spans="1:75" x14ac:dyDescent="0.3">
      <c r="B126" s="171">
        <f t="shared" si="52"/>
        <v>44026</v>
      </c>
      <c r="C126" s="61"/>
      <c r="D126" s="17">
        <v>66048</v>
      </c>
      <c r="E126" s="16"/>
      <c r="F126" s="16"/>
      <c r="G126" s="16"/>
      <c r="H126" s="16">
        <f t="shared" si="86"/>
        <v>3612659</v>
      </c>
      <c r="I126" s="16"/>
      <c r="J126" s="38">
        <f t="shared" si="70"/>
        <v>1.8622848685688958E-2</v>
      </c>
      <c r="K126" s="16"/>
      <c r="L126" s="16"/>
      <c r="M126" s="16"/>
      <c r="N126" s="16"/>
      <c r="O126" s="16">
        <f t="shared" si="71"/>
        <v>30877.427350427351</v>
      </c>
      <c r="P126" s="41"/>
      <c r="Q126" s="17">
        <f t="shared" si="87"/>
        <v>446306</v>
      </c>
      <c r="R126" s="16"/>
      <c r="S126" s="60">
        <f t="shared" si="88"/>
        <v>0.20874466120125343</v>
      </c>
      <c r="T126" s="16"/>
      <c r="U126" s="41"/>
      <c r="V126" s="10">
        <f t="shared" si="85"/>
        <v>18</v>
      </c>
      <c r="W126" s="34">
        <v>936</v>
      </c>
      <c r="X126" s="33"/>
      <c r="Y126" s="33"/>
      <c r="Z126" s="33"/>
      <c r="AA126" s="33">
        <f t="shared" si="72"/>
        <v>140459</v>
      </c>
      <c r="AB126" s="33"/>
      <c r="AC126" s="46">
        <f t="shared" si="73"/>
        <v>3.8879672839313095E-2</v>
      </c>
      <c r="AD126" s="33"/>
      <c r="AE126" s="33">
        <f t="shared" si="74"/>
        <v>1200.5042735042734</v>
      </c>
      <c r="AF126" s="50"/>
      <c r="AG126" s="33"/>
      <c r="AH126" s="33"/>
      <c r="AI126" s="231"/>
      <c r="AJ126" s="50"/>
      <c r="AK126" s="10"/>
      <c r="AL126" s="23">
        <f t="shared" si="75"/>
        <v>50726</v>
      </c>
      <c r="AM126" s="24"/>
      <c r="AN126" s="24"/>
      <c r="AO126" s="24">
        <v>178263</v>
      </c>
      <c r="AP126" s="24">
        <v>1600195</v>
      </c>
      <c r="AQ126" s="24"/>
      <c r="AR126" s="504">
        <f t="shared" si="76"/>
        <v>3.2737666903952259E-2</v>
      </c>
      <c r="AS126" s="25"/>
      <c r="AT126" s="25"/>
      <c r="AU126" s="24"/>
      <c r="AV126" s="341">
        <f t="shared" si="77"/>
        <v>0.44294105809598966</v>
      </c>
      <c r="AW126" s="341"/>
      <c r="AX126" s="24">
        <f t="shared" si="78"/>
        <v>13676.880341880342</v>
      </c>
      <c r="AY126" s="351"/>
      <c r="AZ126" s="10"/>
      <c r="BA126" s="66">
        <f t="shared" si="79"/>
        <v>778044</v>
      </c>
      <c r="BB126" s="67"/>
      <c r="BC126" s="67">
        <v>44030877</v>
      </c>
      <c r="BD126" s="67"/>
      <c r="BE126" s="67">
        <f t="shared" si="80"/>
        <v>66048</v>
      </c>
      <c r="BF126" s="67"/>
      <c r="BG126" s="156">
        <f t="shared" si="81"/>
        <v>8.4889800576831126E-2</v>
      </c>
      <c r="BH126" s="67"/>
      <c r="BI126" s="183"/>
      <c r="BJ126" s="67"/>
      <c r="BK126" s="67"/>
      <c r="BL126" s="67"/>
      <c r="BM126" s="156"/>
      <c r="BN126" s="66">
        <f t="shared" si="82"/>
        <v>376332.28205128206</v>
      </c>
      <c r="BO126" s="67"/>
      <c r="BP126" s="67">
        <f t="shared" si="83"/>
        <v>3270012</v>
      </c>
      <c r="BQ126" s="67"/>
      <c r="BR126" s="478">
        <f t="shared" si="84"/>
        <v>7.4266338142662938E-2</v>
      </c>
      <c r="BS126" s="67"/>
      <c r="BT126" s="86"/>
      <c r="BU126" s="183"/>
      <c r="BV126" s="1"/>
      <c r="BW126">
        <f t="shared" si="53"/>
        <v>117</v>
      </c>
    </row>
    <row r="127" spans="1:75" x14ac:dyDescent="0.3">
      <c r="B127" s="171">
        <f t="shared" si="52"/>
        <v>44027</v>
      </c>
      <c r="C127" s="61"/>
      <c r="D127" s="17">
        <v>72005</v>
      </c>
      <c r="E127" s="16"/>
      <c r="F127" s="16"/>
      <c r="G127" s="16"/>
      <c r="H127" s="16">
        <f t="shared" ref="H127:H164" si="89">+H126+D127</f>
        <v>3684664</v>
      </c>
      <c r="I127" s="16"/>
      <c r="J127" s="38">
        <f t="shared" ref="J127:J164" si="90">+D127/H126</f>
        <v>1.9931302677612252E-2</v>
      </c>
      <c r="K127" s="16"/>
      <c r="L127" s="16"/>
      <c r="M127" s="16"/>
      <c r="N127" s="16"/>
      <c r="O127" s="16">
        <f t="shared" ref="O127:O150" si="91">+H127/BW127</f>
        <v>31225.966101694914</v>
      </c>
      <c r="P127" s="41"/>
      <c r="Q127" s="17">
        <f t="shared" ref="Q127:Q164" si="92">SUM(D121:D127)</f>
        <v>456463</v>
      </c>
      <c r="R127" s="16"/>
      <c r="S127" s="60">
        <f t="shared" si="88"/>
        <v>0.20127532356795849</v>
      </c>
      <c r="T127" s="16"/>
      <c r="U127" s="41"/>
      <c r="V127" s="10">
        <f t="shared" si="85"/>
        <v>19</v>
      </c>
      <c r="W127" s="34">
        <v>1002</v>
      </c>
      <c r="X127" s="33"/>
      <c r="Y127" s="33"/>
      <c r="Z127" s="33"/>
      <c r="AA127" s="33">
        <f t="shared" ref="AA127:AA164" si="93">+AA126+W127</f>
        <v>141461</v>
      </c>
      <c r="AB127" s="33"/>
      <c r="AC127" s="46">
        <f t="shared" ref="AC127:AC164" si="94">+AA127/H127</f>
        <v>3.8391831656834921E-2</v>
      </c>
      <c r="AD127" s="33"/>
      <c r="AE127" s="33">
        <f t="shared" ref="AE127:AE164" si="95">+AA127/BW127</f>
        <v>1198.8220338983051</v>
      </c>
      <c r="AF127" s="50"/>
      <c r="AG127" s="33"/>
      <c r="AH127" s="33"/>
      <c r="AI127" s="231"/>
      <c r="AJ127" s="50"/>
      <c r="AK127" s="10"/>
      <c r="AL127" s="23">
        <f t="shared" ref="AL127:AL164" si="96">+AP127-AP126</f>
        <v>45767</v>
      </c>
      <c r="AM127" s="24"/>
      <c r="AN127" s="24"/>
      <c r="AO127" s="24">
        <v>178263</v>
      </c>
      <c r="AP127" s="24">
        <v>1645962</v>
      </c>
      <c r="AQ127" s="24"/>
      <c r="AR127" s="504">
        <f t="shared" ref="AR127:AR164" si="97">+AL127/AP126</f>
        <v>2.8600889266620629E-2</v>
      </c>
      <c r="AS127" s="25"/>
      <c r="AT127" s="25"/>
      <c r="AU127" s="24"/>
      <c r="AV127" s="341">
        <f t="shared" ref="AV127:AV164" si="98">+AP127/H127</f>
        <v>0.44670613114248681</v>
      </c>
      <c r="AW127" s="341"/>
      <c r="AX127" s="24">
        <f t="shared" ref="AX127:AX164" si="99">+AP127/BW127</f>
        <v>13948.830508474577</v>
      </c>
      <c r="AY127" s="351"/>
      <c r="AZ127" s="10"/>
      <c r="BA127" s="66">
        <f t="shared" ref="BA127:BA164" si="100">+BC127-BC126</f>
        <v>815289</v>
      </c>
      <c r="BB127" s="67"/>
      <c r="BC127" s="67">
        <v>44846166</v>
      </c>
      <c r="BD127" s="67"/>
      <c r="BE127" s="67">
        <f t="shared" ref="BE127:BE164" si="101">+D127</f>
        <v>72005</v>
      </c>
      <c r="BF127" s="67"/>
      <c r="BG127" s="156">
        <f t="shared" ref="BG127:BG164" si="102">+BE127/BA127</f>
        <v>8.8318375447234046E-2</v>
      </c>
      <c r="BH127" s="67"/>
      <c r="BI127" s="183"/>
      <c r="BJ127" s="67"/>
      <c r="BK127" s="67"/>
      <c r="BL127" s="67"/>
      <c r="BM127" s="156"/>
      <c r="BN127" s="66">
        <f t="shared" ref="BN127:BN164" si="103">+BC127/BW127</f>
        <v>380052.25423728814</v>
      </c>
      <c r="BO127" s="67"/>
      <c r="BP127" s="67">
        <f t="shared" ref="BP127:BP164" si="104">+BP126+BE127</f>
        <v>3342017</v>
      </c>
      <c r="BQ127" s="67"/>
      <c r="BR127" s="478">
        <f t="shared" ref="BR127:BR164" si="105">+BP127/BC127</f>
        <v>7.4521799700781557E-2</v>
      </c>
      <c r="BS127" s="67"/>
      <c r="BT127" s="86"/>
      <c r="BU127" s="183"/>
      <c r="BV127" s="1"/>
      <c r="BW127">
        <f t="shared" si="53"/>
        <v>118</v>
      </c>
    </row>
    <row r="128" spans="1:75" x14ac:dyDescent="0.3">
      <c r="B128" s="171">
        <f t="shared" si="52"/>
        <v>44028</v>
      </c>
      <c r="C128" s="61"/>
      <c r="D128" s="17">
        <v>73388</v>
      </c>
      <c r="E128" s="16"/>
      <c r="F128" s="16"/>
      <c r="G128" s="16"/>
      <c r="H128" s="16">
        <f t="shared" si="89"/>
        <v>3758052</v>
      </c>
      <c r="I128" s="16"/>
      <c r="J128" s="38">
        <f t="shared" si="90"/>
        <v>1.9917148483552367E-2</v>
      </c>
      <c r="K128" s="16"/>
      <c r="L128" s="16"/>
      <c r="M128" s="16"/>
      <c r="N128" s="16"/>
      <c r="O128" s="16">
        <f t="shared" si="91"/>
        <v>31580.268907563026</v>
      </c>
      <c r="P128" s="41"/>
      <c r="Q128" s="17">
        <f t="shared" si="92"/>
        <v>468784</v>
      </c>
      <c r="R128" s="16"/>
      <c r="S128" s="60">
        <f t="shared" si="88"/>
        <v>0.22984253910287691</v>
      </c>
      <c r="T128" s="16"/>
      <c r="U128" s="41"/>
      <c r="V128" s="10">
        <f t="shared" si="85"/>
        <v>20</v>
      </c>
      <c r="W128" s="34">
        <v>963</v>
      </c>
      <c r="X128" s="33"/>
      <c r="Y128" s="33"/>
      <c r="Z128" s="33"/>
      <c r="AA128" s="33">
        <f t="shared" si="93"/>
        <v>142424</v>
      </c>
      <c r="AB128" s="33"/>
      <c r="AC128" s="46">
        <f t="shared" si="94"/>
        <v>3.789835797908065E-2</v>
      </c>
      <c r="AD128" s="33"/>
      <c r="AE128" s="33">
        <f t="shared" si="95"/>
        <v>1196.8403361344538</v>
      </c>
      <c r="AF128" s="50"/>
      <c r="AG128" s="33"/>
      <c r="AH128" s="33"/>
      <c r="AI128" s="231"/>
      <c r="AJ128" s="50"/>
      <c r="AK128" s="10"/>
      <c r="AL128" s="23">
        <f t="shared" si="96"/>
        <v>33671</v>
      </c>
      <c r="AM128" s="24"/>
      <c r="AN128" s="24"/>
      <c r="AO128" s="24">
        <v>178263</v>
      </c>
      <c r="AP128" s="24">
        <v>1679633</v>
      </c>
      <c r="AQ128" s="24"/>
      <c r="AR128" s="504">
        <f t="shared" si="97"/>
        <v>2.0456729863751411E-2</v>
      </c>
      <c r="AS128" s="25"/>
      <c r="AT128" s="25"/>
      <c r="AU128" s="24"/>
      <c r="AV128" s="341">
        <f t="shared" si="98"/>
        <v>0.44694245848647118</v>
      </c>
      <c r="AW128" s="341"/>
      <c r="AX128" s="24">
        <f t="shared" si="99"/>
        <v>14114.563025210084</v>
      </c>
      <c r="AY128" s="351"/>
      <c r="AZ128" s="10"/>
      <c r="BA128" s="66">
        <f t="shared" si="100"/>
        <v>850863</v>
      </c>
      <c r="BB128" s="67"/>
      <c r="BC128" s="67">
        <v>45697029</v>
      </c>
      <c r="BD128" s="67"/>
      <c r="BE128" s="67">
        <f t="shared" si="101"/>
        <v>73388</v>
      </c>
      <c r="BF128" s="67"/>
      <c r="BG128" s="156">
        <f t="shared" si="102"/>
        <v>8.6251253139459583E-2</v>
      </c>
      <c r="BH128" s="67"/>
      <c r="BI128" s="183"/>
      <c r="BJ128" s="67"/>
      <c r="BK128" s="67"/>
      <c r="BL128" s="67"/>
      <c r="BM128" s="156"/>
      <c r="BN128" s="66">
        <f t="shared" si="103"/>
        <v>384008.64705882355</v>
      </c>
      <c r="BO128" s="67"/>
      <c r="BP128" s="67">
        <f t="shared" si="104"/>
        <v>3415405</v>
      </c>
      <c r="BQ128" s="67"/>
      <c r="BR128" s="478">
        <f t="shared" si="105"/>
        <v>7.4740198099093047E-2</v>
      </c>
      <c r="BS128" s="67"/>
      <c r="BT128" s="86"/>
      <c r="BU128" s="183"/>
      <c r="BV128" s="1"/>
      <c r="BW128">
        <f t="shared" si="53"/>
        <v>119</v>
      </c>
    </row>
    <row r="129" spans="1:75" x14ac:dyDescent="0.3">
      <c r="B129" s="171">
        <f t="shared" si="52"/>
        <v>44029</v>
      </c>
      <c r="C129" s="61"/>
      <c r="D129" s="17">
        <v>74987</v>
      </c>
      <c r="E129" s="16"/>
      <c r="F129" s="16"/>
      <c r="G129" s="16"/>
      <c r="H129" s="16">
        <f t="shared" si="89"/>
        <v>3833039</v>
      </c>
      <c r="I129" s="16"/>
      <c r="J129" s="38">
        <f t="shared" si="90"/>
        <v>1.9953688772800376E-2</v>
      </c>
      <c r="K129" s="16"/>
      <c r="L129" s="16"/>
      <c r="M129" s="16"/>
      <c r="N129" s="16"/>
      <c r="O129" s="16">
        <f t="shared" si="91"/>
        <v>31941.991666666665</v>
      </c>
      <c r="P129" s="41"/>
      <c r="Q129" s="17">
        <f t="shared" si="92"/>
        <v>471984</v>
      </c>
      <c r="R129" s="16"/>
      <c r="S129" s="60">
        <f t="shared" si="88"/>
        <v>0.1952895889786512</v>
      </c>
      <c r="T129" s="16"/>
      <c r="U129" s="41"/>
      <c r="V129" s="10">
        <f t="shared" si="85"/>
        <v>21</v>
      </c>
      <c r="W129" s="34">
        <v>946</v>
      </c>
      <c r="X129" s="33"/>
      <c r="Y129" s="33"/>
      <c r="Z129" s="33"/>
      <c r="AA129" s="33">
        <f t="shared" si="93"/>
        <v>143370</v>
      </c>
      <c r="AB129" s="33"/>
      <c r="AC129" s="46">
        <f t="shared" si="94"/>
        <v>3.7403741522066436E-2</v>
      </c>
      <c r="AD129" s="33"/>
      <c r="AE129" s="33">
        <f t="shared" si="95"/>
        <v>1194.75</v>
      </c>
      <c r="AF129" s="50"/>
      <c r="AG129" s="33"/>
      <c r="AH129" s="33"/>
      <c r="AI129" s="231"/>
      <c r="AJ129" s="50"/>
      <c r="AK129" s="10"/>
      <c r="AL129" s="23">
        <f t="shared" si="96"/>
        <v>61600</v>
      </c>
      <c r="AM129" s="24"/>
      <c r="AN129" s="24"/>
      <c r="AO129" s="24">
        <v>178263</v>
      </c>
      <c r="AP129" s="24">
        <v>1741233</v>
      </c>
      <c r="AQ129" s="24"/>
      <c r="AR129" s="504">
        <f t="shared" si="97"/>
        <v>3.6674678337470151E-2</v>
      </c>
      <c r="AS129" s="25"/>
      <c r="AT129" s="25"/>
      <c r="AU129" s="24"/>
      <c r="AV129" s="341">
        <f t="shared" si="98"/>
        <v>0.45426957565524378</v>
      </c>
      <c r="AW129" s="341"/>
      <c r="AX129" s="24">
        <f t="shared" si="99"/>
        <v>14510.275</v>
      </c>
      <c r="AY129" s="351"/>
      <c r="AZ129" s="10"/>
      <c r="BA129" s="66">
        <f t="shared" si="100"/>
        <v>911678</v>
      </c>
      <c r="BB129" s="67"/>
      <c r="BC129" s="67">
        <v>46608707</v>
      </c>
      <c r="BD129" s="67"/>
      <c r="BE129" s="67">
        <f t="shared" si="101"/>
        <v>74987</v>
      </c>
      <c r="BF129" s="67"/>
      <c r="BG129" s="156">
        <f t="shared" si="102"/>
        <v>8.2251628316137929E-2</v>
      </c>
      <c r="BH129" s="67"/>
      <c r="BI129" s="183"/>
      <c r="BJ129" s="67"/>
      <c r="BK129" s="67"/>
      <c r="BL129" s="67"/>
      <c r="BM129" s="156"/>
      <c r="BN129" s="66">
        <f t="shared" si="103"/>
        <v>388405.89166666666</v>
      </c>
      <c r="BO129" s="67"/>
      <c r="BP129" s="67">
        <f t="shared" si="104"/>
        <v>3490392</v>
      </c>
      <c r="BQ129" s="67"/>
      <c r="BR129" s="478">
        <f t="shared" si="105"/>
        <v>7.4887123558265628E-2</v>
      </c>
      <c r="BS129" s="67"/>
      <c r="BT129" s="86"/>
      <c r="BU129" s="183"/>
      <c r="BV129" s="1"/>
      <c r="BW129">
        <f t="shared" si="53"/>
        <v>120</v>
      </c>
    </row>
    <row r="130" spans="1:75" x14ac:dyDescent="0.3">
      <c r="B130" s="171">
        <f t="shared" si="52"/>
        <v>44030</v>
      </c>
      <c r="C130" s="61"/>
      <c r="D130" s="17">
        <v>63259</v>
      </c>
      <c r="E130" s="16"/>
      <c r="F130" s="16"/>
      <c r="G130" s="16"/>
      <c r="H130" s="16">
        <f t="shared" si="89"/>
        <v>3896298</v>
      </c>
      <c r="I130" s="16"/>
      <c r="J130" s="479">
        <f t="shared" si="90"/>
        <v>1.6503615016700848E-2</v>
      </c>
      <c r="K130" s="16"/>
      <c r="L130" s="16"/>
      <c r="M130" s="16"/>
      <c r="N130" s="16"/>
      <c r="O130" s="16">
        <f t="shared" si="91"/>
        <v>32200.809917355371</v>
      </c>
      <c r="P130" s="41"/>
      <c r="Q130" s="17">
        <f t="shared" si="92"/>
        <v>473524</v>
      </c>
      <c r="R130" s="16"/>
      <c r="S130" s="60">
        <f t="shared" ref="S130:S164" si="106">+(Q130-Q123)/Q123</f>
        <v>0.15492250094511043</v>
      </c>
      <c r="T130" s="16"/>
      <c r="U130" s="41"/>
      <c r="V130" s="10">
        <f t="shared" si="85"/>
        <v>22</v>
      </c>
      <c r="W130" s="34">
        <v>813</v>
      </c>
      <c r="X130" s="33"/>
      <c r="Y130" s="33"/>
      <c r="Z130" s="33"/>
      <c r="AA130" s="33">
        <f t="shared" si="93"/>
        <v>144183</v>
      </c>
      <c r="AB130" s="33"/>
      <c r="AC130" s="46">
        <f t="shared" si="94"/>
        <v>3.7005126404602524E-2</v>
      </c>
      <c r="AD130" s="33"/>
      <c r="AE130" s="33">
        <f t="shared" si="95"/>
        <v>1191.595041322314</v>
      </c>
      <c r="AF130" s="50"/>
      <c r="AG130" s="33"/>
      <c r="AH130" s="33"/>
      <c r="AI130" s="231"/>
      <c r="AJ130" s="50"/>
      <c r="AK130" s="10"/>
      <c r="AL130" s="23">
        <f t="shared" si="96"/>
        <v>33861</v>
      </c>
      <c r="AM130" s="24"/>
      <c r="AN130" s="24"/>
      <c r="AO130" s="24">
        <v>178263</v>
      </c>
      <c r="AP130" s="24">
        <v>1775094</v>
      </c>
      <c r="AQ130" s="24"/>
      <c r="AR130" s="504">
        <f t="shared" si="97"/>
        <v>1.9446564589575319E-2</v>
      </c>
      <c r="AS130" s="25"/>
      <c r="AT130" s="25"/>
      <c r="AU130" s="24"/>
      <c r="AV130" s="341">
        <f t="shared" si="98"/>
        <v>0.45558476276711896</v>
      </c>
      <c r="AW130" s="341"/>
      <c r="AX130" s="24">
        <f t="shared" si="99"/>
        <v>14670.198347107438</v>
      </c>
      <c r="AY130" s="351"/>
      <c r="AZ130" s="10"/>
      <c r="BA130" s="66">
        <f t="shared" si="100"/>
        <v>989570</v>
      </c>
      <c r="BB130" s="67"/>
      <c r="BC130" s="67">
        <v>47598277</v>
      </c>
      <c r="BD130" s="67"/>
      <c r="BE130" s="67">
        <f t="shared" si="101"/>
        <v>63259</v>
      </c>
      <c r="BF130" s="67"/>
      <c r="BG130" s="156">
        <f t="shared" si="102"/>
        <v>6.3925745525834451E-2</v>
      </c>
      <c r="BH130" s="67"/>
      <c r="BI130" s="183"/>
      <c r="BJ130" s="67"/>
      <c r="BK130" s="67"/>
      <c r="BL130" s="67"/>
      <c r="BM130" s="156"/>
      <c r="BN130" s="66">
        <f t="shared" si="103"/>
        <v>393374.19008264464</v>
      </c>
      <c r="BO130" s="67"/>
      <c r="BP130" s="67">
        <f t="shared" si="104"/>
        <v>3553651</v>
      </c>
      <c r="BQ130" s="67"/>
      <c r="BR130" s="478">
        <f t="shared" si="105"/>
        <v>7.4659236089575254E-2</v>
      </c>
      <c r="BS130" s="67"/>
      <c r="BT130" s="86"/>
      <c r="BU130" s="183"/>
      <c r="BV130" s="1"/>
      <c r="BW130">
        <f t="shared" si="53"/>
        <v>121</v>
      </c>
    </row>
    <row r="131" spans="1:75" x14ac:dyDescent="0.3">
      <c r="B131" s="390">
        <f t="shared" si="52"/>
        <v>44031</v>
      </c>
      <c r="C131" s="61"/>
      <c r="D131" s="17">
        <v>65279</v>
      </c>
      <c r="E131" s="16"/>
      <c r="F131" s="16"/>
      <c r="G131" s="16"/>
      <c r="H131" s="16">
        <f t="shared" si="89"/>
        <v>3961577</v>
      </c>
      <c r="I131" s="16"/>
      <c r="J131" s="479">
        <f t="shared" si="90"/>
        <v>1.6754108643640707E-2</v>
      </c>
      <c r="K131" s="16"/>
      <c r="L131" s="16"/>
      <c r="M131" s="16"/>
      <c r="N131" s="16">
        <f>SUM(D125:D131)</f>
        <v>480454</v>
      </c>
      <c r="O131" s="16">
        <f t="shared" si="91"/>
        <v>32471.942622950821</v>
      </c>
      <c r="P131" s="41"/>
      <c r="Q131" s="17">
        <f t="shared" si="92"/>
        <v>480454</v>
      </c>
      <c r="R131" s="16"/>
      <c r="S131" s="60">
        <f t="shared" si="106"/>
        <v>0.13361678432556912</v>
      </c>
      <c r="T131" s="16"/>
      <c r="U131" s="41"/>
      <c r="V131" s="391">
        <f t="shared" si="85"/>
        <v>23</v>
      </c>
      <c r="W131" s="34">
        <v>412</v>
      </c>
      <c r="X131" s="33"/>
      <c r="Y131" s="33"/>
      <c r="Z131" s="33"/>
      <c r="AA131" s="33">
        <f t="shared" si="93"/>
        <v>144595</v>
      </c>
      <c r="AB131" s="33"/>
      <c r="AC131" s="46">
        <f t="shared" si="94"/>
        <v>3.6499353666481806E-2</v>
      </c>
      <c r="AD131" s="33"/>
      <c r="AE131" s="33">
        <f t="shared" si="95"/>
        <v>1185.204918032787</v>
      </c>
      <c r="AF131" s="50"/>
      <c r="AG131" s="33">
        <f>SUM(W125:W131)</f>
        <v>5537</v>
      </c>
      <c r="AH131" s="33">
        <f>SUM(D102:D273)</f>
        <v>11170395</v>
      </c>
      <c r="AI131" s="231">
        <f>+(AG131-AG124)/AG124</f>
        <v>6.8712603744450873E-2</v>
      </c>
      <c r="AJ131" s="50"/>
      <c r="AK131" s="391"/>
      <c r="AL131" s="23">
        <f t="shared" si="96"/>
        <v>27244</v>
      </c>
      <c r="AM131" s="24"/>
      <c r="AN131" s="24"/>
      <c r="AO131" s="24">
        <v>178263</v>
      </c>
      <c r="AP131" s="24">
        <v>1802338</v>
      </c>
      <c r="AQ131" s="24"/>
      <c r="AR131" s="504">
        <f t="shared" si="97"/>
        <v>1.5347919603130877E-2</v>
      </c>
      <c r="AS131" s="25"/>
      <c r="AT131" s="25"/>
      <c r="AU131" s="24"/>
      <c r="AV131" s="341">
        <f t="shared" si="98"/>
        <v>0.45495468092630786</v>
      </c>
      <c r="AW131" s="341"/>
      <c r="AX131" s="24">
        <f t="shared" si="99"/>
        <v>14773.262295081968</v>
      </c>
      <c r="AY131" s="351"/>
      <c r="AZ131" s="391"/>
      <c r="BA131" s="66">
        <f t="shared" si="100"/>
        <v>743458</v>
      </c>
      <c r="BB131" s="67"/>
      <c r="BC131" s="67">
        <v>48341735</v>
      </c>
      <c r="BD131" s="67"/>
      <c r="BE131" s="67">
        <f t="shared" si="101"/>
        <v>65279</v>
      </c>
      <c r="BF131" s="67"/>
      <c r="BG131" s="156">
        <f t="shared" si="102"/>
        <v>8.7804556545225149E-2</v>
      </c>
      <c r="BH131" s="67"/>
      <c r="BI131" s="183"/>
      <c r="BJ131" s="67"/>
      <c r="BK131" s="67">
        <f>SUM(BA125:BA131)</f>
        <v>5872128</v>
      </c>
      <c r="BL131" s="67"/>
      <c r="BM131" s="156">
        <f>+Q131/BK131</f>
        <v>8.1819401756909937E-2</v>
      </c>
      <c r="BN131" s="66">
        <f t="shared" si="103"/>
        <v>396243.7295081967</v>
      </c>
      <c r="BO131" s="67"/>
      <c r="BP131" s="67">
        <f t="shared" si="104"/>
        <v>3618930</v>
      </c>
      <c r="BQ131" s="67"/>
      <c r="BR131" s="478">
        <f t="shared" si="105"/>
        <v>7.4861400816499446E-2</v>
      </c>
      <c r="BS131" s="67"/>
      <c r="BT131" s="86"/>
      <c r="BU131" s="183"/>
      <c r="BV131" s="1"/>
      <c r="BW131" s="472">
        <f t="shared" si="53"/>
        <v>122</v>
      </c>
    </row>
    <row r="132" spans="1:75" x14ac:dyDescent="0.3">
      <c r="B132" s="171">
        <f t="shared" si="52"/>
        <v>44032</v>
      </c>
      <c r="C132" s="61"/>
      <c r="D132" s="17">
        <v>62879</v>
      </c>
      <c r="E132" s="16"/>
      <c r="F132" s="16"/>
      <c r="G132" s="16"/>
      <c r="H132" s="16">
        <f t="shared" si="89"/>
        <v>4024456</v>
      </c>
      <c r="I132" s="16"/>
      <c r="J132" s="479">
        <f t="shared" si="90"/>
        <v>1.5872214524670351E-2</v>
      </c>
      <c r="K132" s="16"/>
      <c r="L132" s="16"/>
      <c r="M132" s="16"/>
      <c r="N132" s="16"/>
      <c r="O132" s="16">
        <f t="shared" si="91"/>
        <v>32719.154471544716</v>
      </c>
      <c r="P132" s="41"/>
      <c r="Q132" s="17">
        <f t="shared" si="92"/>
        <v>477845</v>
      </c>
      <c r="R132" s="16"/>
      <c r="S132" s="60">
        <f t="shared" si="106"/>
        <v>9.6729400963966025E-2</v>
      </c>
      <c r="T132" s="16"/>
      <c r="U132" s="41"/>
      <c r="V132" s="10">
        <f t="shared" si="85"/>
        <v>24</v>
      </c>
      <c r="W132" s="34">
        <v>545</v>
      </c>
      <c r="X132" s="33"/>
      <c r="Y132" s="33"/>
      <c r="Z132" s="33"/>
      <c r="AA132" s="33">
        <f t="shared" si="93"/>
        <v>145140</v>
      </c>
      <c r="AB132" s="33"/>
      <c r="AC132" s="46">
        <f t="shared" si="94"/>
        <v>3.6064501636991438E-2</v>
      </c>
      <c r="AD132" s="33"/>
      <c r="AE132" s="33">
        <f t="shared" si="95"/>
        <v>1180</v>
      </c>
      <c r="AF132" s="50"/>
      <c r="AG132" s="33"/>
      <c r="AH132" s="33"/>
      <c r="AI132" s="231"/>
      <c r="AJ132" s="50"/>
      <c r="AK132" s="10"/>
      <c r="AL132" s="23">
        <f t="shared" si="96"/>
        <v>47651</v>
      </c>
      <c r="AM132" s="24"/>
      <c r="AN132" s="24"/>
      <c r="AO132" s="24">
        <v>178263</v>
      </c>
      <c r="AP132" s="24">
        <v>1849989</v>
      </c>
      <c r="AQ132" s="24"/>
      <c r="AR132" s="504">
        <f t="shared" si="97"/>
        <v>2.6438437185477972E-2</v>
      </c>
      <c r="AS132" s="25"/>
      <c r="AT132" s="25"/>
      <c r="AU132" s="24"/>
      <c r="AV132" s="341">
        <f t="shared" si="98"/>
        <v>0.45968672536114197</v>
      </c>
      <c r="AW132" s="341"/>
      <c r="AX132" s="24">
        <f t="shared" si="99"/>
        <v>15040.560975609756</v>
      </c>
      <c r="AY132" s="351"/>
      <c r="AZ132" s="10"/>
      <c r="BA132" s="66">
        <f t="shared" si="100"/>
        <v>820172</v>
      </c>
      <c r="BB132" s="67"/>
      <c r="BC132" s="67">
        <v>49161907</v>
      </c>
      <c r="BD132" s="67"/>
      <c r="BE132" s="67">
        <f t="shared" si="101"/>
        <v>62879</v>
      </c>
      <c r="BF132" s="67"/>
      <c r="BG132" s="156">
        <f t="shared" si="102"/>
        <v>7.6665626234497158E-2</v>
      </c>
      <c r="BH132" s="67"/>
      <c r="BI132" s="183"/>
      <c r="BJ132" s="67"/>
      <c r="BK132" s="67"/>
      <c r="BL132" s="67"/>
      <c r="BM132" s="156"/>
      <c r="BN132" s="66">
        <f t="shared" si="103"/>
        <v>399690.30081300816</v>
      </c>
      <c r="BO132" s="67"/>
      <c r="BP132" s="67">
        <f t="shared" si="104"/>
        <v>3681809</v>
      </c>
      <c r="BQ132" s="67"/>
      <c r="BR132" s="478">
        <f t="shared" si="105"/>
        <v>7.4891500852479143E-2</v>
      </c>
      <c r="BS132" s="67"/>
      <c r="BT132" s="86"/>
      <c r="BU132" s="183"/>
      <c r="BV132" s="1"/>
      <c r="BW132">
        <f t="shared" si="53"/>
        <v>123</v>
      </c>
    </row>
    <row r="133" spans="1:75" x14ac:dyDescent="0.3">
      <c r="B133" s="171">
        <f t="shared" si="52"/>
        <v>44033</v>
      </c>
      <c r="C133" s="61"/>
      <c r="D133" s="17">
        <v>67479</v>
      </c>
      <c r="E133" s="16"/>
      <c r="F133" s="16"/>
      <c r="G133" s="16"/>
      <c r="H133" s="16">
        <f t="shared" si="89"/>
        <v>4091935</v>
      </c>
      <c r="I133" s="16"/>
      <c r="J133" s="479">
        <f t="shared" si="90"/>
        <v>1.676723512444912E-2</v>
      </c>
      <c r="K133" s="16"/>
      <c r="L133" s="16"/>
      <c r="M133" s="16"/>
      <c r="N133" s="16"/>
      <c r="O133" s="16">
        <f t="shared" si="91"/>
        <v>32999.475806451614</v>
      </c>
      <c r="P133" s="41"/>
      <c r="Q133" s="17">
        <f t="shared" si="92"/>
        <v>479276</v>
      </c>
      <c r="R133" s="16"/>
      <c r="S133" s="60">
        <f t="shared" si="106"/>
        <v>7.3873082593556891E-2</v>
      </c>
      <c r="T133" s="16"/>
      <c r="U133" s="41"/>
      <c r="V133" s="10">
        <f t="shared" si="85"/>
        <v>25</v>
      </c>
      <c r="W133" s="34">
        <v>1165</v>
      </c>
      <c r="X133" s="33"/>
      <c r="Y133" s="33"/>
      <c r="Z133" s="33"/>
      <c r="AA133" s="33">
        <f t="shared" si="93"/>
        <v>146305</v>
      </c>
      <c r="AB133" s="33"/>
      <c r="AC133" s="46">
        <f t="shared" si="94"/>
        <v>3.5754478015902015E-2</v>
      </c>
      <c r="AD133" s="33"/>
      <c r="AE133" s="33">
        <f t="shared" si="95"/>
        <v>1179.8790322580646</v>
      </c>
      <c r="AF133" s="50"/>
      <c r="AG133" s="33"/>
      <c r="AH133" s="33"/>
      <c r="AI133" s="231"/>
      <c r="AJ133" s="50"/>
      <c r="AK133" s="10"/>
      <c r="AL133" s="23">
        <f t="shared" si="96"/>
        <v>36594</v>
      </c>
      <c r="AM133" s="24"/>
      <c r="AN133" s="24"/>
      <c r="AO133" s="24">
        <v>178263</v>
      </c>
      <c r="AP133" s="24">
        <v>1886583</v>
      </c>
      <c r="AQ133" s="24"/>
      <c r="AR133" s="504">
        <f t="shared" si="97"/>
        <v>1.9780658155264707E-2</v>
      </c>
      <c r="AS133" s="25"/>
      <c r="AT133" s="25"/>
      <c r="AU133" s="24"/>
      <c r="AV133" s="341">
        <f t="shared" si="98"/>
        <v>0.46104911246146385</v>
      </c>
      <c r="AW133" s="341"/>
      <c r="AX133" s="24">
        <f t="shared" si="99"/>
        <v>15214.379032258064</v>
      </c>
      <c r="AY133" s="351"/>
      <c r="AZ133" s="10"/>
      <c r="BA133" s="66">
        <f t="shared" si="100"/>
        <v>751646</v>
      </c>
      <c r="BB133" s="67"/>
      <c r="BC133" s="67">
        <v>49913553</v>
      </c>
      <c r="BD133" s="67"/>
      <c r="BE133" s="67">
        <f t="shared" si="101"/>
        <v>67479</v>
      </c>
      <c r="BF133" s="67"/>
      <c r="BG133" s="156">
        <f t="shared" si="102"/>
        <v>8.9774973857374346E-2</v>
      </c>
      <c r="BH133" s="67"/>
      <c r="BI133" s="183"/>
      <c r="BJ133" s="67"/>
      <c r="BK133" s="67"/>
      <c r="BL133" s="67"/>
      <c r="BM133" s="156"/>
      <c r="BN133" s="66">
        <f t="shared" si="103"/>
        <v>402528.65322580643</v>
      </c>
      <c r="BO133" s="67"/>
      <c r="BP133" s="67">
        <f t="shared" si="104"/>
        <v>3749288</v>
      </c>
      <c r="BQ133" s="67"/>
      <c r="BR133" s="478">
        <f t="shared" si="105"/>
        <v>7.5115630418054996E-2</v>
      </c>
      <c r="BS133" s="67"/>
      <c r="BT133" s="86"/>
      <c r="BU133" s="183"/>
      <c r="BV133" s="1"/>
      <c r="BW133">
        <f t="shared" si="53"/>
        <v>124</v>
      </c>
    </row>
    <row r="134" spans="1:75" x14ac:dyDescent="0.3">
      <c r="A134" s="61"/>
      <c r="B134" s="171">
        <f t="shared" si="52"/>
        <v>44034</v>
      </c>
      <c r="C134" s="61"/>
      <c r="D134" s="17">
        <v>71967</v>
      </c>
      <c r="E134" s="16"/>
      <c r="F134" s="16"/>
      <c r="G134" s="16"/>
      <c r="H134" s="16">
        <f t="shared" si="89"/>
        <v>4163902</v>
      </c>
      <c r="I134" s="16"/>
      <c r="J134" s="479">
        <f t="shared" si="90"/>
        <v>1.7587522773455589E-2</v>
      </c>
      <c r="K134" s="16"/>
      <c r="L134" s="16"/>
      <c r="M134" s="16"/>
      <c r="N134" s="16"/>
      <c r="O134" s="16">
        <f t="shared" si="91"/>
        <v>33311.216</v>
      </c>
      <c r="P134" s="41"/>
      <c r="Q134" s="17">
        <f t="shared" si="92"/>
        <v>479238</v>
      </c>
      <c r="R134" s="16"/>
      <c r="S134" s="60">
        <f t="shared" si="106"/>
        <v>4.9894514999025114E-2</v>
      </c>
      <c r="T134" s="16"/>
      <c r="U134" s="41"/>
      <c r="V134" s="10">
        <f t="shared" si="85"/>
        <v>26</v>
      </c>
      <c r="W134" s="34">
        <v>1205</v>
      </c>
      <c r="X134" s="33"/>
      <c r="Y134" s="33"/>
      <c r="Z134" s="33"/>
      <c r="AA134" s="33">
        <f t="shared" si="93"/>
        <v>147510</v>
      </c>
      <c r="AB134" s="33"/>
      <c r="AC134" s="46">
        <f t="shared" si="94"/>
        <v>3.5425905797014434E-2</v>
      </c>
      <c r="AD134" s="33"/>
      <c r="AE134" s="33">
        <f t="shared" si="95"/>
        <v>1180.08</v>
      </c>
      <c r="AF134" s="50"/>
      <c r="AG134" s="33"/>
      <c r="AH134" s="33"/>
      <c r="AI134" s="231"/>
      <c r="AJ134" s="50"/>
      <c r="AK134" s="10"/>
      <c r="AL134" s="23">
        <f t="shared" si="96"/>
        <v>56054</v>
      </c>
      <c r="AM134" s="24"/>
      <c r="AN134" s="24"/>
      <c r="AO134" s="24">
        <v>178263</v>
      </c>
      <c r="AP134" s="24">
        <v>1942637</v>
      </c>
      <c r="AQ134" s="24"/>
      <c r="AR134" s="504">
        <f t="shared" si="97"/>
        <v>2.971191832005271E-2</v>
      </c>
      <c r="AS134" s="25"/>
      <c r="AT134" s="25"/>
      <c r="AU134" s="24"/>
      <c r="AV134" s="341">
        <f t="shared" si="98"/>
        <v>0.46654244023994801</v>
      </c>
      <c r="AW134" s="341"/>
      <c r="AX134" s="24">
        <f t="shared" si="99"/>
        <v>15541.096</v>
      </c>
      <c r="AY134" s="351"/>
      <c r="AZ134" s="10"/>
      <c r="BA134" s="66">
        <f t="shared" si="100"/>
        <v>819317</v>
      </c>
      <c r="BB134" s="67"/>
      <c r="BC134" s="67">
        <v>50732870</v>
      </c>
      <c r="BD134" s="67"/>
      <c r="BE134" s="67">
        <f t="shared" si="101"/>
        <v>71967</v>
      </c>
      <c r="BF134" s="67"/>
      <c r="BG134" s="156">
        <f t="shared" si="102"/>
        <v>8.7837796603756541E-2</v>
      </c>
      <c r="BH134" s="67"/>
      <c r="BI134" s="183"/>
      <c r="BJ134" s="67"/>
      <c r="BK134" s="67"/>
      <c r="BL134" s="67"/>
      <c r="BM134" s="156"/>
      <c r="BN134" s="66">
        <f t="shared" si="103"/>
        <v>405862.96</v>
      </c>
      <c r="BO134" s="67"/>
      <c r="BP134" s="67">
        <f t="shared" si="104"/>
        <v>3821255</v>
      </c>
      <c r="BQ134" s="67"/>
      <c r="BR134" s="478">
        <f t="shared" si="105"/>
        <v>7.5321088674857151E-2</v>
      </c>
      <c r="BS134" s="67"/>
      <c r="BT134" s="86"/>
      <c r="BU134" s="183"/>
      <c r="BV134" s="1"/>
      <c r="BW134">
        <f t="shared" si="53"/>
        <v>125</v>
      </c>
    </row>
    <row r="135" spans="1:75" x14ac:dyDescent="0.3">
      <c r="A135" s="61"/>
      <c r="B135" s="171">
        <f t="shared" si="52"/>
        <v>44035</v>
      </c>
      <c r="C135" s="61"/>
      <c r="D135" s="17">
        <v>69443</v>
      </c>
      <c r="E135" s="16"/>
      <c r="F135" s="16"/>
      <c r="G135" s="16"/>
      <c r="H135" s="16">
        <f t="shared" si="89"/>
        <v>4233345</v>
      </c>
      <c r="I135" s="16"/>
      <c r="J135" s="479">
        <f t="shared" si="90"/>
        <v>1.667738577901209E-2</v>
      </c>
      <c r="K135" s="16"/>
      <c r="L135" s="16"/>
      <c r="M135" s="16"/>
      <c r="N135" s="16"/>
      <c r="O135" s="16">
        <f t="shared" si="91"/>
        <v>33597.976190476191</v>
      </c>
      <c r="P135" s="41"/>
      <c r="Q135" s="17">
        <f t="shared" si="92"/>
        <v>475293</v>
      </c>
      <c r="R135" s="16"/>
      <c r="S135" s="60">
        <f t="shared" si="106"/>
        <v>1.388485955152053E-2</v>
      </c>
      <c r="T135" s="16"/>
      <c r="U135" s="41"/>
      <c r="V135" s="10">
        <f t="shared" si="85"/>
        <v>27</v>
      </c>
      <c r="W135" s="34">
        <v>1166</v>
      </c>
      <c r="X135" s="33"/>
      <c r="Y135" s="33"/>
      <c r="Z135" s="33"/>
      <c r="AA135" s="33">
        <f t="shared" si="93"/>
        <v>148676</v>
      </c>
      <c r="AB135" s="33"/>
      <c r="AC135" s="46">
        <f t="shared" si="94"/>
        <v>3.5120218172627081E-2</v>
      </c>
      <c r="AD135" s="33"/>
      <c r="AE135" s="33">
        <f t="shared" si="95"/>
        <v>1179.968253968254</v>
      </c>
      <c r="AF135" s="50"/>
      <c r="AG135" s="33"/>
      <c r="AH135" s="33"/>
      <c r="AI135" s="231"/>
      <c r="AJ135" s="50"/>
      <c r="AK135" s="10"/>
      <c r="AL135" s="23">
        <f t="shared" si="96"/>
        <v>36980</v>
      </c>
      <c r="AM135" s="24"/>
      <c r="AN135" s="24"/>
      <c r="AO135" s="24">
        <v>178263</v>
      </c>
      <c r="AP135" s="24">
        <v>1979617</v>
      </c>
      <c r="AQ135" s="24"/>
      <c r="AR135" s="504">
        <f t="shared" si="97"/>
        <v>1.9035980473963997E-2</v>
      </c>
      <c r="AS135" s="25"/>
      <c r="AT135" s="25"/>
      <c r="AU135" s="24"/>
      <c r="AV135" s="341">
        <f t="shared" si="98"/>
        <v>0.46762477426243315</v>
      </c>
      <c r="AW135" s="341"/>
      <c r="AX135" s="24">
        <f t="shared" si="99"/>
        <v>15711.246031746032</v>
      </c>
      <c r="AY135" s="351"/>
      <c r="AZ135" s="10"/>
      <c r="BA135" s="66">
        <f t="shared" si="100"/>
        <v>819305</v>
      </c>
      <c r="BB135" s="67"/>
      <c r="BC135" s="67">
        <v>51552175</v>
      </c>
      <c r="BD135" s="67"/>
      <c r="BE135" s="67">
        <f t="shared" si="101"/>
        <v>69443</v>
      </c>
      <c r="BF135" s="67"/>
      <c r="BG135" s="156">
        <f t="shared" si="102"/>
        <v>8.475842329779508E-2</v>
      </c>
      <c r="BH135" s="67"/>
      <c r="BI135" s="183"/>
      <c r="BJ135" s="67"/>
      <c r="BK135" s="67"/>
      <c r="BL135" s="67"/>
      <c r="BM135" s="156"/>
      <c r="BN135" s="66">
        <f t="shared" si="103"/>
        <v>409144.24603174604</v>
      </c>
      <c r="BO135" s="67"/>
      <c r="BP135" s="67">
        <f t="shared" si="104"/>
        <v>3890698</v>
      </c>
      <c r="BQ135" s="67"/>
      <c r="BR135" s="478">
        <f t="shared" si="105"/>
        <v>7.5471073722883655E-2</v>
      </c>
      <c r="BS135" s="67"/>
      <c r="BT135" s="86"/>
      <c r="BU135" s="183"/>
      <c r="BV135" s="1"/>
      <c r="BW135">
        <f t="shared" si="53"/>
        <v>126</v>
      </c>
    </row>
    <row r="136" spans="1:75" x14ac:dyDescent="0.3">
      <c r="A136" s="61"/>
      <c r="B136" s="171">
        <f t="shared" si="52"/>
        <v>44036</v>
      </c>
      <c r="C136" s="61"/>
      <c r="D136" s="17">
        <v>77978</v>
      </c>
      <c r="E136" s="16"/>
      <c r="F136" s="16"/>
      <c r="G136" s="16"/>
      <c r="H136" s="16">
        <f t="shared" si="89"/>
        <v>4311323</v>
      </c>
      <c r="I136" s="16"/>
      <c r="J136" s="479">
        <f t="shared" si="90"/>
        <v>1.8419949236360374E-2</v>
      </c>
      <c r="K136" s="16"/>
      <c r="L136" s="16"/>
      <c r="M136" s="16"/>
      <c r="N136" s="16"/>
      <c r="O136" s="16">
        <f t="shared" si="91"/>
        <v>33947.425196850396</v>
      </c>
      <c r="P136" s="41"/>
      <c r="Q136" s="17">
        <f t="shared" si="92"/>
        <v>478284</v>
      </c>
      <c r="R136" s="16"/>
      <c r="S136" s="60">
        <f t="shared" si="106"/>
        <v>1.3347910098647412E-2</v>
      </c>
      <c r="T136" s="16"/>
      <c r="U136" s="41"/>
      <c r="V136" s="10">
        <f t="shared" si="85"/>
        <v>28</v>
      </c>
      <c r="W136" s="34">
        <v>1141</v>
      </c>
      <c r="X136" s="33"/>
      <c r="Y136" s="33"/>
      <c r="Z136" s="33"/>
      <c r="AA136" s="33">
        <f t="shared" si="93"/>
        <v>149817</v>
      </c>
      <c r="AB136" s="33"/>
      <c r="AC136" s="46">
        <f t="shared" si="94"/>
        <v>3.47496580516004E-2</v>
      </c>
      <c r="AD136" s="33"/>
      <c r="AE136" s="33">
        <f t="shared" si="95"/>
        <v>1179.6614173228347</v>
      </c>
      <c r="AF136" s="50"/>
      <c r="AG136" s="33"/>
      <c r="AH136" s="33"/>
      <c r="AI136" s="231"/>
      <c r="AJ136" s="50"/>
      <c r="AK136" s="10"/>
      <c r="AL136" s="23">
        <f t="shared" si="96"/>
        <v>48275</v>
      </c>
      <c r="AM136" s="24"/>
      <c r="AN136" s="24"/>
      <c r="AO136" s="24">
        <v>178263</v>
      </c>
      <c r="AP136" s="24">
        <v>2027892</v>
      </c>
      <c r="AQ136" s="24"/>
      <c r="AR136" s="504">
        <f t="shared" si="97"/>
        <v>2.4386030227059072E-2</v>
      </c>
      <c r="AS136" s="25"/>
      <c r="AT136" s="25"/>
      <c r="AU136" s="24"/>
      <c r="AV136" s="341">
        <f t="shared" si="98"/>
        <v>0.47036420142958435</v>
      </c>
      <c r="AW136" s="341"/>
      <c r="AX136" s="24">
        <f t="shared" si="99"/>
        <v>15967.653543307086</v>
      </c>
      <c r="AY136" s="351"/>
      <c r="AZ136" s="10"/>
      <c r="BA136" s="66">
        <f t="shared" si="100"/>
        <v>968251</v>
      </c>
      <c r="BB136" s="67"/>
      <c r="BC136" s="67">
        <v>52520426</v>
      </c>
      <c r="BD136" s="67"/>
      <c r="BE136" s="67">
        <f t="shared" si="101"/>
        <v>77978</v>
      </c>
      <c r="BF136" s="67"/>
      <c r="BG136" s="156">
        <f t="shared" si="102"/>
        <v>8.0534902623390012E-2</v>
      </c>
      <c r="BH136" s="67"/>
      <c r="BI136" s="183"/>
      <c r="BJ136" s="67"/>
      <c r="BK136" s="67"/>
      <c r="BL136" s="67"/>
      <c r="BM136" s="156"/>
      <c r="BN136" s="66">
        <f t="shared" si="103"/>
        <v>413546.66141732282</v>
      </c>
      <c r="BO136" s="67"/>
      <c r="BP136" s="67">
        <f t="shared" si="104"/>
        <v>3968676</v>
      </c>
      <c r="BQ136" s="67"/>
      <c r="BR136" s="478">
        <f t="shared" si="105"/>
        <v>7.5564428970930284E-2</v>
      </c>
      <c r="BS136" s="67"/>
      <c r="BT136" s="86"/>
      <c r="BU136" s="183"/>
      <c r="BV136" s="1"/>
      <c r="BW136">
        <f t="shared" si="53"/>
        <v>127</v>
      </c>
    </row>
    <row r="137" spans="1:75" x14ac:dyDescent="0.3">
      <c r="A137" s="61"/>
      <c r="B137" s="171">
        <f t="shared" si="52"/>
        <v>44037</v>
      </c>
      <c r="C137" s="61"/>
      <c r="D137" s="17">
        <v>67413</v>
      </c>
      <c r="E137" s="16"/>
      <c r="F137" s="16"/>
      <c r="G137" s="16"/>
      <c r="H137" s="16">
        <f t="shared" si="89"/>
        <v>4378736</v>
      </c>
      <c r="I137" s="16"/>
      <c r="J137" s="479">
        <f t="shared" si="90"/>
        <v>1.5636267567983191E-2</v>
      </c>
      <c r="K137" s="16"/>
      <c r="L137" s="16"/>
      <c r="M137" s="16"/>
      <c r="N137" s="16"/>
      <c r="O137" s="16">
        <f t="shared" si="91"/>
        <v>34208.875</v>
      </c>
      <c r="P137" s="41"/>
      <c r="Q137" s="17">
        <f t="shared" si="92"/>
        <v>482438</v>
      </c>
      <c r="R137" s="16"/>
      <c r="S137" s="60">
        <f t="shared" si="106"/>
        <v>1.8824811413993801E-2</v>
      </c>
      <c r="T137" s="16"/>
      <c r="U137" s="41"/>
      <c r="V137" s="10">
        <f t="shared" si="85"/>
        <v>29</v>
      </c>
      <c r="W137" s="34">
        <v>908</v>
      </c>
      <c r="X137" s="33"/>
      <c r="Y137" s="33"/>
      <c r="Z137" s="33"/>
      <c r="AA137" s="33">
        <f t="shared" si="93"/>
        <v>150725</v>
      </c>
      <c r="AB137" s="33"/>
      <c r="AC137" s="46">
        <f t="shared" si="94"/>
        <v>3.4422034121262393E-2</v>
      </c>
      <c r="AD137" s="33"/>
      <c r="AE137" s="33">
        <f t="shared" si="95"/>
        <v>1177.5390625</v>
      </c>
      <c r="AF137" s="50"/>
      <c r="AG137" s="33"/>
      <c r="AH137" s="33"/>
      <c r="AI137" s="231"/>
      <c r="AJ137" s="50"/>
      <c r="AK137" s="10"/>
      <c r="AL137" s="23">
        <f t="shared" si="96"/>
        <v>33800</v>
      </c>
      <c r="AM137" s="24"/>
      <c r="AN137" s="24"/>
      <c r="AO137" s="24">
        <v>178263</v>
      </c>
      <c r="AP137" s="24">
        <v>2061692</v>
      </c>
      <c r="AQ137" s="24"/>
      <c r="AR137" s="504">
        <f t="shared" si="97"/>
        <v>1.6667554287900933E-2</v>
      </c>
      <c r="AS137" s="25"/>
      <c r="AT137" s="25"/>
      <c r="AU137" s="24"/>
      <c r="AV137" s="341">
        <f t="shared" si="98"/>
        <v>0.47084181371062334</v>
      </c>
      <c r="AW137" s="341"/>
      <c r="AX137" s="24">
        <f t="shared" si="99"/>
        <v>16106.96875</v>
      </c>
      <c r="AY137" s="351"/>
      <c r="AZ137" s="10"/>
      <c r="BA137" s="66">
        <f t="shared" si="100"/>
        <v>831824</v>
      </c>
      <c r="BB137" s="67"/>
      <c r="BC137" s="67">
        <v>53352250</v>
      </c>
      <c r="BD137" s="67"/>
      <c r="BE137" s="67">
        <f t="shared" si="101"/>
        <v>67413</v>
      </c>
      <c r="BF137" s="67"/>
      <c r="BG137" s="156">
        <f t="shared" si="102"/>
        <v>8.1042383965838932E-2</v>
      </c>
      <c r="BH137" s="67"/>
      <c r="BI137" s="183"/>
      <c r="BJ137" s="67"/>
      <c r="BK137" s="67"/>
      <c r="BL137" s="67"/>
      <c r="BM137" s="156"/>
      <c r="BN137" s="66">
        <f t="shared" si="103"/>
        <v>416814.453125</v>
      </c>
      <c r="BO137" s="67"/>
      <c r="BP137" s="67">
        <f t="shared" si="104"/>
        <v>4036089</v>
      </c>
      <c r="BQ137" s="67"/>
      <c r="BR137" s="478">
        <f t="shared" si="105"/>
        <v>7.5649836698545983E-2</v>
      </c>
      <c r="BS137" s="67"/>
      <c r="BT137" s="86"/>
      <c r="BU137" s="183"/>
      <c r="BV137" s="1"/>
      <c r="BW137">
        <f t="shared" si="53"/>
        <v>128</v>
      </c>
    </row>
    <row r="138" spans="1:75" x14ac:dyDescent="0.3">
      <c r="A138" s="61"/>
      <c r="B138" s="390">
        <f t="shared" si="52"/>
        <v>44038</v>
      </c>
      <c r="C138" s="61"/>
      <c r="D138" s="17">
        <v>56130</v>
      </c>
      <c r="E138" s="16"/>
      <c r="F138" s="16"/>
      <c r="G138" s="16"/>
      <c r="H138" s="16">
        <f t="shared" si="89"/>
        <v>4434866</v>
      </c>
      <c r="I138" s="16"/>
      <c r="J138" s="479">
        <f t="shared" si="90"/>
        <v>1.2818767790522196E-2</v>
      </c>
      <c r="K138" s="16"/>
      <c r="L138" s="16"/>
      <c r="M138" s="16"/>
      <c r="N138" s="16">
        <f>SUM(D132:D138)</f>
        <v>473289</v>
      </c>
      <c r="O138" s="16">
        <f t="shared" si="91"/>
        <v>34378.806201550389</v>
      </c>
      <c r="P138" s="41"/>
      <c r="Q138" s="17">
        <f t="shared" si="92"/>
        <v>473289</v>
      </c>
      <c r="R138" s="16"/>
      <c r="S138" s="60">
        <f t="shared" si="106"/>
        <v>-1.4912978141507823E-2</v>
      </c>
      <c r="T138" s="16"/>
      <c r="U138" s="41"/>
      <c r="V138" s="391">
        <f t="shared" si="85"/>
        <v>30</v>
      </c>
      <c r="W138" s="34">
        <v>450</v>
      </c>
      <c r="X138" s="33"/>
      <c r="Y138" s="33"/>
      <c r="Z138" s="33"/>
      <c r="AA138" s="33">
        <f t="shared" si="93"/>
        <v>151175</v>
      </c>
      <c r="AB138" s="33"/>
      <c r="AC138" s="46">
        <f t="shared" si="94"/>
        <v>3.4087839407098211E-2</v>
      </c>
      <c r="AD138" s="33"/>
      <c r="AE138" s="33">
        <f t="shared" si="95"/>
        <v>1171.8992248062016</v>
      </c>
      <c r="AF138" s="50"/>
      <c r="AG138" s="33">
        <f>SUM(W132:W138)</f>
        <v>6580</v>
      </c>
      <c r="AH138" s="33">
        <f>SUM(D109:D280)</f>
        <v>11060852</v>
      </c>
      <c r="AI138" s="231">
        <f>+(AG138-AG131)/AG131</f>
        <v>0.18836915297092288</v>
      </c>
      <c r="AJ138" s="50"/>
      <c r="AK138" s="391"/>
      <c r="AL138" s="23">
        <f t="shared" si="96"/>
        <v>28437</v>
      </c>
      <c r="AM138" s="24"/>
      <c r="AN138" s="24"/>
      <c r="AO138" s="24">
        <v>178263</v>
      </c>
      <c r="AP138" s="24">
        <v>2090129</v>
      </c>
      <c r="AQ138" s="24"/>
      <c r="AR138" s="504">
        <f t="shared" si="97"/>
        <v>1.3793039891506587E-2</v>
      </c>
      <c r="AS138" s="25"/>
      <c r="AT138" s="25"/>
      <c r="AU138" s="24"/>
      <c r="AV138" s="341">
        <f t="shared" si="98"/>
        <v>0.47129473584996706</v>
      </c>
      <c r="AW138" s="341"/>
      <c r="AX138" s="24">
        <f t="shared" si="99"/>
        <v>16202.550387596899</v>
      </c>
      <c r="AY138" s="351"/>
      <c r="AZ138" s="391"/>
      <c r="BA138" s="66">
        <f t="shared" si="100"/>
        <v>867325</v>
      </c>
      <c r="BB138" s="67"/>
      <c r="BC138" s="67">
        <v>54219575</v>
      </c>
      <c r="BD138" s="67"/>
      <c r="BE138" s="67">
        <f t="shared" si="101"/>
        <v>56130</v>
      </c>
      <c r="BF138" s="67"/>
      <c r="BG138" s="156">
        <f t="shared" si="102"/>
        <v>6.4716225175107375E-2</v>
      </c>
      <c r="BH138" s="67"/>
      <c r="BI138" s="183"/>
      <c r="BJ138" s="67"/>
      <c r="BK138" s="67">
        <f t="shared" ref="BK138:BK164" si="107">SUM(BA132:BA138)</f>
        <v>5877840</v>
      </c>
      <c r="BL138" s="67"/>
      <c r="BM138" s="156">
        <f t="shared" ref="BM138:BM164" si="108">+Q138/BK138</f>
        <v>8.0520905638806095E-2</v>
      </c>
      <c r="BN138" s="66">
        <f t="shared" si="103"/>
        <v>420306.78294573643</v>
      </c>
      <c r="BO138" s="67"/>
      <c r="BP138" s="67">
        <f t="shared" si="104"/>
        <v>4092219</v>
      </c>
      <c r="BQ138" s="67"/>
      <c r="BR138" s="478">
        <f t="shared" si="105"/>
        <v>7.5474936865513972E-2</v>
      </c>
      <c r="BS138" s="67"/>
      <c r="BT138" s="86"/>
      <c r="BU138" s="183"/>
      <c r="BV138" s="1"/>
      <c r="BW138" s="472">
        <f t="shared" si="53"/>
        <v>129</v>
      </c>
    </row>
    <row r="139" spans="1:75" x14ac:dyDescent="0.3">
      <c r="A139" s="548"/>
      <c r="B139" s="171">
        <f t="shared" si="52"/>
        <v>44039</v>
      </c>
      <c r="C139" s="61"/>
      <c r="D139" s="17">
        <v>61571</v>
      </c>
      <c r="E139" s="16"/>
      <c r="F139" s="16"/>
      <c r="G139" s="16"/>
      <c r="H139" s="16">
        <f t="shared" si="89"/>
        <v>4496437</v>
      </c>
      <c r="I139" s="16"/>
      <c r="J139" s="479">
        <f t="shared" si="90"/>
        <v>1.388339580045936E-2</v>
      </c>
      <c r="K139" s="16"/>
      <c r="L139" s="16"/>
      <c r="M139" s="16"/>
      <c r="N139" s="16"/>
      <c r="O139" s="16">
        <f t="shared" si="91"/>
        <v>34587.976923076923</v>
      </c>
      <c r="P139" s="41"/>
      <c r="Q139" s="17">
        <f t="shared" si="92"/>
        <v>471981</v>
      </c>
      <c r="R139" s="16"/>
      <c r="S139" s="60">
        <f t="shared" si="106"/>
        <v>-1.2271761763751844E-2</v>
      </c>
      <c r="T139" s="16"/>
      <c r="U139" s="41"/>
      <c r="V139" s="10">
        <f>+V138+1</f>
        <v>31</v>
      </c>
      <c r="W139" s="34">
        <v>596</v>
      </c>
      <c r="X139" s="33"/>
      <c r="Y139" s="33"/>
      <c r="Z139" s="33"/>
      <c r="AA139" s="33">
        <f t="shared" si="93"/>
        <v>151771</v>
      </c>
      <c r="AB139" s="33"/>
      <c r="AC139" s="46">
        <f t="shared" si="94"/>
        <v>3.3753614250572175E-2</v>
      </c>
      <c r="AD139" s="33"/>
      <c r="AE139" s="33">
        <f t="shared" si="95"/>
        <v>1167.4692307692308</v>
      </c>
      <c r="AF139" s="50"/>
      <c r="AG139" s="33"/>
      <c r="AH139" s="33"/>
      <c r="AI139" s="231"/>
      <c r="AJ139" s="50"/>
      <c r="AK139" s="10"/>
      <c r="AL139" s="23">
        <f t="shared" si="96"/>
        <v>46474</v>
      </c>
      <c r="AM139" s="24"/>
      <c r="AN139" s="24"/>
      <c r="AO139" s="24">
        <v>178263</v>
      </c>
      <c r="AP139" s="24">
        <v>2136603</v>
      </c>
      <c r="AQ139" s="24"/>
      <c r="AR139" s="504">
        <f t="shared" si="97"/>
        <v>2.2234991237382956E-2</v>
      </c>
      <c r="AS139" s="25"/>
      <c r="AT139" s="25"/>
      <c r="AU139" s="24"/>
      <c r="AV139" s="341">
        <f t="shared" si="98"/>
        <v>0.47517690117753236</v>
      </c>
      <c r="AW139" s="341"/>
      <c r="AX139" s="24">
        <f t="shared" si="99"/>
        <v>16435.407692307694</v>
      </c>
      <c r="AY139" s="351"/>
      <c r="AZ139" s="10"/>
      <c r="BA139" s="66">
        <f t="shared" si="100"/>
        <v>798661</v>
      </c>
      <c r="BB139" s="67"/>
      <c r="BC139" s="67">
        <v>55018236</v>
      </c>
      <c r="BD139" s="67"/>
      <c r="BE139" s="67">
        <f t="shared" si="101"/>
        <v>61571</v>
      </c>
      <c r="BF139" s="67"/>
      <c r="BG139" s="156">
        <f t="shared" si="102"/>
        <v>7.7092784047299162E-2</v>
      </c>
      <c r="BH139" s="67"/>
      <c r="BI139" s="183"/>
      <c r="BJ139" s="67"/>
      <c r="BK139" s="67">
        <f t="shared" si="107"/>
        <v>5856329</v>
      </c>
      <c r="BL139" s="67"/>
      <c r="BM139" s="156">
        <f t="shared" si="108"/>
        <v>8.059332049138633E-2</v>
      </c>
      <c r="BN139" s="66">
        <f t="shared" si="103"/>
        <v>423217.2</v>
      </c>
      <c r="BO139" s="67"/>
      <c r="BP139" s="67">
        <f t="shared" si="104"/>
        <v>4153790</v>
      </c>
      <c r="BQ139" s="67"/>
      <c r="BR139" s="478">
        <f t="shared" si="105"/>
        <v>7.5498422014111832E-2</v>
      </c>
      <c r="BS139" s="67"/>
      <c r="BT139" s="86"/>
      <c r="BU139" s="183"/>
      <c r="BV139" s="1"/>
      <c r="BW139" s="61">
        <f t="shared" si="53"/>
        <v>130</v>
      </c>
    </row>
    <row r="140" spans="1:75" x14ac:dyDescent="0.3">
      <c r="A140" s="61"/>
      <c r="B140" s="171">
        <f t="shared" si="52"/>
        <v>44040</v>
      </c>
      <c r="C140" s="61"/>
      <c r="D140" s="17">
        <v>64729</v>
      </c>
      <c r="E140" s="16"/>
      <c r="F140" s="16"/>
      <c r="G140" s="16"/>
      <c r="H140" s="16">
        <f t="shared" si="89"/>
        <v>4561166</v>
      </c>
      <c r="I140" s="16"/>
      <c r="J140" s="479">
        <f t="shared" si="90"/>
        <v>1.4395620354516254E-2</v>
      </c>
      <c r="K140" s="16"/>
      <c r="L140" s="16"/>
      <c r="M140" s="16"/>
      <c r="N140" s="16"/>
      <c r="O140" s="16">
        <f t="shared" si="91"/>
        <v>34818.061068702293</v>
      </c>
      <c r="P140" s="41"/>
      <c r="Q140" s="17">
        <f t="shared" si="92"/>
        <v>469231</v>
      </c>
      <c r="R140" s="16"/>
      <c r="S140" s="60">
        <f t="shared" si="106"/>
        <v>-2.0958696033183385E-2</v>
      </c>
      <c r="T140" s="16"/>
      <c r="U140" s="41"/>
      <c r="V140" s="10">
        <f t="shared" ref="V140:V264" si="109">+V139+1</f>
        <v>32</v>
      </c>
      <c r="W140" s="34">
        <v>1245</v>
      </c>
      <c r="X140" s="33"/>
      <c r="Y140" s="33"/>
      <c r="Z140" s="33"/>
      <c r="AA140" s="33">
        <f t="shared" si="93"/>
        <v>153016</v>
      </c>
      <c r="AB140" s="33"/>
      <c r="AC140" s="46">
        <f t="shared" si="94"/>
        <v>3.3547562180372296E-2</v>
      </c>
      <c r="AD140" s="33"/>
      <c r="AE140" s="33">
        <f t="shared" si="95"/>
        <v>1168.0610687022902</v>
      </c>
      <c r="AF140" s="50"/>
      <c r="AG140" s="33"/>
      <c r="AH140" s="33"/>
      <c r="AI140" s="231"/>
      <c r="AJ140" s="50"/>
      <c r="AK140" s="10"/>
      <c r="AL140" s="23">
        <f t="shared" si="96"/>
        <v>49291</v>
      </c>
      <c r="AM140" s="24"/>
      <c r="AN140" s="24"/>
      <c r="AO140" s="24">
        <v>178263</v>
      </c>
      <c r="AP140" s="24">
        <v>2185894</v>
      </c>
      <c r="AQ140" s="24"/>
      <c r="AR140" s="504">
        <f t="shared" si="97"/>
        <v>2.3069798179633744E-2</v>
      </c>
      <c r="AS140" s="25"/>
      <c r="AT140" s="25"/>
      <c r="AU140" s="24"/>
      <c r="AV140" s="341">
        <f t="shared" si="98"/>
        <v>0.47924017674427988</v>
      </c>
      <c r="AW140" s="341"/>
      <c r="AX140" s="24">
        <f t="shared" si="99"/>
        <v>16686.213740458013</v>
      </c>
      <c r="AY140" s="351"/>
      <c r="AZ140" s="10"/>
      <c r="BA140" s="66">
        <f t="shared" si="100"/>
        <v>787180</v>
      </c>
      <c r="BB140" s="67"/>
      <c r="BC140" s="67">
        <v>55805416</v>
      </c>
      <c r="BD140" s="67"/>
      <c r="BE140" s="67">
        <f t="shared" si="101"/>
        <v>64729</v>
      </c>
      <c r="BF140" s="67"/>
      <c r="BG140" s="156">
        <f t="shared" si="102"/>
        <v>8.2228969231941867E-2</v>
      </c>
      <c r="BH140" s="67"/>
      <c r="BI140" s="183"/>
      <c r="BJ140" s="67"/>
      <c r="BK140" s="67">
        <f t="shared" si="107"/>
        <v>5891863</v>
      </c>
      <c r="BL140" s="67"/>
      <c r="BM140" s="156">
        <f t="shared" si="108"/>
        <v>7.9640514383990266E-2</v>
      </c>
      <c r="BN140" s="66">
        <f t="shared" si="103"/>
        <v>425995.54198473284</v>
      </c>
      <c r="BO140" s="67"/>
      <c r="BP140" s="67">
        <f t="shared" si="104"/>
        <v>4218519</v>
      </c>
      <c r="BQ140" s="67"/>
      <c r="BR140" s="478">
        <f t="shared" si="105"/>
        <v>7.5593361762593084E-2</v>
      </c>
      <c r="BS140" s="67"/>
      <c r="BT140" s="86"/>
      <c r="BU140" s="183"/>
      <c r="BV140" s="1"/>
      <c r="BW140" s="61">
        <f t="shared" si="53"/>
        <v>131</v>
      </c>
    </row>
    <row r="141" spans="1:75" x14ac:dyDescent="0.3">
      <c r="A141" s="61"/>
      <c r="B141" s="171">
        <f t="shared" si="52"/>
        <v>44041</v>
      </c>
      <c r="C141" s="61"/>
      <c r="D141" s="17">
        <v>66921</v>
      </c>
      <c r="E141" s="16"/>
      <c r="F141" s="16"/>
      <c r="G141" s="16"/>
      <c r="H141" s="16">
        <f t="shared" si="89"/>
        <v>4628087</v>
      </c>
      <c r="I141" s="16"/>
      <c r="J141" s="479">
        <f t="shared" si="90"/>
        <v>1.4671906262565317E-2</v>
      </c>
      <c r="K141" s="16"/>
      <c r="L141" s="16"/>
      <c r="M141" s="16"/>
      <c r="N141" s="16"/>
      <c r="O141" s="16">
        <f t="shared" si="91"/>
        <v>35061.265151515152</v>
      </c>
      <c r="P141" s="41"/>
      <c r="Q141" s="17">
        <f t="shared" si="92"/>
        <v>464185</v>
      </c>
      <c r="R141" s="16"/>
      <c r="S141" s="60">
        <f t="shared" si="106"/>
        <v>-3.1410280486939682E-2</v>
      </c>
      <c r="T141" s="16"/>
      <c r="U141" s="41"/>
      <c r="V141" s="10">
        <f t="shared" si="109"/>
        <v>33</v>
      </c>
      <c r="W141" s="34">
        <v>1485</v>
      </c>
      <c r="X141" s="33"/>
      <c r="Y141" s="33"/>
      <c r="Z141" s="33"/>
      <c r="AA141" s="33">
        <f t="shared" si="93"/>
        <v>154501</v>
      </c>
      <c r="AB141" s="33"/>
      <c r="AC141" s="46">
        <f t="shared" si="94"/>
        <v>3.3383339595820044E-2</v>
      </c>
      <c r="AD141" s="33"/>
      <c r="AE141" s="33">
        <f t="shared" si="95"/>
        <v>1170.4621212121212</v>
      </c>
      <c r="AF141" s="50"/>
      <c r="AG141" s="33"/>
      <c r="AH141" s="33"/>
      <c r="AI141" s="231"/>
      <c r="AJ141" s="50"/>
      <c r="AK141" s="10"/>
      <c r="AL141" s="23">
        <f t="shared" si="96"/>
        <v>59150</v>
      </c>
      <c r="AM141" s="24"/>
      <c r="AN141" s="24"/>
      <c r="AO141" s="24">
        <v>178263</v>
      </c>
      <c r="AP141" s="24">
        <v>2245044</v>
      </c>
      <c r="AQ141" s="24"/>
      <c r="AR141" s="504">
        <f t="shared" si="97"/>
        <v>2.7059866580904656E-2</v>
      </c>
      <c r="AS141" s="25"/>
      <c r="AT141" s="25"/>
      <c r="AU141" s="24"/>
      <c r="AV141" s="341">
        <f t="shared" si="98"/>
        <v>0.48509114024865996</v>
      </c>
      <c r="AW141" s="341"/>
      <c r="AX141" s="24">
        <f t="shared" si="99"/>
        <v>17007.909090909092</v>
      </c>
      <c r="AY141" s="351"/>
      <c r="AZ141" s="10"/>
      <c r="BA141" s="66">
        <f t="shared" si="100"/>
        <v>878963</v>
      </c>
      <c r="BB141" s="67"/>
      <c r="BC141" s="67">
        <v>56684379</v>
      </c>
      <c r="BD141" s="67"/>
      <c r="BE141" s="67">
        <f t="shared" si="101"/>
        <v>66921</v>
      </c>
      <c r="BF141" s="67"/>
      <c r="BG141" s="156">
        <f t="shared" si="102"/>
        <v>7.6136310629685205E-2</v>
      </c>
      <c r="BH141" s="67"/>
      <c r="BI141" s="183"/>
      <c r="BJ141" s="67"/>
      <c r="BK141" s="67">
        <f t="shared" si="107"/>
        <v>5951509</v>
      </c>
      <c r="BL141" s="67"/>
      <c r="BM141" s="156">
        <f t="shared" si="108"/>
        <v>7.7994505259086397E-2</v>
      </c>
      <c r="BN141" s="66">
        <f t="shared" si="103"/>
        <v>429427.11363636365</v>
      </c>
      <c r="BO141" s="67"/>
      <c r="BP141" s="67">
        <f t="shared" si="104"/>
        <v>4285440</v>
      </c>
      <c r="BQ141" s="67"/>
      <c r="BR141" s="478">
        <f t="shared" si="105"/>
        <v>7.5601780871587212E-2</v>
      </c>
      <c r="BS141" s="67"/>
      <c r="BT141" s="86"/>
      <c r="BU141" s="183"/>
      <c r="BV141" s="1"/>
      <c r="BW141" s="61">
        <f t="shared" si="53"/>
        <v>132</v>
      </c>
    </row>
    <row r="142" spans="1:75" x14ac:dyDescent="0.3">
      <c r="A142" s="61"/>
      <c r="B142" s="171">
        <f t="shared" si="52"/>
        <v>44042</v>
      </c>
      <c r="C142" s="61"/>
      <c r="D142" s="17">
        <v>68569</v>
      </c>
      <c r="E142" s="16"/>
      <c r="F142" s="16"/>
      <c r="G142" s="16"/>
      <c r="H142" s="16">
        <f t="shared" si="89"/>
        <v>4696656</v>
      </c>
      <c r="I142" s="16"/>
      <c r="J142" s="479">
        <f t="shared" si="90"/>
        <v>1.4815840756666847E-2</v>
      </c>
      <c r="K142" s="16"/>
      <c r="L142" s="16"/>
      <c r="M142" s="16"/>
      <c r="N142" s="16"/>
      <c r="O142" s="16">
        <f t="shared" si="91"/>
        <v>35313.203007518794</v>
      </c>
      <c r="P142" s="41"/>
      <c r="Q142" s="17">
        <f t="shared" si="92"/>
        <v>463311</v>
      </c>
      <c r="R142" s="16"/>
      <c r="S142" s="60">
        <f t="shared" si="106"/>
        <v>-2.5209712745611654E-2</v>
      </c>
      <c r="T142" s="16"/>
      <c r="U142" s="41"/>
      <c r="V142" s="10">
        <f t="shared" si="109"/>
        <v>34</v>
      </c>
      <c r="W142" s="34">
        <v>1465</v>
      </c>
      <c r="X142" s="33"/>
      <c r="Y142" s="33"/>
      <c r="Z142" s="33"/>
      <c r="AA142" s="33">
        <f t="shared" si="93"/>
        <v>155966</v>
      </c>
      <c r="AB142" s="33"/>
      <c r="AC142" s="46">
        <f t="shared" si="94"/>
        <v>3.3207882374182825E-2</v>
      </c>
      <c r="AD142" s="33"/>
      <c r="AE142" s="33">
        <f t="shared" si="95"/>
        <v>1172.6766917293232</v>
      </c>
      <c r="AF142" s="50"/>
      <c r="AG142" s="33"/>
      <c r="AH142" s="33"/>
      <c r="AI142" s="231"/>
      <c r="AJ142" s="50"/>
      <c r="AK142" s="10"/>
      <c r="AL142" s="23">
        <f t="shared" si="96"/>
        <v>39921</v>
      </c>
      <c r="AM142" s="24"/>
      <c r="AN142" s="24"/>
      <c r="AO142" s="24">
        <v>178263</v>
      </c>
      <c r="AP142" s="24">
        <v>2284965</v>
      </c>
      <c r="AQ142" s="24"/>
      <c r="AR142" s="504">
        <f t="shared" si="97"/>
        <v>1.7781834119954886E-2</v>
      </c>
      <c r="AS142" s="25"/>
      <c r="AT142" s="25"/>
      <c r="AU142" s="24"/>
      <c r="AV142" s="341">
        <f t="shared" si="98"/>
        <v>0.48650891187261747</v>
      </c>
      <c r="AW142" s="341"/>
      <c r="AX142" s="24">
        <f t="shared" si="99"/>
        <v>17180.187969924813</v>
      </c>
      <c r="AY142" s="351"/>
      <c r="AZ142" s="10"/>
      <c r="BA142" s="66">
        <f t="shared" si="100"/>
        <v>836765</v>
      </c>
      <c r="BB142" s="67"/>
      <c r="BC142" s="67">
        <v>57521144</v>
      </c>
      <c r="BD142" s="67"/>
      <c r="BE142" s="67">
        <f t="shared" si="101"/>
        <v>68569</v>
      </c>
      <c r="BF142" s="67"/>
      <c r="BG142" s="156">
        <f t="shared" si="102"/>
        <v>8.1945349052601382E-2</v>
      </c>
      <c r="BH142" s="67"/>
      <c r="BI142" s="183"/>
      <c r="BJ142" s="67"/>
      <c r="BK142" s="67">
        <f t="shared" si="107"/>
        <v>5968969</v>
      </c>
      <c r="BL142" s="67"/>
      <c r="BM142" s="156">
        <f t="shared" si="108"/>
        <v>7.7619937379470386E-2</v>
      </c>
      <c r="BN142" s="66">
        <f t="shared" si="103"/>
        <v>432489.80451127817</v>
      </c>
      <c r="BO142" s="67"/>
      <c r="BP142" s="67">
        <f t="shared" si="104"/>
        <v>4354009</v>
      </c>
      <c r="BQ142" s="67"/>
      <c r="BR142" s="478">
        <f t="shared" si="105"/>
        <v>7.5694061300310714E-2</v>
      </c>
      <c r="BS142" s="67"/>
      <c r="BT142" s="86"/>
      <c r="BU142" s="183"/>
      <c r="BV142" s="1"/>
      <c r="BW142" s="61">
        <f t="shared" si="53"/>
        <v>133</v>
      </c>
    </row>
    <row r="143" spans="1:75" x14ac:dyDescent="0.3">
      <c r="A143" s="61"/>
      <c r="B143" s="171">
        <f t="shared" si="52"/>
        <v>44043</v>
      </c>
      <c r="C143" s="61"/>
      <c r="D143" s="17">
        <v>71083</v>
      </c>
      <c r="E143" s="16"/>
      <c r="F143" s="16"/>
      <c r="G143" s="16"/>
      <c r="H143" s="16">
        <f t="shared" si="89"/>
        <v>4767739</v>
      </c>
      <c r="I143" s="16"/>
      <c r="J143" s="479">
        <f t="shared" si="90"/>
        <v>1.5134810810074232E-2</v>
      </c>
      <c r="K143" s="16"/>
      <c r="L143" s="16"/>
      <c r="M143" s="16"/>
      <c r="N143" s="469">
        <f>SUM(D113:D143)</f>
        <v>1970617</v>
      </c>
      <c r="O143" s="16">
        <f t="shared" si="91"/>
        <v>35580.141791044778</v>
      </c>
      <c r="P143" s="41"/>
      <c r="Q143" s="17">
        <f t="shared" si="92"/>
        <v>456416</v>
      </c>
      <c r="R143" s="16"/>
      <c r="S143" s="60">
        <f t="shared" si="106"/>
        <v>-4.5721788728036061E-2</v>
      </c>
      <c r="T143" s="16"/>
      <c r="U143" s="41"/>
      <c r="V143" s="10">
        <f t="shared" si="109"/>
        <v>35</v>
      </c>
      <c r="W143" s="34">
        <v>1462</v>
      </c>
      <c r="X143" s="33"/>
      <c r="Y143" s="33"/>
      <c r="Z143" s="33"/>
      <c r="AA143" s="33">
        <f t="shared" si="93"/>
        <v>157428</v>
      </c>
      <c r="AB143" s="33"/>
      <c r="AC143" s="46">
        <f t="shared" si="94"/>
        <v>3.3019424930769072E-2</v>
      </c>
      <c r="AD143" s="33"/>
      <c r="AE143" s="33">
        <f t="shared" si="95"/>
        <v>1174.8358208955224</v>
      </c>
      <c r="AF143" s="50"/>
      <c r="AG143" s="33">
        <f>SUM(W113:W143)</f>
        <v>25901</v>
      </c>
      <c r="AH143" s="33"/>
      <c r="AI143" s="231"/>
      <c r="AJ143" s="50"/>
      <c r="AK143" s="10"/>
      <c r="AL143" s="23">
        <f t="shared" si="96"/>
        <v>42607</v>
      </c>
      <c r="AM143" s="24"/>
      <c r="AN143" s="24"/>
      <c r="AO143" s="24">
        <v>178263</v>
      </c>
      <c r="AP143" s="24">
        <v>2327572</v>
      </c>
      <c r="AQ143" s="24"/>
      <c r="AR143" s="504">
        <f t="shared" si="97"/>
        <v>1.8646675113185542E-2</v>
      </c>
      <c r="AS143" s="25"/>
      <c r="AT143" s="25"/>
      <c r="AU143" s="24"/>
      <c r="AV143" s="341">
        <f t="shared" si="98"/>
        <v>0.48819199205325625</v>
      </c>
      <c r="AW143" s="341"/>
      <c r="AX143" s="24">
        <f t="shared" si="99"/>
        <v>17369.940298507463</v>
      </c>
      <c r="AY143" s="351"/>
      <c r="AZ143" s="10"/>
      <c r="BA143" s="66">
        <f t="shared" si="100"/>
        <v>972569</v>
      </c>
      <c r="BB143" s="67"/>
      <c r="BC143" s="67">
        <v>58493713</v>
      </c>
      <c r="BD143" s="67"/>
      <c r="BE143" s="67">
        <f t="shared" si="101"/>
        <v>71083</v>
      </c>
      <c r="BF143" s="67"/>
      <c r="BG143" s="156">
        <f t="shared" si="102"/>
        <v>7.3087873456793295E-2</v>
      </c>
      <c r="BH143" s="67"/>
      <c r="BI143" s="183"/>
      <c r="BJ143" s="67"/>
      <c r="BK143" s="67">
        <f t="shared" si="107"/>
        <v>5973287</v>
      </c>
      <c r="BL143" s="67"/>
      <c r="BM143" s="156">
        <f t="shared" si="108"/>
        <v>7.6409521256889212E-2</v>
      </c>
      <c r="BN143" s="66">
        <f t="shared" si="103"/>
        <v>436520.24626865675</v>
      </c>
      <c r="BO143" s="67"/>
      <c r="BP143" s="67">
        <f t="shared" si="104"/>
        <v>4425092</v>
      </c>
      <c r="BQ143" s="67"/>
      <c r="BR143" s="478">
        <f t="shared" si="105"/>
        <v>7.5650728480853996E-2</v>
      </c>
      <c r="BS143" s="67"/>
      <c r="BT143" s="86"/>
      <c r="BU143" s="183"/>
      <c r="BV143" s="1"/>
      <c r="BW143" s="61">
        <f t="shared" si="53"/>
        <v>134</v>
      </c>
    </row>
    <row r="144" spans="1:75" x14ac:dyDescent="0.3">
      <c r="A144" s="61"/>
      <c r="B144" s="171">
        <f t="shared" si="52"/>
        <v>44044</v>
      </c>
      <c r="C144" s="61"/>
      <c r="D144" s="17">
        <v>58541</v>
      </c>
      <c r="E144" s="16"/>
      <c r="F144" s="16"/>
      <c r="G144" s="16"/>
      <c r="H144" s="16">
        <f t="shared" si="89"/>
        <v>4826280</v>
      </c>
      <c r="I144" s="16"/>
      <c r="J144" s="479">
        <f t="shared" si="90"/>
        <v>1.2278566423203954E-2</v>
      </c>
      <c r="K144" s="16"/>
      <c r="L144" s="16"/>
      <c r="M144" s="16"/>
      <c r="N144" s="16"/>
      <c r="O144" s="16">
        <f t="shared" si="91"/>
        <v>35750.222222222219</v>
      </c>
      <c r="P144" s="41"/>
      <c r="Q144" s="17">
        <f t="shared" si="92"/>
        <v>447544</v>
      </c>
      <c r="R144" s="16"/>
      <c r="S144" s="60">
        <f t="shared" si="106"/>
        <v>-7.2328465004829631E-2</v>
      </c>
      <c r="T144" s="16"/>
      <c r="U144" s="41"/>
      <c r="V144" s="10">
        <f t="shared" si="109"/>
        <v>36</v>
      </c>
      <c r="W144" s="34">
        <v>1123</v>
      </c>
      <c r="X144" s="33"/>
      <c r="Y144" s="33"/>
      <c r="Z144" s="33"/>
      <c r="AA144" s="33">
        <f t="shared" si="93"/>
        <v>158551</v>
      </c>
      <c r="AB144" s="33"/>
      <c r="AC144" s="46">
        <f t="shared" si="94"/>
        <v>3.2851595846076068E-2</v>
      </c>
      <c r="AD144" s="33"/>
      <c r="AE144" s="33">
        <f t="shared" si="95"/>
        <v>1174.4518518518519</v>
      </c>
      <c r="AF144" s="50"/>
      <c r="AG144" s="33"/>
      <c r="AH144" s="33"/>
      <c r="AI144" s="231"/>
      <c r="AJ144" s="50"/>
      <c r="AK144" s="10"/>
      <c r="AL144" s="23">
        <f t="shared" si="96"/>
        <v>35331</v>
      </c>
      <c r="AM144" s="24"/>
      <c r="AN144" s="24"/>
      <c r="AO144" s="24">
        <v>178263</v>
      </c>
      <c r="AP144" s="24">
        <v>2362903</v>
      </c>
      <c r="AQ144" s="24"/>
      <c r="AR144" s="504">
        <f t="shared" si="97"/>
        <v>1.5179337094620488E-2</v>
      </c>
      <c r="AS144" s="25"/>
      <c r="AT144" s="25"/>
      <c r="AU144" s="24"/>
      <c r="AV144" s="341">
        <f t="shared" si="98"/>
        <v>0.48959094789361579</v>
      </c>
      <c r="AW144" s="341"/>
      <c r="AX144" s="24">
        <f t="shared" si="99"/>
        <v>17502.985185185185</v>
      </c>
      <c r="AY144" s="351"/>
      <c r="AZ144" s="10"/>
      <c r="BA144" s="66">
        <f t="shared" si="100"/>
        <v>733196</v>
      </c>
      <c r="BB144" s="67"/>
      <c r="BC144" s="67">
        <v>59226909</v>
      </c>
      <c r="BD144" s="67"/>
      <c r="BE144" s="67">
        <f t="shared" si="101"/>
        <v>58541</v>
      </c>
      <c r="BF144" s="67"/>
      <c r="BG144" s="156">
        <f t="shared" si="102"/>
        <v>7.984358889028309E-2</v>
      </c>
      <c r="BH144" s="67"/>
      <c r="BI144" s="183"/>
      <c r="BJ144" s="67"/>
      <c r="BK144" s="67">
        <f t="shared" si="107"/>
        <v>5874659</v>
      </c>
      <c r="BL144" s="67"/>
      <c r="BM144" s="156">
        <f t="shared" si="108"/>
        <v>7.6182123932640178E-2</v>
      </c>
      <c r="BN144" s="66">
        <f t="shared" si="103"/>
        <v>438717.84444444446</v>
      </c>
      <c r="BO144" s="67"/>
      <c r="BP144" s="67">
        <f t="shared" si="104"/>
        <v>4483633</v>
      </c>
      <c r="BQ144" s="67"/>
      <c r="BR144" s="478">
        <f t="shared" si="105"/>
        <v>7.5702633747103024E-2</v>
      </c>
      <c r="BS144" s="67"/>
      <c r="BT144" s="86"/>
      <c r="BU144" s="183"/>
      <c r="BV144" s="1"/>
      <c r="BW144" s="61">
        <f t="shared" si="53"/>
        <v>135</v>
      </c>
    </row>
    <row r="145" spans="1:75" x14ac:dyDescent="0.3">
      <c r="B145" s="390">
        <f t="shared" si="52"/>
        <v>44045</v>
      </c>
      <c r="C145" s="61"/>
      <c r="D145" s="17">
        <v>49038</v>
      </c>
      <c r="E145" s="16"/>
      <c r="F145" s="16"/>
      <c r="G145" s="16"/>
      <c r="H145" s="16">
        <f t="shared" si="89"/>
        <v>4875318</v>
      </c>
      <c r="I145" s="16"/>
      <c r="J145" s="479">
        <f t="shared" si="90"/>
        <v>1.0160620602202939E-2</v>
      </c>
      <c r="K145" s="16"/>
      <c r="L145" s="16"/>
      <c r="M145" s="16"/>
      <c r="N145" s="16">
        <f>SUM(D139:D145)</f>
        <v>440452</v>
      </c>
      <c r="O145" s="16">
        <f t="shared" si="91"/>
        <v>35847.926470588238</v>
      </c>
      <c r="P145" s="41"/>
      <c r="Q145" s="17">
        <f t="shared" si="92"/>
        <v>440452</v>
      </c>
      <c r="R145" s="16"/>
      <c r="S145" s="60">
        <f t="shared" si="106"/>
        <v>-6.9380441970973344E-2</v>
      </c>
      <c r="T145" s="16"/>
      <c r="U145" s="41"/>
      <c r="V145" s="391">
        <f t="shared" si="109"/>
        <v>37</v>
      </c>
      <c r="W145" s="34">
        <v>467</v>
      </c>
      <c r="X145" s="33"/>
      <c r="Y145" s="33"/>
      <c r="Z145" s="33"/>
      <c r="AA145" s="33">
        <f t="shared" si="93"/>
        <v>159018</v>
      </c>
      <c r="AB145" s="33"/>
      <c r="AC145" s="46">
        <f t="shared" si="94"/>
        <v>3.2616949294384488E-2</v>
      </c>
      <c r="AD145" s="33"/>
      <c r="AE145" s="33">
        <f t="shared" si="95"/>
        <v>1169.25</v>
      </c>
      <c r="AF145" s="50"/>
      <c r="AG145" s="33">
        <f>SUM(W139:W145)</f>
        <v>7843</v>
      </c>
      <c r="AH145" s="33">
        <f>SUM(D116:D287)</f>
        <v>10716892</v>
      </c>
      <c r="AI145" s="231">
        <f>+(AG145-AG138)/AG138</f>
        <v>0.1919452887537994</v>
      </c>
      <c r="AJ145" s="50"/>
      <c r="AK145" s="10"/>
      <c r="AL145" s="23">
        <f t="shared" si="96"/>
        <v>17314</v>
      </c>
      <c r="AM145" s="24"/>
      <c r="AN145" s="24"/>
      <c r="AO145" s="24">
        <v>178263</v>
      </c>
      <c r="AP145" s="24">
        <v>2380217</v>
      </c>
      <c r="AQ145" s="24"/>
      <c r="AR145" s="504">
        <f t="shared" si="97"/>
        <v>7.327427321392372E-3</v>
      </c>
      <c r="AS145" s="25"/>
      <c r="AT145" s="25"/>
      <c r="AU145" s="24"/>
      <c r="AV145" s="341">
        <f t="shared" si="98"/>
        <v>0.48821779420337297</v>
      </c>
      <c r="AW145" s="341"/>
      <c r="AX145" s="24">
        <f t="shared" si="99"/>
        <v>17501.595588235294</v>
      </c>
      <c r="AY145" s="351"/>
      <c r="AZ145" s="10"/>
      <c r="BA145" s="66">
        <f t="shared" si="100"/>
        <v>698375</v>
      </c>
      <c r="BB145" s="67"/>
      <c r="BC145" s="67">
        <v>59925284</v>
      </c>
      <c r="BD145" s="67"/>
      <c r="BE145" s="67">
        <f t="shared" si="101"/>
        <v>49038</v>
      </c>
      <c r="BF145" s="67"/>
      <c r="BG145" s="156">
        <f t="shared" si="102"/>
        <v>7.0217290137819938E-2</v>
      </c>
      <c r="BH145" s="67"/>
      <c r="BI145" s="183"/>
      <c r="BJ145" s="67"/>
      <c r="BK145" s="67">
        <f t="shared" si="107"/>
        <v>5705709</v>
      </c>
      <c r="BL145" s="67"/>
      <c r="BM145" s="156">
        <f t="shared" si="108"/>
        <v>7.7194963851118237E-2</v>
      </c>
      <c r="BN145" s="66">
        <f t="shared" si="103"/>
        <v>440627.0882352941</v>
      </c>
      <c r="BO145" s="67"/>
      <c r="BP145" s="67">
        <f t="shared" si="104"/>
        <v>4532671</v>
      </c>
      <c r="BQ145" s="67"/>
      <c r="BR145" s="478">
        <f t="shared" si="105"/>
        <v>7.5638707027237448E-2</v>
      </c>
      <c r="BS145" s="67"/>
      <c r="BT145" s="86"/>
      <c r="BU145" s="183"/>
      <c r="BV145" s="1"/>
      <c r="BW145" s="61">
        <f t="shared" si="53"/>
        <v>136</v>
      </c>
    </row>
    <row r="146" spans="1:75" x14ac:dyDescent="0.3">
      <c r="A146" s="548"/>
      <c r="B146" s="171">
        <f t="shared" si="52"/>
        <v>44046</v>
      </c>
      <c r="C146" s="61"/>
      <c r="D146" s="17">
        <v>48646</v>
      </c>
      <c r="E146" s="16"/>
      <c r="F146" s="16"/>
      <c r="G146" s="16"/>
      <c r="H146" s="16">
        <f t="shared" si="89"/>
        <v>4923964</v>
      </c>
      <c r="I146" s="16"/>
      <c r="J146" s="479">
        <f t="shared" si="90"/>
        <v>9.9780157930210913E-3</v>
      </c>
      <c r="K146" s="16"/>
      <c r="L146" s="16"/>
      <c r="M146" s="16"/>
      <c r="N146" s="16"/>
      <c r="O146" s="16">
        <f t="shared" si="91"/>
        <v>35941.343065693429</v>
      </c>
      <c r="P146" s="41"/>
      <c r="Q146" s="17">
        <f t="shared" si="92"/>
        <v>427527</v>
      </c>
      <c r="R146" s="16"/>
      <c r="S146" s="60">
        <f t="shared" si="106"/>
        <v>-9.4185994775213402E-2</v>
      </c>
      <c r="T146" s="16"/>
      <c r="U146" s="41"/>
      <c r="V146" s="10">
        <f t="shared" si="109"/>
        <v>38</v>
      </c>
      <c r="W146" s="34">
        <v>562</v>
      </c>
      <c r="X146" s="33"/>
      <c r="Y146" s="33"/>
      <c r="Z146" s="33"/>
      <c r="AA146" s="33">
        <f t="shared" si="93"/>
        <v>159580</v>
      </c>
      <c r="AB146" s="33"/>
      <c r="AC146" s="46">
        <f t="shared" si="94"/>
        <v>3.2408847830731502E-2</v>
      </c>
      <c r="AD146" s="33"/>
      <c r="AE146" s="33">
        <f t="shared" si="95"/>
        <v>1164.8175182481752</v>
      </c>
      <c r="AF146" s="50"/>
      <c r="AG146" s="33"/>
      <c r="AH146" s="33"/>
      <c r="AI146" s="231"/>
      <c r="AJ146" s="50"/>
      <c r="AK146" s="10"/>
      <c r="AL146" s="23">
        <f t="shared" si="96"/>
        <v>66581</v>
      </c>
      <c r="AM146" s="24"/>
      <c r="AN146" s="24"/>
      <c r="AO146" s="24">
        <v>178263</v>
      </c>
      <c r="AP146" s="24">
        <v>2446798</v>
      </c>
      <c r="AQ146" s="24"/>
      <c r="AR146" s="504">
        <f t="shared" si="97"/>
        <v>2.7972659635655067E-2</v>
      </c>
      <c r="AS146" s="25"/>
      <c r="AT146" s="25"/>
      <c r="AU146" s="24"/>
      <c r="AV146" s="341">
        <f t="shared" si="98"/>
        <v>0.4969163056431769</v>
      </c>
      <c r="AW146" s="341"/>
      <c r="AX146" s="24">
        <f t="shared" si="99"/>
        <v>17859.839416058396</v>
      </c>
      <c r="AY146" s="351"/>
      <c r="AZ146" s="10"/>
      <c r="BA146" s="66">
        <f t="shared" si="100"/>
        <v>1012257</v>
      </c>
      <c r="BB146" s="67"/>
      <c r="BC146" s="67">
        <v>60937541</v>
      </c>
      <c r="BD146" s="67"/>
      <c r="BE146" s="67">
        <f t="shared" si="101"/>
        <v>48646</v>
      </c>
      <c r="BF146" s="67"/>
      <c r="BG146" s="156">
        <f t="shared" si="102"/>
        <v>4.8056965770550367E-2</v>
      </c>
      <c r="BH146" s="67"/>
      <c r="BI146" s="183"/>
      <c r="BJ146" s="67"/>
      <c r="BK146" s="67">
        <f t="shared" si="107"/>
        <v>5919305</v>
      </c>
      <c r="BL146" s="67"/>
      <c r="BM146" s="156">
        <f t="shared" si="108"/>
        <v>7.2225877869107946E-2</v>
      </c>
      <c r="BN146" s="66">
        <f t="shared" si="103"/>
        <v>444799.56934306567</v>
      </c>
      <c r="BO146" s="67"/>
      <c r="BP146" s="67">
        <f t="shared" si="104"/>
        <v>4581317</v>
      </c>
      <c r="BQ146" s="67"/>
      <c r="BR146" s="478">
        <f t="shared" si="105"/>
        <v>7.5180536083659821E-2</v>
      </c>
      <c r="BS146" s="67"/>
      <c r="BT146" s="86"/>
      <c r="BU146" s="183"/>
      <c r="BV146" s="1"/>
      <c r="BW146" s="61">
        <f t="shared" si="53"/>
        <v>137</v>
      </c>
    </row>
    <row r="147" spans="1:75" x14ac:dyDescent="0.3">
      <c r="B147" s="171">
        <f t="shared" si="52"/>
        <v>44047</v>
      </c>
      <c r="C147" s="61"/>
      <c r="D147" s="17">
        <v>54564</v>
      </c>
      <c r="E147" s="16"/>
      <c r="F147" s="16"/>
      <c r="G147" s="16"/>
      <c r="H147" s="16">
        <f t="shared" si="89"/>
        <v>4978528</v>
      </c>
      <c r="I147" s="16"/>
      <c r="J147" s="479">
        <f t="shared" si="90"/>
        <v>1.1081315785411916E-2</v>
      </c>
      <c r="K147" s="16"/>
      <c r="L147" s="16"/>
      <c r="M147" s="16"/>
      <c r="N147" s="16"/>
      <c r="O147" s="16">
        <f t="shared" si="91"/>
        <v>36076.289855072464</v>
      </c>
      <c r="P147" s="41"/>
      <c r="Q147" s="17">
        <f t="shared" si="92"/>
        <v>417362</v>
      </c>
      <c r="R147" s="16"/>
      <c r="S147" s="60">
        <f t="shared" si="106"/>
        <v>-0.11054043743912913</v>
      </c>
      <c r="T147" s="16"/>
      <c r="U147" s="41"/>
      <c r="V147" s="10">
        <f t="shared" si="109"/>
        <v>39</v>
      </c>
      <c r="W147" s="34">
        <v>1359</v>
      </c>
      <c r="X147" s="33"/>
      <c r="Y147" s="33"/>
      <c r="Z147" s="33"/>
      <c r="AA147" s="33">
        <f t="shared" si="93"/>
        <v>160939</v>
      </c>
      <c r="AB147" s="33"/>
      <c r="AC147" s="46">
        <f t="shared" si="94"/>
        <v>3.2326623451751198E-2</v>
      </c>
      <c r="AD147" s="33"/>
      <c r="AE147" s="33">
        <f t="shared" si="95"/>
        <v>1166.2246376811595</v>
      </c>
      <c r="AF147" s="50"/>
      <c r="AG147" s="33"/>
      <c r="AH147" s="33"/>
      <c r="AI147" s="231"/>
      <c r="AJ147" s="50"/>
      <c r="AK147" s="10"/>
      <c r="AL147" s="23">
        <f t="shared" si="96"/>
        <v>34882</v>
      </c>
      <c r="AM147" s="24"/>
      <c r="AN147" s="24"/>
      <c r="AO147" s="24">
        <v>178263</v>
      </c>
      <c r="AP147" s="24">
        <v>2481680</v>
      </c>
      <c r="AQ147" s="24"/>
      <c r="AR147" s="504">
        <f t="shared" si="97"/>
        <v>1.425618297873384E-2</v>
      </c>
      <c r="AS147" s="25"/>
      <c r="AT147" s="25"/>
      <c r="AU147" s="24"/>
      <c r="AV147" s="341">
        <f t="shared" si="98"/>
        <v>0.49847665816080577</v>
      </c>
      <c r="AW147" s="341"/>
      <c r="AX147" s="24">
        <f t="shared" si="99"/>
        <v>17983.1884057971</v>
      </c>
      <c r="AY147" s="351"/>
      <c r="AZ147" s="10"/>
      <c r="BA147" s="66">
        <f t="shared" si="100"/>
        <v>681496</v>
      </c>
      <c r="BB147" s="67"/>
      <c r="BC147" s="67">
        <v>61619037</v>
      </c>
      <c r="BD147" s="67"/>
      <c r="BE147" s="67">
        <f t="shared" si="101"/>
        <v>54564</v>
      </c>
      <c r="BF147" s="67"/>
      <c r="BG147" s="156">
        <f t="shared" si="102"/>
        <v>8.0065033397114585E-2</v>
      </c>
      <c r="BH147" s="67"/>
      <c r="BI147" s="183"/>
      <c r="BJ147" s="67"/>
      <c r="BK147" s="67">
        <f t="shared" si="107"/>
        <v>5813621</v>
      </c>
      <c r="BL147" s="67"/>
      <c r="BM147" s="156">
        <f t="shared" si="108"/>
        <v>7.1790369547653693E-2</v>
      </c>
      <c r="BN147" s="66">
        <f t="shared" si="103"/>
        <v>446514.76086956525</v>
      </c>
      <c r="BO147" s="67"/>
      <c r="BP147" s="67">
        <f t="shared" si="104"/>
        <v>4635881</v>
      </c>
      <c r="BQ147" s="67"/>
      <c r="BR147" s="478">
        <f t="shared" si="105"/>
        <v>7.5234557787717454E-2</v>
      </c>
      <c r="BS147" s="67"/>
      <c r="BT147" s="86"/>
      <c r="BU147" s="183"/>
      <c r="BV147" s="1"/>
      <c r="BW147" s="61">
        <f t="shared" si="53"/>
        <v>138</v>
      </c>
    </row>
    <row r="148" spans="1:75" x14ac:dyDescent="0.3">
      <c r="B148" s="171">
        <f t="shared" si="52"/>
        <v>44048</v>
      </c>
      <c r="C148" s="61"/>
      <c r="D148" s="17">
        <v>55148</v>
      </c>
      <c r="E148" s="16"/>
      <c r="F148" s="16"/>
      <c r="G148" s="16"/>
      <c r="H148" s="16">
        <f t="shared" si="89"/>
        <v>5033676</v>
      </c>
      <c r="I148" s="16"/>
      <c r="J148" s="479">
        <f t="shared" si="90"/>
        <v>1.1077169797980447E-2</v>
      </c>
      <c r="K148" s="16"/>
      <c r="L148" s="16"/>
      <c r="M148" s="16"/>
      <c r="N148" s="16"/>
      <c r="O148" s="16">
        <f t="shared" si="91"/>
        <v>36213.496402877696</v>
      </c>
      <c r="P148" s="41"/>
      <c r="Q148" s="17">
        <f t="shared" si="92"/>
        <v>405589</v>
      </c>
      <c r="R148" s="16"/>
      <c r="S148" s="60">
        <f t="shared" si="106"/>
        <v>-0.12623415233150576</v>
      </c>
      <c r="T148" s="16"/>
      <c r="U148" s="41"/>
      <c r="V148" s="10">
        <f t="shared" si="109"/>
        <v>40</v>
      </c>
      <c r="W148" s="34">
        <v>1319</v>
      </c>
      <c r="X148" s="33"/>
      <c r="Y148" s="33"/>
      <c r="Z148" s="33"/>
      <c r="AA148" s="33">
        <f t="shared" si="93"/>
        <v>162258</v>
      </c>
      <c r="AB148" s="33"/>
      <c r="AC148" s="46">
        <f t="shared" si="94"/>
        <v>3.2234494234432254E-2</v>
      </c>
      <c r="AD148" s="33"/>
      <c r="AE148" s="33">
        <f t="shared" si="95"/>
        <v>1167.3237410071943</v>
      </c>
      <c r="AF148" s="50"/>
      <c r="AG148" s="33"/>
      <c r="AH148" s="33"/>
      <c r="AI148" s="231"/>
      <c r="AJ148" s="50"/>
      <c r="AK148" s="10"/>
      <c r="AL148" s="23">
        <f t="shared" si="96"/>
        <v>58457</v>
      </c>
      <c r="AM148" s="24"/>
      <c r="AN148" s="24"/>
      <c r="AO148" s="24">
        <v>178263</v>
      </c>
      <c r="AP148" s="24">
        <v>2540137</v>
      </c>
      <c r="AQ148" s="24"/>
      <c r="AR148" s="504">
        <f t="shared" si="97"/>
        <v>2.3555414074336738E-2</v>
      </c>
      <c r="AS148" s="25"/>
      <c r="AT148" s="25"/>
      <c r="AU148" s="24"/>
      <c r="AV148" s="341">
        <f t="shared" si="98"/>
        <v>0.50462862528299401</v>
      </c>
      <c r="AW148" s="341"/>
      <c r="AX148" s="24">
        <f t="shared" si="99"/>
        <v>18274.366906474821</v>
      </c>
      <c r="AY148" s="351"/>
      <c r="AZ148" s="10"/>
      <c r="BA148" s="66">
        <f t="shared" si="100"/>
        <v>762258</v>
      </c>
      <c r="BB148" s="67"/>
      <c r="BC148" s="67">
        <v>62381295</v>
      </c>
      <c r="BD148" s="67"/>
      <c r="BE148" s="67">
        <f t="shared" si="101"/>
        <v>55148</v>
      </c>
      <c r="BF148" s="67"/>
      <c r="BG148" s="156">
        <f t="shared" si="102"/>
        <v>7.2348207562268937E-2</v>
      </c>
      <c r="BH148" s="67"/>
      <c r="BI148" s="183"/>
      <c r="BJ148" s="67"/>
      <c r="BK148" s="67">
        <f t="shared" si="107"/>
        <v>5696916</v>
      </c>
      <c r="BL148" s="67"/>
      <c r="BM148" s="156">
        <f t="shared" si="108"/>
        <v>7.1194484875676589E-2</v>
      </c>
      <c r="BN148" s="66">
        <f t="shared" si="103"/>
        <v>448786.29496402876</v>
      </c>
      <c r="BO148" s="67"/>
      <c r="BP148" s="67">
        <f t="shared" si="104"/>
        <v>4691029</v>
      </c>
      <c r="BQ148" s="67"/>
      <c r="BR148" s="478">
        <f t="shared" si="105"/>
        <v>7.5199288504671155E-2</v>
      </c>
      <c r="BS148" s="67"/>
      <c r="BT148" s="86"/>
      <c r="BU148" s="183"/>
      <c r="BV148" s="1"/>
      <c r="BW148" s="61">
        <f t="shared" si="53"/>
        <v>139</v>
      </c>
    </row>
    <row r="149" spans="1:75" x14ac:dyDescent="0.3">
      <c r="B149" s="171">
        <f t="shared" si="52"/>
        <v>44049</v>
      </c>
      <c r="C149" s="61"/>
      <c r="D149" s="17">
        <v>58710</v>
      </c>
      <c r="E149" s="16"/>
      <c r="F149" s="16"/>
      <c r="G149" s="16"/>
      <c r="H149" s="16">
        <f t="shared" si="89"/>
        <v>5092386</v>
      </c>
      <c r="I149" s="16"/>
      <c r="J149" s="479">
        <f t="shared" si="90"/>
        <v>1.166344436948266E-2</v>
      </c>
      <c r="K149" s="16"/>
      <c r="L149" s="16"/>
      <c r="M149" s="16"/>
      <c r="N149" s="16"/>
      <c r="O149" s="16">
        <f t="shared" si="91"/>
        <v>36374.185714285712</v>
      </c>
      <c r="P149" s="41"/>
      <c r="Q149" s="17">
        <f t="shared" si="92"/>
        <v>395730</v>
      </c>
      <c r="R149" s="16"/>
      <c r="S149" s="60">
        <f t="shared" si="106"/>
        <v>-0.14586530429884031</v>
      </c>
      <c r="T149" s="16"/>
      <c r="U149" s="41"/>
      <c r="V149" s="10">
        <f t="shared" si="109"/>
        <v>41</v>
      </c>
      <c r="W149" s="34">
        <v>1203</v>
      </c>
      <c r="X149" s="33"/>
      <c r="Y149" s="33"/>
      <c r="Z149" s="33"/>
      <c r="AA149" s="33">
        <f t="shared" si="93"/>
        <v>163461</v>
      </c>
      <c r="AB149" s="33"/>
      <c r="AC149" s="46">
        <f t="shared" si="94"/>
        <v>3.2099098536520994E-2</v>
      </c>
      <c r="AD149" s="33"/>
      <c r="AE149" s="33">
        <f t="shared" si="95"/>
        <v>1167.5785714285714</v>
      </c>
      <c r="AF149" s="50"/>
      <c r="AG149" s="33"/>
      <c r="AH149" s="33"/>
      <c r="AI149" s="231"/>
      <c r="AJ149" s="50"/>
      <c r="AK149" s="10"/>
      <c r="AL149" s="23">
        <f t="shared" si="96"/>
        <v>25795</v>
      </c>
      <c r="AM149" s="24"/>
      <c r="AN149" s="24"/>
      <c r="AO149" s="24">
        <v>178263</v>
      </c>
      <c r="AP149" s="24">
        <f>2616967-51035</f>
        <v>2565932</v>
      </c>
      <c r="AQ149" s="24"/>
      <c r="AR149" s="504">
        <f t="shared" si="97"/>
        <v>1.0154964082645936E-2</v>
      </c>
      <c r="AS149" s="25"/>
      <c r="AT149" s="25"/>
      <c r="AU149" s="24"/>
      <c r="AV149" s="341">
        <f t="shared" si="98"/>
        <v>0.50387617906419502</v>
      </c>
      <c r="AW149" s="341"/>
      <c r="AX149" s="24">
        <f t="shared" si="99"/>
        <v>18328.085714285713</v>
      </c>
      <c r="AY149" s="351"/>
      <c r="AZ149" s="10"/>
      <c r="BA149" s="66">
        <f t="shared" si="100"/>
        <v>764126</v>
      </c>
      <c r="BB149" s="67"/>
      <c r="BC149" s="67">
        <f>63896457-751036</f>
        <v>63145421</v>
      </c>
      <c r="BD149" s="67"/>
      <c r="BE149" s="67">
        <f t="shared" si="101"/>
        <v>58710</v>
      </c>
      <c r="BF149" s="67"/>
      <c r="BG149" s="156">
        <f t="shared" si="102"/>
        <v>7.6832878347288275E-2</v>
      </c>
      <c r="BH149" s="67"/>
      <c r="BI149" s="183"/>
      <c r="BJ149" s="67"/>
      <c r="BK149" s="67">
        <f t="shared" si="107"/>
        <v>5624277</v>
      </c>
      <c r="BL149" s="67"/>
      <c r="BM149" s="156">
        <f t="shared" si="108"/>
        <v>7.0361043739488649E-2</v>
      </c>
      <c r="BN149" s="66">
        <f t="shared" si="103"/>
        <v>451038.72142857144</v>
      </c>
      <c r="BO149" s="67"/>
      <c r="BP149" s="67">
        <f t="shared" si="104"/>
        <v>4749739</v>
      </c>
      <c r="BQ149" s="67"/>
      <c r="BR149" s="478">
        <f t="shared" si="105"/>
        <v>7.5219056659706171E-2</v>
      </c>
      <c r="BS149" s="67"/>
      <c r="BT149" s="86"/>
      <c r="BU149" s="183"/>
      <c r="BV149" s="1"/>
      <c r="BW149" s="61">
        <f t="shared" si="53"/>
        <v>140</v>
      </c>
    </row>
    <row r="150" spans="1:75" x14ac:dyDescent="0.3">
      <c r="B150" s="171">
        <f t="shared" si="52"/>
        <v>44050</v>
      </c>
      <c r="C150" s="61"/>
      <c r="D150" s="17">
        <v>63246</v>
      </c>
      <c r="E150" s="16"/>
      <c r="F150" s="16"/>
      <c r="G150" s="16"/>
      <c r="H150" s="16">
        <f t="shared" si="89"/>
        <v>5155632</v>
      </c>
      <c r="I150" s="16"/>
      <c r="J150" s="479">
        <f t="shared" si="90"/>
        <v>1.2419718379557245E-2</v>
      </c>
      <c r="K150" s="16"/>
      <c r="L150" s="16"/>
      <c r="M150" s="16"/>
      <c r="N150" s="16"/>
      <c r="O150" s="16">
        <f t="shared" si="91"/>
        <v>36564.765957446805</v>
      </c>
      <c r="P150" s="41"/>
      <c r="Q150" s="17">
        <f t="shared" si="92"/>
        <v>387893</v>
      </c>
      <c r="R150" s="16"/>
      <c r="S150" s="60">
        <f t="shared" si="106"/>
        <v>-0.15013277361003996</v>
      </c>
      <c r="T150" s="16"/>
      <c r="U150" s="41"/>
      <c r="V150" s="10">
        <f t="shared" si="109"/>
        <v>42</v>
      </c>
      <c r="W150" s="34">
        <v>1290</v>
      </c>
      <c r="X150" s="33"/>
      <c r="Y150" s="33"/>
      <c r="Z150" s="33"/>
      <c r="AA150" s="33">
        <f t="shared" si="93"/>
        <v>164751</v>
      </c>
      <c r="AB150" s="33"/>
      <c r="AC150" s="46">
        <f t="shared" si="94"/>
        <v>3.1955539107523578E-2</v>
      </c>
      <c r="AD150" s="33"/>
      <c r="AE150" s="33">
        <f t="shared" si="95"/>
        <v>1168.4468085106382</v>
      </c>
      <c r="AF150" s="50"/>
      <c r="AG150" s="33"/>
      <c r="AH150" s="33"/>
      <c r="AI150" s="231"/>
      <c r="AJ150" s="50"/>
      <c r="AK150" s="10"/>
      <c r="AL150" s="23">
        <f t="shared" si="96"/>
        <v>51035</v>
      </c>
      <c r="AM150" s="24"/>
      <c r="AN150" s="24"/>
      <c r="AO150" s="24">
        <v>178263</v>
      </c>
      <c r="AP150" s="24">
        <v>2616967</v>
      </c>
      <c r="AQ150" s="24"/>
      <c r="AR150" s="504">
        <f t="shared" si="97"/>
        <v>1.9889459268601039E-2</v>
      </c>
      <c r="AS150" s="25"/>
      <c r="AT150" s="25"/>
      <c r="AU150" s="24"/>
      <c r="AV150" s="341">
        <f t="shared" si="98"/>
        <v>0.50759383136732805</v>
      </c>
      <c r="AW150" s="341"/>
      <c r="AX150" s="24">
        <f t="shared" si="99"/>
        <v>18560.049645390071</v>
      </c>
      <c r="AY150" s="351"/>
      <c r="AZ150" s="10"/>
      <c r="BA150" s="66">
        <f t="shared" si="100"/>
        <v>751036</v>
      </c>
      <c r="BB150" s="67"/>
      <c r="BC150" s="67">
        <v>63896457</v>
      </c>
      <c r="BD150" s="67"/>
      <c r="BE150" s="67">
        <f t="shared" si="101"/>
        <v>63246</v>
      </c>
      <c r="BF150" s="67"/>
      <c r="BG150" s="156">
        <f t="shared" si="102"/>
        <v>8.4211675605430372E-2</v>
      </c>
      <c r="BH150" s="67"/>
      <c r="BI150" s="183"/>
      <c r="BJ150" s="67"/>
      <c r="BK150" s="67">
        <f t="shared" si="107"/>
        <v>5402744</v>
      </c>
      <c r="BL150" s="67"/>
      <c r="BM150" s="156">
        <f t="shared" si="108"/>
        <v>7.1795554259095007E-2</v>
      </c>
      <c r="BN150" s="66">
        <f t="shared" si="103"/>
        <v>453166.36170212767</v>
      </c>
      <c r="BO150" s="67"/>
      <c r="BP150" s="67">
        <f t="shared" si="104"/>
        <v>4812985</v>
      </c>
      <c r="BQ150" s="67"/>
      <c r="BR150" s="478">
        <f t="shared" si="105"/>
        <v>7.5324755486833955E-2</v>
      </c>
      <c r="BS150" s="67"/>
      <c r="BT150" s="86"/>
      <c r="BU150" s="183"/>
      <c r="BV150" s="1"/>
      <c r="BW150" s="61">
        <f t="shared" si="53"/>
        <v>141</v>
      </c>
    </row>
    <row r="151" spans="1:75" x14ac:dyDescent="0.3">
      <c r="B151" s="171">
        <f t="shared" si="52"/>
        <v>44051</v>
      </c>
      <c r="C151" s="61"/>
      <c r="D151" s="17">
        <v>54199</v>
      </c>
      <c r="E151" s="16"/>
      <c r="F151" s="16"/>
      <c r="G151" s="16"/>
      <c r="H151" s="16">
        <f t="shared" si="89"/>
        <v>5209831</v>
      </c>
      <c r="I151" s="16"/>
      <c r="J151" s="479">
        <f t="shared" si="90"/>
        <v>1.0512581192761624E-2</v>
      </c>
      <c r="K151" s="16"/>
      <c r="L151" s="16"/>
      <c r="M151" s="16"/>
      <c r="N151" s="16"/>
      <c r="O151" s="16">
        <f t="shared" ref="O151:O160" si="110">+H151/BW151</f>
        <v>36688.950704225354</v>
      </c>
      <c r="P151" s="41"/>
      <c r="Q151" s="17">
        <f t="shared" si="92"/>
        <v>383551</v>
      </c>
      <c r="R151" s="16"/>
      <c r="S151" s="60">
        <f t="shared" si="106"/>
        <v>-0.14298705825572458</v>
      </c>
      <c r="T151" s="16"/>
      <c r="U151" s="41"/>
      <c r="V151" s="10">
        <f t="shared" si="109"/>
        <v>43</v>
      </c>
      <c r="W151" s="34">
        <v>976</v>
      </c>
      <c r="X151" s="33"/>
      <c r="Y151" s="33"/>
      <c r="Z151" s="33"/>
      <c r="AA151" s="33">
        <f t="shared" si="93"/>
        <v>165727</v>
      </c>
      <c r="AB151" s="33"/>
      <c r="AC151" s="46">
        <f t="shared" si="94"/>
        <v>3.1810436845264273E-2</v>
      </c>
      <c r="AD151" s="33"/>
      <c r="AE151" s="33">
        <f t="shared" si="95"/>
        <v>1167.0915492957747</v>
      </c>
      <c r="AF151" s="50"/>
      <c r="AG151" s="33"/>
      <c r="AH151" s="33"/>
      <c r="AI151" s="231"/>
      <c r="AJ151" s="50"/>
      <c r="AK151" s="10"/>
      <c r="AL151" s="23">
        <f t="shared" si="96"/>
        <v>21503</v>
      </c>
      <c r="AM151" s="24"/>
      <c r="AN151" s="24"/>
      <c r="AO151" s="24">
        <v>178263</v>
      </c>
      <c r="AP151" s="24">
        <v>2638470</v>
      </c>
      <c r="AQ151" s="24"/>
      <c r="AR151" s="504">
        <f t="shared" si="97"/>
        <v>8.2167639102824E-3</v>
      </c>
      <c r="AS151" s="25"/>
      <c r="AT151" s="25"/>
      <c r="AU151" s="24"/>
      <c r="AV151" s="341">
        <f t="shared" si="98"/>
        <v>0.50644061198914125</v>
      </c>
      <c r="AW151" s="341"/>
      <c r="AX151" s="24">
        <f t="shared" si="99"/>
        <v>18580.774647887323</v>
      </c>
      <c r="AY151" s="351"/>
      <c r="AZ151" s="10"/>
      <c r="BA151" s="66">
        <f t="shared" si="100"/>
        <v>714090</v>
      </c>
      <c r="BB151" s="67"/>
      <c r="BC151" s="67">
        <v>64610547</v>
      </c>
      <c r="BD151" s="67"/>
      <c r="BE151" s="67">
        <f t="shared" si="101"/>
        <v>54199</v>
      </c>
      <c r="BF151" s="67"/>
      <c r="BG151" s="156">
        <f t="shared" si="102"/>
        <v>7.5899396434623081E-2</v>
      </c>
      <c r="BH151" s="67"/>
      <c r="BI151" s="183"/>
      <c r="BJ151" s="67"/>
      <c r="BK151" s="67">
        <f t="shared" si="107"/>
        <v>5383638</v>
      </c>
      <c r="BL151" s="67"/>
      <c r="BM151" s="156">
        <f t="shared" si="108"/>
        <v>7.1243831773235872E-2</v>
      </c>
      <c r="BN151" s="66">
        <f t="shared" si="103"/>
        <v>455003.85211267608</v>
      </c>
      <c r="BO151" s="67"/>
      <c r="BP151" s="67">
        <f t="shared" si="104"/>
        <v>4867184</v>
      </c>
      <c r="BQ151" s="67"/>
      <c r="BR151" s="478">
        <f t="shared" si="105"/>
        <v>7.5331106545189902E-2</v>
      </c>
      <c r="BS151" s="67"/>
      <c r="BT151" s="86"/>
      <c r="BU151" s="183"/>
      <c r="BV151" s="1"/>
      <c r="BW151" s="61">
        <f t="shared" si="53"/>
        <v>142</v>
      </c>
    </row>
    <row r="152" spans="1:75" x14ac:dyDescent="0.3">
      <c r="B152" s="390">
        <f t="shared" si="52"/>
        <v>44052</v>
      </c>
      <c r="C152" s="61"/>
      <c r="D152" s="17">
        <v>47849</v>
      </c>
      <c r="E152" s="16"/>
      <c r="F152" s="16"/>
      <c r="G152" s="16"/>
      <c r="H152" s="16">
        <f t="shared" si="89"/>
        <v>5257680</v>
      </c>
      <c r="I152" s="16"/>
      <c r="J152" s="479">
        <f t="shared" si="90"/>
        <v>9.1843670168955584E-3</v>
      </c>
      <c r="K152" s="16"/>
      <c r="L152" s="16"/>
      <c r="M152" s="16"/>
      <c r="N152" s="16">
        <f>SUM(D146:D152)</f>
        <v>382362</v>
      </c>
      <c r="O152" s="16">
        <f t="shared" si="110"/>
        <v>36766.993006993005</v>
      </c>
      <c r="P152" s="41"/>
      <c r="Q152" s="17">
        <f t="shared" si="92"/>
        <v>382362</v>
      </c>
      <c r="R152" s="16"/>
      <c r="S152" s="60">
        <f t="shared" si="106"/>
        <v>-0.13188724310481051</v>
      </c>
      <c r="T152" s="16"/>
      <c r="U152" s="41"/>
      <c r="V152" s="391">
        <f t="shared" si="109"/>
        <v>44</v>
      </c>
      <c r="W152" s="34">
        <v>534</v>
      </c>
      <c r="X152" s="33"/>
      <c r="Y152" s="33"/>
      <c r="Z152" s="33"/>
      <c r="AA152" s="33">
        <f t="shared" si="93"/>
        <v>166261</v>
      </c>
      <c r="AB152" s="33"/>
      <c r="AC152" s="46">
        <f t="shared" si="94"/>
        <v>3.1622502700811003E-2</v>
      </c>
      <c r="AD152" s="33"/>
      <c r="AE152" s="33">
        <f t="shared" si="95"/>
        <v>1162.6643356643356</v>
      </c>
      <c r="AF152" s="50"/>
      <c r="AG152" s="33">
        <f t="shared" ref="AG152:AG164" si="111">SUM(W146:W152)</f>
        <v>7243</v>
      </c>
      <c r="AH152" s="33">
        <f t="shared" ref="AH152:AH183" si="112">SUM(D123:D297)</f>
        <v>10322022</v>
      </c>
      <c r="AI152" s="231">
        <f t="shared" ref="AI152:AI164" si="113">+(AG152-AG145)/AG145</f>
        <v>-7.6501338773428532E-2</v>
      </c>
      <c r="AJ152" s="50"/>
      <c r="AK152" s="10"/>
      <c r="AL152" s="23">
        <f t="shared" si="96"/>
        <v>26231</v>
      </c>
      <c r="AM152" s="24"/>
      <c r="AN152" s="24"/>
      <c r="AO152" s="24">
        <v>178263</v>
      </c>
      <c r="AP152" s="24">
        <v>2664701</v>
      </c>
      <c r="AQ152" s="24"/>
      <c r="AR152" s="504">
        <f t="shared" si="97"/>
        <v>9.9417465425038001E-3</v>
      </c>
      <c r="AS152" s="25"/>
      <c r="AT152" s="25"/>
      <c r="AU152" s="24"/>
      <c r="AV152" s="341">
        <f t="shared" si="98"/>
        <v>0.50682068897308319</v>
      </c>
      <c r="AW152" s="341"/>
      <c r="AX152" s="24">
        <f t="shared" si="99"/>
        <v>18634.272727272728</v>
      </c>
      <c r="AY152" s="351"/>
      <c r="AZ152" s="10"/>
      <c r="BA152" s="66">
        <f t="shared" si="100"/>
        <v>822704</v>
      </c>
      <c r="BB152" s="67"/>
      <c r="BC152" s="67">
        <v>65433251</v>
      </c>
      <c r="BD152" s="67"/>
      <c r="BE152" s="67">
        <f t="shared" si="101"/>
        <v>47849</v>
      </c>
      <c r="BF152" s="67"/>
      <c r="BG152" s="156">
        <f t="shared" si="102"/>
        <v>5.8160650732219606E-2</v>
      </c>
      <c r="BH152" s="67"/>
      <c r="BI152" s="183"/>
      <c r="BJ152" s="67"/>
      <c r="BK152" s="67">
        <f t="shared" si="107"/>
        <v>5507967</v>
      </c>
      <c r="BL152" s="67"/>
      <c r="BM152" s="156">
        <f t="shared" si="108"/>
        <v>6.9419805892083228E-2</v>
      </c>
      <c r="BN152" s="66">
        <f t="shared" si="103"/>
        <v>457575.18181818182</v>
      </c>
      <c r="BO152" s="67"/>
      <c r="BP152" s="67">
        <f t="shared" si="104"/>
        <v>4915033</v>
      </c>
      <c r="BQ152" s="67"/>
      <c r="BR152" s="478">
        <f t="shared" si="105"/>
        <v>7.511521932480475E-2</v>
      </c>
      <c r="BS152" s="67"/>
      <c r="BT152" s="86"/>
      <c r="BU152" s="183"/>
      <c r="BV152" s="1"/>
      <c r="BW152" s="61">
        <f t="shared" si="53"/>
        <v>143</v>
      </c>
    </row>
    <row r="153" spans="1:75" x14ac:dyDescent="0.3">
      <c r="A153" s="547"/>
      <c r="B153" s="171">
        <f t="shared" si="52"/>
        <v>44053</v>
      </c>
      <c r="C153" s="61"/>
      <c r="D153" s="17">
        <v>49800</v>
      </c>
      <c r="E153" s="16"/>
      <c r="F153" s="16"/>
      <c r="G153" s="16"/>
      <c r="H153" s="16">
        <f t="shared" si="89"/>
        <v>5307480</v>
      </c>
      <c r="I153" s="16"/>
      <c r="J153" s="479">
        <f t="shared" si="90"/>
        <v>9.4718583101291824E-3</v>
      </c>
      <c r="K153" s="16"/>
      <c r="L153" s="16"/>
      <c r="M153" s="16"/>
      <c r="N153" s="16"/>
      <c r="O153" s="16">
        <f t="shared" si="110"/>
        <v>36857.5</v>
      </c>
      <c r="P153" s="41"/>
      <c r="Q153" s="17">
        <f t="shared" si="92"/>
        <v>383516</v>
      </c>
      <c r="R153" s="16"/>
      <c r="S153" s="60">
        <f t="shared" si="106"/>
        <v>-0.10294320592617542</v>
      </c>
      <c r="T153" s="16"/>
      <c r="U153" s="41"/>
      <c r="V153" s="10">
        <f t="shared" si="109"/>
        <v>45</v>
      </c>
      <c r="W153" s="34">
        <v>569</v>
      </c>
      <c r="X153" s="33"/>
      <c r="Y153" s="33"/>
      <c r="Z153" s="33"/>
      <c r="AA153" s="33">
        <f t="shared" si="93"/>
        <v>166830</v>
      </c>
      <c r="AB153" s="33"/>
      <c r="AC153" s="46">
        <f t="shared" si="94"/>
        <v>3.1432996450292794E-2</v>
      </c>
      <c r="AD153" s="33"/>
      <c r="AE153" s="33">
        <f t="shared" si="95"/>
        <v>1158.5416666666667</v>
      </c>
      <c r="AF153" s="50"/>
      <c r="AG153" s="33">
        <f t="shared" si="111"/>
        <v>7250</v>
      </c>
      <c r="AH153" s="33">
        <f t="shared" si="112"/>
        <v>10260303</v>
      </c>
      <c r="AI153" s="231" t="e">
        <f t="shared" si="113"/>
        <v>#DIV/0!</v>
      </c>
      <c r="AJ153" s="50"/>
      <c r="AK153" s="10"/>
      <c r="AL153" s="23">
        <f t="shared" si="96"/>
        <v>51233</v>
      </c>
      <c r="AM153" s="24"/>
      <c r="AN153" s="24"/>
      <c r="AO153" s="24">
        <v>178263</v>
      </c>
      <c r="AP153" s="24">
        <v>2715934</v>
      </c>
      <c r="AQ153" s="24"/>
      <c r="AR153" s="504">
        <f t="shared" si="97"/>
        <v>1.9226547368729176E-2</v>
      </c>
      <c r="AS153" s="25"/>
      <c r="AT153" s="25"/>
      <c r="AU153" s="24"/>
      <c r="AV153" s="341">
        <f t="shared" si="98"/>
        <v>0.51171817887208237</v>
      </c>
      <c r="AW153" s="341"/>
      <c r="AX153" s="24">
        <f t="shared" si="99"/>
        <v>18860.652777777777</v>
      </c>
      <c r="AY153" s="351"/>
      <c r="AZ153" s="10"/>
      <c r="BA153" s="66">
        <f t="shared" si="100"/>
        <v>745364</v>
      </c>
      <c r="BB153" s="67"/>
      <c r="BC153" s="67">
        <v>66178615</v>
      </c>
      <c r="BD153" s="67"/>
      <c r="BE153" s="67">
        <f t="shared" si="101"/>
        <v>49800</v>
      </c>
      <c r="BF153" s="67"/>
      <c r="BG153" s="156">
        <f t="shared" si="102"/>
        <v>6.6812993383098734E-2</v>
      </c>
      <c r="BH153" s="67"/>
      <c r="BI153" s="183"/>
      <c r="BJ153" s="67"/>
      <c r="BK153" s="67">
        <f t="shared" si="107"/>
        <v>5241074</v>
      </c>
      <c r="BL153" s="67"/>
      <c r="BM153" s="156">
        <f t="shared" si="108"/>
        <v>7.3175078237781035E-2</v>
      </c>
      <c r="BN153" s="66">
        <f t="shared" si="103"/>
        <v>459573.71527777775</v>
      </c>
      <c r="BO153" s="67"/>
      <c r="BP153" s="67">
        <f t="shared" si="104"/>
        <v>4964833</v>
      </c>
      <c r="BQ153" s="67"/>
      <c r="BR153" s="478">
        <f t="shared" si="105"/>
        <v>7.5021712074210073E-2</v>
      </c>
      <c r="BS153" s="67"/>
      <c r="BT153" s="86"/>
      <c r="BU153" s="183"/>
      <c r="BV153" s="1"/>
      <c r="BW153" s="61">
        <f t="shared" si="53"/>
        <v>144</v>
      </c>
    </row>
    <row r="154" spans="1:75" x14ac:dyDescent="0.3">
      <c r="B154" s="171">
        <f t="shared" si="52"/>
        <v>44054</v>
      </c>
      <c r="C154" s="61"/>
      <c r="D154" s="17">
        <v>54519</v>
      </c>
      <c r="E154" s="16"/>
      <c r="F154" s="16"/>
      <c r="G154" s="16"/>
      <c r="H154" s="16">
        <f t="shared" si="89"/>
        <v>5361999</v>
      </c>
      <c r="I154" s="16"/>
      <c r="J154" s="479">
        <f t="shared" si="90"/>
        <v>1.027210653643537E-2</v>
      </c>
      <c r="K154" s="16"/>
      <c r="L154" s="16"/>
      <c r="M154" s="16"/>
      <c r="N154" s="16"/>
      <c r="O154" s="16">
        <f t="shared" si="110"/>
        <v>36979.303448275859</v>
      </c>
      <c r="P154" s="41"/>
      <c r="Q154" s="17">
        <f t="shared" si="92"/>
        <v>383471</v>
      </c>
      <c r="R154" s="16"/>
      <c r="S154" s="60">
        <f t="shared" si="106"/>
        <v>-8.1202888619471822E-2</v>
      </c>
      <c r="T154" s="16"/>
      <c r="U154" s="41"/>
      <c r="V154" s="10">
        <f t="shared" si="109"/>
        <v>46</v>
      </c>
      <c r="W154" s="34">
        <v>1504</v>
      </c>
      <c r="X154" s="33"/>
      <c r="Y154" s="33"/>
      <c r="Z154" s="33"/>
      <c r="AA154" s="33">
        <f t="shared" si="93"/>
        <v>168334</v>
      </c>
      <c r="AB154" s="33"/>
      <c r="AC154" s="46">
        <f t="shared" si="94"/>
        <v>3.1393888734406704E-2</v>
      </c>
      <c r="AD154" s="33"/>
      <c r="AE154" s="33">
        <f t="shared" si="95"/>
        <v>1160.9241379310345</v>
      </c>
      <c r="AF154" s="50"/>
      <c r="AG154" s="33">
        <f t="shared" si="111"/>
        <v>7395</v>
      </c>
      <c r="AH154" s="33">
        <f t="shared" si="112"/>
        <v>10201954</v>
      </c>
      <c r="AI154" s="231" t="e">
        <f t="shared" si="113"/>
        <v>#DIV/0!</v>
      </c>
      <c r="AJ154" s="50"/>
      <c r="AK154" s="10"/>
      <c r="AL154" s="23">
        <f t="shared" si="96"/>
        <v>39414</v>
      </c>
      <c r="AM154" s="24"/>
      <c r="AN154" s="24"/>
      <c r="AO154" s="24">
        <v>178263</v>
      </c>
      <c r="AP154" s="24">
        <v>2755348</v>
      </c>
      <c r="AQ154" s="24"/>
      <c r="AR154" s="504">
        <f t="shared" si="97"/>
        <v>1.4512134683685245E-2</v>
      </c>
      <c r="AS154" s="25"/>
      <c r="AT154" s="25"/>
      <c r="AU154" s="24"/>
      <c r="AV154" s="341">
        <f t="shared" si="98"/>
        <v>0.51386581758034644</v>
      </c>
      <c r="AW154" s="341"/>
      <c r="AX154" s="24">
        <f t="shared" si="99"/>
        <v>19002.400000000001</v>
      </c>
      <c r="AY154" s="351"/>
      <c r="AZ154" s="10"/>
      <c r="BA154" s="66">
        <f t="shared" si="100"/>
        <v>763742</v>
      </c>
      <c r="BB154" s="67"/>
      <c r="BC154" s="67">
        <v>66942357</v>
      </c>
      <c r="BD154" s="67"/>
      <c r="BE154" s="67">
        <f t="shared" si="101"/>
        <v>54519</v>
      </c>
      <c r="BF154" s="67"/>
      <c r="BG154" s="156">
        <f t="shared" si="102"/>
        <v>7.1384053777322709E-2</v>
      </c>
      <c r="BH154" s="67"/>
      <c r="BI154" s="183"/>
      <c r="BJ154" s="67"/>
      <c r="BK154" s="67">
        <f t="shared" si="107"/>
        <v>5323320</v>
      </c>
      <c r="BL154" s="67"/>
      <c r="BM154" s="156">
        <f t="shared" si="108"/>
        <v>7.2036060203031188E-2</v>
      </c>
      <c r="BN154" s="66">
        <f t="shared" si="103"/>
        <v>461671.42758620688</v>
      </c>
      <c r="BO154" s="67"/>
      <c r="BP154" s="67">
        <f t="shared" si="104"/>
        <v>5019352</v>
      </c>
      <c r="BQ154" s="67"/>
      <c r="BR154" s="478">
        <f t="shared" si="105"/>
        <v>7.4980210212795467E-2</v>
      </c>
      <c r="BS154" s="67"/>
      <c r="BT154" s="86"/>
      <c r="BU154" s="183"/>
      <c r="BV154" s="1"/>
      <c r="BW154" s="61">
        <f t="shared" si="53"/>
        <v>145</v>
      </c>
    </row>
    <row r="155" spans="1:75" x14ac:dyDescent="0.3">
      <c r="B155" s="171">
        <f t="shared" si="52"/>
        <v>44055</v>
      </c>
      <c r="C155" s="61"/>
      <c r="D155" s="17">
        <v>54345</v>
      </c>
      <c r="E155" s="16"/>
      <c r="F155" s="16"/>
      <c r="G155" s="16"/>
      <c r="H155" s="16">
        <f t="shared" si="89"/>
        <v>5416344</v>
      </c>
      <c r="I155" s="16"/>
      <c r="J155" s="479">
        <f t="shared" si="90"/>
        <v>1.0135212632452935E-2</v>
      </c>
      <c r="K155" s="16"/>
      <c r="L155" s="16"/>
      <c r="M155" s="16"/>
      <c r="N155" s="16"/>
      <c r="O155" s="16">
        <f t="shared" si="110"/>
        <v>37098.246575342462</v>
      </c>
      <c r="P155" s="41"/>
      <c r="Q155" s="17">
        <f t="shared" si="92"/>
        <v>382668</v>
      </c>
      <c r="R155" s="16"/>
      <c r="S155" s="60">
        <f t="shared" si="106"/>
        <v>-5.6512873869853472E-2</v>
      </c>
      <c r="T155" s="16"/>
      <c r="U155" s="41"/>
      <c r="V155" s="10">
        <f t="shared" si="109"/>
        <v>47</v>
      </c>
      <c r="W155" s="34">
        <v>1386</v>
      </c>
      <c r="X155" s="33"/>
      <c r="Y155" s="33"/>
      <c r="Z155" s="33"/>
      <c r="AA155" s="33">
        <f t="shared" si="93"/>
        <v>169720</v>
      </c>
      <c r="AB155" s="33"/>
      <c r="AC155" s="46">
        <f t="shared" si="94"/>
        <v>3.1334789666239808E-2</v>
      </c>
      <c r="AD155" s="33"/>
      <c r="AE155" s="33">
        <f t="shared" si="95"/>
        <v>1162.4657534246576</v>
      </c>
      <c r="AF155" s="50"/>
      <c r="AG155" s="33">
        <f t="shared" si="111"/>
        <v>7462</v>
      </c>
      <c r="AH155" s="33">
        <f t="shared" si="112"/>
        <v>10136466</v>
      </c>
      <c r="AI155" s="231" t="e">
        <f t="shared" si="113"/>
        <v>#DIV/0!</v>
      </c>
      <c r="AJ155" s="50"/>
      <c r="AK155" s="10"/>
      <c r="AL155" s="23">
        <f t="shared" si="96"/>
        <v>57255</v>
      </c>
      <c r="AM155" s="24"/>
      <c r="AN155" s="24"/>
      <c r="AO155" s="24">
        <v>178263</v>
      </c>
      <c r="AP155" s="24">
        <v>2812603</v>
      </c>
      <c r="AQ155" s="24"/>
      <c r="AR155" s="504">
        <f t="shared" si="97"/>
        <v>2.0779589365844169E-2</v>
      </c>
      <c r="AS155" s="25"/>
      <c r="AT155" s="25"/>
      <c r="AU155" s="24"/>
      <c r="AV155" s="341">
        <f t="shared" si="98"/>
        <v>0.51928071776829532</v>
      </c>
      <c r="AW155" s="341"/>
      <c r="AX155" s="24">
        <f t="shared" si="99"/>
        <v>19264.404109589042</v>
      </c>
      <c r="AY155" s="351"/>
      <c r="AZ155" s="10"/>
      <c r="BA155" s="66">
        <f t="shared" si="100"/>
        <v>608804</v>
      </c>
      <c r="BB155" s="67"/>
      <c r="BC155" s="67">
        <v>67551161</v>
      </c>
      <c r="BD155" s="67"/>
      <c r="BE155" s="67">
        <f t="shared" si="101"/>
        <v>54345</v>
      </c>
      <c r="BF155" s="67"/>
      <c r="BG155" s="156">
        <f t="shared" si="102"/>
        <v>8.9265182226135179E-2</v>
      </c>
      <c r="BH155" s="67"/>
      <c r="BI155" s="183"/>
      <c r="BJ155" s="67"/>
      <c r="BK155" s="67">
        <f t="shared" si="107"/>
        <v>5169866</v>
      </c>
      <c r="BL155" s="67"/>
      <c r="BM155" s="156">
        <f t="shared" si="108"/>
        <v>7.401893975588536E-2</v>
      </c>
      <c r="BN155" s="66">
        <f t="shared" si="103"/>
        <v>462679.18493150687</v>
      </c>
      <c r="BO155" s="67"/>
      <c r="BP155" s="67">
        <f t="shared" si="104"/>
        <v>5073697</v>
      </c>
      <c r="BQ155" s="67"/>
      <c r="BR155" s="478">
        <f t="shared" si="105"/>
        <v>7.510895334574634E-2</v>
      </c>
      <c r="BS155" s="67"/>
      <c r="BT155" s="86"/>
      <c r="BU155" s="183"/>
      <c r="BV155" s="1"/>
      <c r="BW155" s="61">
        <f t="shared" si="53"/>
        <v>146</v>
      </c>
    </row>
    <row r="156" spans="1:75" x14ac:dyDescent="0.3">
      <c r="B156" s="171">
        <f t="shared" si="52"/>
        <v>44056</v>
      </c>
      <c r="C156" s="61"/>
      <c r="D156" s="17">
        <v>55364</v>
      </c>
      <c r="E156" s="16"/>
      <c r="F156" s="16"/>
      <c r="G156" s="16"/>
      <c r="H156" s="16">
        <f t="shared" si="89"/>
        <v>5471708</v>
      </c>
      <c r="I156" s="16"/>
      <c r="J156" s="479">
        <f t="shared" si="90"/>
        <v>1.022165504997467E-2</v>
      </c>
      <c r="K156" s="16"/>
      <c r="L156" s="16"/>
      <c r="M156" s="16"/>
      <c r="N156" s="16"/>
      <c r="O156" s="16">
        <f t="shared" si="110"/>
        <v>37222.503401360547</v>
      </c>
      <c r="P156" s="41"/>
      <c r="Q156" s="17">
        <f t="shared" si="92"/>
        <v>379322</v>
      </c>
      <c r="R156" s="16"/>
      <c r="S156" s="60">
        <f t="shared" si="106"/>
        <v>-4.1462613398023908E-2</v>
      </c>
      <c r="T156" s="16"/>
      <c r="U156" s="41"/>
      <c r="V156" s="10">
        <f t="shared" si="109"/>
        <v>48</v>
      </c>
      <c r="W156" s="34">
        <v>1284</v>
      </c>
      <c r="X156" s="33"/>
      <c r="Y156" s="33"/>
      <c r="Z156" s="33"/>
      <c r="AA156" s="33">
        <f t="shared" si="93"/>
        <v>171004</v>
      </c>
      <c r="AB156" s="33"/>
      <c r="AC156" s="46">
        <f t="shared" si="94"/>
        <v>3.1252398702562342E-2</v>
      </c>
      <c r="AD156" s="33"/>
      <c r="AE156" s="33">
        <f t="shared" si="95"/>
        <v>1163.2925170068027</v>
      </c>
      <c r="AF156" s="50"/>
      <c r="AG156" s="33">
        <f t="shared" si="111"/>
        <v>7543</v>
      </c>
      <c r="AH156" s="33">
        <f t="shared" si="112"/>
        <v>10070418</v>
      </c>
      <c r="AI156" s="231" t="e">
        <f t="shared" si="113"/>
        <v>#DIV/0!</v>
      </c>
      <c r="AJ156" s="50"/>
      <c r="AK156" s="10"/>
      <c r="AL156" s="23">
        <f t="shared" si="96"/>
        <v>30601</v>
      </c>
      <c r="AM156" s="24"/>
      <c r="AN156" s="24"/>
      <c r="AO156" s="24">
        <v>178263</v>
      </c>
      <c r="AP156" s="24">
        <v>2843204</v>
      </c>
      <c r="AQ156" s="24"/>
      <c r="AR156" s="504">
        <f t="shared" si="97"/>
        <v>1.0879957107348601E-2</v>
      </c>
      <c r="AS156" s="25"/>
      <c r="AT156" s="25"/>
      <c r="AU156" s="24"/>
      <c r="AV156" s="341">
        <f t="shared" si="98"/>
        <v>0.51961910248134591</v>
      </c>
      <c r="AW156" s="341"/>
      <c r="AX156" s="24">
        <f t="shared" si="99"/>
        <v>19341.523809523809</v>
      </c>
      <c r="AY156" s="351"/>
      <c r="AZ156" s="10"/>
      <c r="BA156" s="66">
        <f t="shared" si="100"/>
        <v>973441</v>
      </c>
      <c r="BB156" s="67"/>
      <c r="BC156" s="67">
        <v>68524602</v>
      </c>
      <c r="BD156" s="67"/>
      <c r="BE156" s="67">
        <f t="shared" si="101"/>
        <v>55364</v>
      </c>
      <c r="BF156" s="67"/>
      <c r="BG156" s="156">
        <f t="shared" si="102"/>
        <v>5.6874530659793456E-2</v>
      </c>
      <c r="BH156" s="67"/>
      <c r="BI156" s="183"/>
      <c r="BJ156" s="67"/>
      <c r="BK156" s="67">
        <f t="shared" si="107"/>
        <v>5379181</v>
      </c>
      <c r="BL156" s="67"/>
      <c r="BM156" s="156">
        <f t="shared" si="108"/>
        <v>7.0516682744083167E-2</v>
      </c>
      <c r="BN156" s="66">
        <f t="shared" si="103"/>
        <v>466153.75510204083</v>
      </c>
      <c r="BO156" s="67"/>
      <c r="BP156" s="67">
        <f t="shared" si="104"/>
        <v>5129061</v>
      </c>
      <c r="BQ156" s="67"/>
      <c r="BR156" s="478">
        <f t="shared" si="105"/>
        <v>7.4849920324965916E-2</v>
      </c>
      <c r="BS156" s="67"/>
      <c r="BT156" s="86"/>
      <c r="BU156" s="183"/>
      <c r="BV156" s="1"/>
      <c r="BW156" s="61">
        <f t="shared" si="53"/>
        <v>147</v>
      </c>
    </row>
    <row r="157" spans="1:75" x14ac:dyDescent="0.3">
      <c r="B157" s="171">
        <f t="shared" si="52"/>
        <v>44057</v>
      </c>
      <c r="C157" s="61"/>
      <c r="D157" s="17">
        <v>60600</v>
      </c>
      <c r="E157" s="16"/>
      <c r="F157" s="16"/>
      <c r="G157" s="16"/>
      <c r="H157" s="16">
        <f t="shared" si="89"/>
        <v>5532308</v>
      </c>
      <c r="I157" s="16"/>
      <c r="J157" s="479">
        <f t="shared" si="90"/>
        <v>1.1075152402138418E-2</v>
      </c>
      <c r="K157" s="16"/>
      <c r="L157" s="16"/>
      <c r="M157" s="16"/>
      <c r="N157" s="16"/>
      <c r="O157" s="16">
        <f t="shared" si="110"/>
        <v>37380.45945945946</v>
      </c>
      <c r="P157" s="41"/>
      <c r="Q157" s="17">
        <f t="shared" si="92"/>
        <v>376676</v>
      </c>
      <c r="R157" s="16"/>
      <c r="S157" s="60">
        <f t="shared" si="106"/>
        <v>-2.8917768559886359E-2</v>
      </c>
      <c r="T157" s="16"/>
      <c r="U157" s="41"/>
      <c r="V157" s="10">
        <f t="shared" si="109"/>
        <v>49</v>
      </c>
      <c r="W157" s="34">
        <v>1120</v>
      </c>
      <c r="X157" s="33"/>
      <c r="Y157" s="33"/>
      <c r="Z157" s="33"/>
      <c r="AA157" s="33">
        <f t="shared" si="93"/>
        <v>172124</v>
      </c>
      <c r="AB157" s="33"/>
      <c r="AC157" s="46">
        <f t="shared" si="94"/>
        <v>3.1112512173942595E-2</v>
      </c>
      <c r="AD157" s="33"/>
      <c r="AE157" s="33">
        <f t="shared" si="95"/>
        <v>1163</v>
      </c>
      <c r="AF157" s="50"/>
      <c r="AG157" s="33">
        <f t="shared" si="111"/>
        <v>7373</v>
      </c>
      <c r="AH157" s="33">
        <f t="shared" si="112"/>
        <v>9998423</v>
      </c>
      <c r="AI157" s="231" t="e">
        <f t="shared" si="113"/>
        <v>#DIV/0!</v>
      </c>
      <c r="AJ157" s="50"/>
      <c r="AK157" s="10"/>
      <c r="AL157" s="23">
        <f t="shared" si="96"/>
        <v>31943</v>
      </c>
      <c r="AM157" s="24"/>
      <c r="AN157" s="24"/>
      <c r="AO157" s="24">
        <v>178263</v>
      </c>
      <c r="AP157" s="24">
        <v>2875147</v>
      </c>
      <c r="AQ157" s="24"/>
      <c r="AR157" s="504">
        <f t="shared" si="97"/>
        <v>1.1234860389898156E-2</v>
      </c>
      <c r="AS157" s="25"/>
      <c r="AT157" s="25"/>
      <c r="AU157" s="24"/>
      <c r="AV157" s="341">
        <f t="shared" si="98"/>
        <v>0.51970118077301553</v>
      </c>
      <c r="AW157" s="341"/>
      <c r="AX157" s="24">
        <f t="shared" si="99"/>
        <v>19426.66891891892</v>
      </c>
      <c r="AY157" s="351"/>
      <c r="AZ157" s="10"/>
      <c r="BA157" s="66">
        <f t="shared" si="100"/>
        <v>837407</v>
      </c>
      <c r="BB157" s="67"/>
      <c r="BC157" s="67">
        <v>69362009</v>
      </c>
      <c r="BD157" s="67"/>
      <c r="BE157" s="67">
        <f t="shared" si="101"/>
        <v>60600</v>
      </c>
      <c r="BF157" s="67"/>
      <c r="BG157" s="156">
        <f t="shared" si="102"/>
        <v>7.2366244848681704E-2</v>
      </c>
      <c r="BH157" s="67"/>
      <c r="BI157" s="183"/>
      <c r="BJ157" s="67"/>
      <c r="BK157" s="67">
        <f t="shared" si="107"/>
        <v>5465552</v>
      </c>
      <c r="BL157" s="67"/>
      <c r="BM157" s="156">
        <f t="shared" si="108"/>
        <v>6.8918198930318475E-2</v>
      </c>
      <c r="BN157" s="66">
        <f t="shared" si="103"/>
        <v>468662.22297297296</v>
      </c>
      <c r="BO157" s="67"/>
      <c r="BP157" s="67">
        <f t="shared" si="104"/>
        <v>5189661</v>
      </c>
      <c r="BQ157" s="67"/>
      <c r="BR157" s="478">
        <f t="shared" si="105"/>
        <v>7.481993493008543E-2</v>
      </c>
      <c r="BS157" s="67"/>
      <c r="BT157" s="86"/>
      <c r="BU157" s="183"/>
      <c r="BV157" s="1"/>
      <c r="BW157" s="61">
        <f t="shared" si="53"/>
        <v>148</v>
      </c>
    </row>
    <row r="158" spans="1:75" x14ac:dyDescent="0.3">
      <c r="B158" s="171">
        <f t="shared" si="52"/>
        <v>44058</v>
      </c>
      <c r="C158" s="61"/>
      <c r="D158" s="17">
        <v>53523</v>
      </c>
      <c r="E158" s="16"/>
      <c r="F158" s="16"/>
      <c r="G158" s="16"/>
      <c r="H158" s="16">
        <f t="shared" si="89"/>
        <v>5585831</v>
      </c>
      <c r="I158" s="16"/>
      <c r="J158" s="479">
        <f t="shared" si="90"/>
        <v>9.6746240447928792E-3</v>
      </c>
      <c r="K158" s="16"/>
      <c r="L158" s="16"/>
      <c r="M158" s="16"/>
      <c r="N158" s="16"/>
      <c r="O158" s="16">
        <f t="shared" si="110"/>
        <v>37488.798657718122</v>
      </c>
      <c r="P158" s="41"/>
      <c r="Q158" s="17">
        <f t="shared" si="92"/>
        <v>376000</v>
      </c>
      <c r="R158" s="16"/>
      <c r="S158" s="60">
        <f t="shared" si="106"/>
        <v>-1.968708203081207E-2</v>
      </c>
      <c r="T158" s="16"/>
      <c r="U158" s="41"/>
      <c r="V158" s="10">
        <f t="shared" si="109"/>
        <v>50</v>
      </c>
      <c r="W158" s="34">
        <v>1071</v>
      </c>
      <c r="X158" s="33"/>
      <c r="Y158" s="33"/>
      <c r="Z158" s="33"/>
      <c r="AA158" s="33">
        <f t="shared" si="93"/>
        <v>173195</v>
      </c>
      <c r="AB158" s="33"/>
      <c r="AC158" s="46">
        <f t="shared" si="94"/>
        <v>3.1006129616166334E-2</v>
      </c>
      <c r="AD158" s="33"/>
      <c r="AE158" s="33">
        <f t="shared" si="95"/>
        <v>1162.3825503355704</v>
      </c>
      <c r="AF158" s="50"/>
      <c r="AG158" s="33">
        <f t="shared" si="111"/>
        <v>7468</v>
      </c>
      <c r="AH158" s="33">
        <f t="shared" si="112"/>
        <v>86925035</v>
      </c>
      <c r="AI158" s="231" t="e">
        <f t="shared" si="113"/>
        <v>#DIV/0!</v>
      </c>
      <c r="AJ158" s="50"/>
      <c r="AK158" s="10"/>
      <c r="AL158" s="23">
        <f t="shared" si="96"/>
        <v>29242</v>
      </c>
      <c r="AM158" s="24"/>
      <c r="AN158" s="24"/>
      <c r="AO158" s="24">
        <v>178263</v>
      </c>
      <c r="AP158" s="24">
        <v>2904389</v>
      </c>
      <c r="AQ158" s="24"/>
      <c r="AR158" s="504">
        <f t="shared" si="97"/>
        <v>1.0170610407050492E-2</v>
      </c>
      <c r="AS158" s="25"/>
      <c r="AT158" s="25"/>
      <c r="AU158" s="24"/>
      <c r="AV158" s="341">
        <f t="shared" si="98"/>
        <v>0.51995647558975555</v>
      </c>
      <c r="AW158" s="341"/>
      <c r="AX158" s="24">
        <f t="shared" si="99"/>
        <v>19492.543624161073</v>
      </c>
      <c r="AY158" s="351"/>
      <c r="AZ158" s="10"/>
      <c r="BA158" s="66">
        <f t="shared" si="100"/>
        <v>862664</v>
      </c>
      <c r="BB158" s="67"/>
      <c r="BC158" s="67">
        <v>70224673</v>
      </c>
      <c r="BD158" s="67"/>
      <c r="BE158" s="67">
        <f t="shared" si="101"/>
        <v>53523</v>
      </c>
      <c r="BF158" s="67"/>
      <c r="BG158" s="156">
        <f t="shared" si="102"/>
        <v>6.2043854849628592E-2</v>
      </c>
      <c r="BH158" s="67"/>
      <c r="BI158" s="183"/>
      <c r="BJ158" s="67"/>
      <c r="BK158" s="67">
        <f t="shared" si="107"/>
        <v>5614126</v>
      </c>
      <c r="BL158" s="67"/>
      <c r="BM158" s="156">
        <f t="shared" si="108"/>
        <v>6.6973915441156828E-2</v>
      </c>
      <c r="BN158" s="66">
        <f t="shared" si="103"/>
        <v>471306.53020134231</v>
      </c>
      <c r="BO158" s="67"/>
      <c r="BP158" s="67">
        <f t="shared" si="104"/>
        <v>5243184</v>
      </c>
      <c r="BQ158" s="67"/>
      <c r="BR158" s="478">
        <f t="shared" si="105"/>
        <v>7.4662989174759137E-2</v>
      </c>
      <c r="BS158" s="67"/>
      <c r="BT158" s="86"/>
      <c r="BU158" s="183"/>
      <c r="BV158" s="1"/>
      <c r="BW158" s="61">
        <f t="shared" si="53"/>
        <v>149</v>
      </c>
    </row>
    <row r="159" spans="1:75" x14ac:dyDescent="0.3">
      <c r="B159" s="390">
        <f t="shared" si="52"/>
        <v>44059</v>
      </c>
      <c r="C159" s="61"/>
      <c r="D159" s="17">
        <v>36843</v>
      </c>
      <c r="E159" s="16"/>
      <c r="F159" s="16"/>
      <c r="G159" s="16"/>
      <c r="H159" s="16">
        <f t="shared" si="89"/>
        <v>5622674</v>
      </c>
      <c r="I159" s="16"/>
      <c r="J159" s="479">
        <f t="shared" si="90"/>
        <v>6.5957956837577074E-3</v>
      </c>
      <c r="K159" s="16"/>
      <c r="L159" s="16"/>
      <c r="M159" s="16"/>
      <c r="N159" s="16">
        <f t="shared" ref="N159:N164" si="114">SUM(D153:D159)</f>
        <v>364994</v>
      </c>
      <c r="O159" s="16">
        <f t="shared" si="110"/>
        <v>37484.493333333332</v>
      </c>
      <c r="P159" s="41"/>
      <c r="Q159" s="17">
        <f t="shared" si="92"/>
        <v>364994</v>
      </c>
      <c r="R159" s="16"/>
      <c r="S159" s="60">
        <f t="shared" si="106"/>
        <v>-4.5422923826112425E-2</v>
      </c>
      <c r="T159" s="16"/>
      <c r="U159" s="41"/>
      <c r="V159" s="10">
        <f t="shared" si="109"/>
        <v>51</v>
      </c>
      <c r="W159" s="34">
        <v>522</v>
      </c>
      <c r="X159" s="33"/>
      <c r="Y159" s="33"/>
      <c r="Z159" s="33"/>
      <c r="AA159" s="33">
        <f t="shared" si="93"/>
        <v>173717</v>
      </c>
      <c r="AB159" s="33"/>
      <c r="AC159" s="46">
        <f t="shared" si="94"/>
        <v>3.0895797977972757E-2</v>
      </c>
      <c r="AD159" s="33"/>
      <c r="AE159" s="33">
        <f t="shared" si="95"/>
        <v>1158.1133333333332</v>
      </c>
      <c r="AF159" s="50"/>
      <c r="AG159" s="33">
        <f t="shared" si="111"/>
        <v>7456</v>
      </c>
      <c r="AH159" s="33">
        <f t="shared" si="112"/>
        <v>86850048.232628405</v>
      </c>
      <c r="AI159" s="231">
        <f t="shared" si="113"/>
        <v>2.9407703990059368E-2</v>
      </c>
      <c r="AJ159" s="50"/>
      <c r="AK159" s="10"/>
      <c r="AL159" s="23">
        <f t="shared" si="96"/>
        <v>18335</v>
      </c>
      <c r="AM159" s="24"/>
      <c r="AN159" s="24"/>
      <c r="AO159" s="24">
        <v>178263</v>
      </c>
      <c r="AP159" s="24">
        <v>2922724</v>
      </c>
      <c r="AQ159" s="24"/>
      <c r="AR159" s="504">
        <f t="shared" si="97"/>
        <v>6.3128596066160557E-3</v>
      </c>
      <c r="AS159" s="25"/>
      <c r="AT159" s="25"/>
      <c r="AU159" s="24"/>
      <c r="AV159" s="341">
        <f t="shared" si="98"/>
        <v>0.51981032512288639</v>
      </c>
      <c r="AW159" s="341"/>
      <c r="AX159" s="24">
        <f t="shared" si="99"/>
        <v>19484.826666666668</v>
      </c>
      <c r="AY159" s="351"/>
      <c r="AZ159" s="10"/>
      <c r="BA159" s="66">
        <f t="shared" si="100"/>
        <v>735957</v>
      </c>
      <c r="BB159" s="67"/>
      <c r="BC159" s="67">
        <v>70960630</v>
      </c>
      <c r="BD159" s="67"/>
      <c r="BE159" s="67">
        <f t="shared" si="101"/>
        <v>36843</v>
      </c>
      <c r="BF159" s="67"/>
      <c r="BG159" s="156">
        <f t="shared" si="102"/>
        <v>5.0061348692926354E-2</v>
      </c>
      <c r="BH159" s="67"/>
      <c r="BI159" s="183"/>
      <c r="BJ159" s="67"/>
      <c r="BK159" s="67">
        <f t="shared" si="107"/>
        <v>5527379</v>
      </c>
      <c r="BL159" s="67"/>
      <c r="BM159" s="156">
        <f t="shared" si="108"/>
        <v>6.603382905351704E-2</v>
      </c>
      <c r="BN159" s="66">
        <f t="shared" si="103"/>
        <v>473070.86666666664</v>
      </c>
      <c r="BO159" s="67"/>
      <c r="BP159" s="67">
        <f t="shared" si="104"/>
        <v>5280027</v>
      </c>
      <c r="BQ159" s="67"/>
      <c r="BR159" s="478">
        <f t="shared" si="105"/>
        <v>7.4407837134478655E-2</v>
      </c>
      <c r="BS159" s="67"/>
      <c r="BT159" s="86"/>
      <c r="BU159" s="183"/>
      <c r="BV159" s="1"/>
      <c r="BW159" s="61">
        <f t="shared" si="53"/>
        <v>150</v>
      </c>
    </row>
    <row r="160" spans="1:75" x14ac:dyDescent="0.3">
      <c r="B160" s="171">
        <f t="shared" si="52"/>
        <v>44060</v>
      </c>
      <c r="C160" s="61"/>
      <c r="D160" s="17">
        <v>40612</v>
      </c>
      <c r="E160" s="16"/>
      <c r="F160" s="16"/>
      <c r="G160" s="16"/>
      <c r="H160" s="16">
        <f t="shared" si="89"/>
        <v>5663286</v>
      </c>
      <c r="I160" s="16"/>
      <c r="J160" s="479">
        <f t="shared" si="90"/>
        <v>7.222897859630489E-3</v>
      </c>
      <c r="K160" s="16"/>
      <c r="L160" s="16"/>
      <c r="M160" s="16"/>
      <c r="N160" s="16">
        <f t="shared" si="114"/>
        <v>355806</v>
      </c>
      <c r="O160" s="16">
        <f t="shared" si="110"/>
        <v>37505.205298013243</v>
      </c>
      <c r="P160" s="41"/>
      <c r="Q160" s="17">
        <f t="shared" si="92"/>
        <v>355806</v>
      </c>
      <c r="R160" s="16"/>
      <c r="S160" s="60">
        <f t="shared" si="106"/>
        <v>-7.2252526622096608E-2</v>
      </c>
      <c r="T160" s="16"/>
      <c r="U160" s="41"/>
      <c r="V160" s="10">
        <f t="shared" si="109"/>
        <v>52</v>
      </c>
      <c r="W160" s="34">
        <v>589</v>
      </c>
      <c r="X160" s="33"/>
      <c r="Y160" s="33"/>
      <c r="Z160" s="33"/>
      <c r="AA160" s="33">
        <f t="shared" si="93"/>
        <v>174306</v>
      </c>
      <c r="AB160" s="33"/>
      <c r="AC160" s="46">
        <f t="shared" si="94"/>
        <v>3.0778244291388427E-2</v>
      </c>
      <c r="AD160" s="33"/>
      <c r="AE160" s="33">
        <f t="shared" si="95"/>
        <v>1154.3443708609273</v>
      </c>
      <c r="AF160" s="50"/>
      <c r="AG160" s="33">
        <f t="shared" si="111"/>
        <v>7476</v>
      </c>
      <c r="AH160" s="33">
        <f t="shared" si="112"/>
        <v>86786789.232628405</v>
      </c>
      <c r="AI160" s="231">
        <f t="shared" si="113"/>
        <v>3.1172413793103447E-2</v>
      </c>
      <c r="AJ160" s="50"/>
      <c r="AK160" s="10"/>
      <c r="AL160" s="23">
        <f t="shared" si="96"/>
        <v>50863</v>
      </c>
      <c r="AM160" s="24"/>
      <c r="AN160" s="24"/>
      <c r="AO160" s="24">
        <v>178263</v>
      </c>
      <c r="AP160" s="24">
        <v>2973587</v>
      </c>
      <c r="AQ160" s="24"/>
      <c r="AR160" s="504">
        <f t="shared" si="97"/>
        <v>1.7402601135105469E-2</v>
      </c>
      <c r="AS160" s="25"/>
      <c r="AT160" s="25"/>
      <c r="AU160" s="24"/>
      <c r="AV160" s="341">
        <f t="shared" si="98"/>
        <v>0.52506389400076214</v>
      </c>
      <c r="AW160" s="341"/>
      <c r="AX160" s="24">
        <f t="shared" si="99"/>
        <v>19692.629139072847</v>
      </c>
      <c r="AY160" s="351"/>
      <c r="AZ160" s="10"/>
      <c r="BA160" s="66">
        <f t="shared" si="100"/>
        <v>727151</v>
      </c>
      <c r="BB160" s="67"/>
      <c r="BC160" s="67">
        <v>71687781</v>
      </c>
      <c r="BD160" s="67"/>
      <c r="BE160" s="67">
        <f t="shared" si="101"/>
        <v>40612</v>
      </c>
      <c r="BF160" s="67"/>
      <c r="BG160" s="156">
        <f t="shared" si="102"/>
        <v>5.5850848035689973E-2</v>
      </c>
      <c r="BH160" s="67"/>
      <c r="BI160" s="183"/>
      <c r="BJ160" s="67"/>
      <c r="BK160" s="67">
        <f t="shared" si="107"/>
        <v>5509166</v>
      </c>
      <c r="BL160" s="67"/>
      <c r="BM160" s="156">
        <f t="shared" si="108"/>
        <v>6.4584367216380847E-2</v>
      </c>
      <c r="BN160" s="66">
        <f t="shared" si="103"/>
        <v>474753.51655629138</v>
      </c>
      <c r="BO160" s="67"/>
      <c r="BP160" s="67">
        <f t="shared" si="104"/>
        <v>5320639</v>
      </c>
      <c r="BQ160" s="67"/>
      <c r="BR160" s="478">
        <f t="shared" si="105"/>
        <v>7.4219607941275231E-2</v>
      </c>
      <c r="BS160" s="67"/>
      <c r="BT160" s="86"/>
      <c r="BU160" s="183"/>
      <c r="BV160" s="1"/>
      <c r="BW160" s="61">
        <f t="shared" si="53"/>
        <v>151</v>
      </c>
    </row>
    <row r="161" spans="2:75" x14ac:dyDescent="0.3">
      <c r="B161" s="171">
        <f t="shared" si="52"/>
        <v>44061</v>
      </c>
      <c r="C161" s="61"/>
      <c r="D161" s="17">
        <v>43999</v>
      </c>
      <c r="E161" s="16"/>
      <c r="F161" s="16"/>
      <c r="G161" s="16"/>
      <c r="H161" s="16">
        <f t="shared" si="89"/>
        <v>5707285</v>
      </c>
      <c r="I161" s="16"/>
      <c r="J161" s="479">
        <f t="shared" si="90"/>
        <v>7.7691644038461061E-3</v>
      </c>
      <c r="K161" s="16"/>
      <c r="L161" s="16"/>
      <c r="M161" s="16"/>
      <c r="N161" s="16">
        <f t="shared" si="114"/>
        <v>345286</v>
      </c>
      <c r="O161" s="16">
        <f t="shared" ref="O161:O169" si="115">+H161/BW161</f>
        <v>37547.927631578947</v>
      </c>
      <c r="P161" s="41"/>
      <c r="Q161" s="17">
        <f t="shared" si="92"/>
        <v>345286</v>
      </c>
      <c r="R161" s="16"/>
      <c r="S161" s="60">
        <f t="shared" si="106"/>
        <v>-9.9577282245593535E-2</v>
      </c>
      <c r="T161" s="16"/>
      <c r="U161" s="41"/>
      <c r="V161" s="10">
        <f t="shared" si="109"/>
        <v>53</v>
      </c>
      <c r="W161" s="34">
        <v>1358</v>
      </c>
      <c r="X161" s="33"/>
      <c r="Y161" s="33"/>
      <c r="Z161" s="33"/>
      <c r="AA161" s="33">
        <f t="shared" si="93"/>
        <v>175664</v>
      </c>
      <c r="AB161" s="33"/>
      <c r="AC161" s="46">
        <f t="shared" si="94"/>
        <v>3.0778908009675355E-2</v>
      </c>
      <c r="AD161" s="33"/>
      <c r="AE161" s="33">
        <f t="shared" si="95"/>
        <v>1155.6842105263158</v>
      </c>
      <c r="AF161" s="50"/>
      <c r="AG161" s="33">
        <f t="shared" si="111"/>
        <v>7330</v>
      </c>
      <c r="AH161" s="33">
        <f t="shared" si="112"/>
        <v>417721510.23262841</v>
      </c>
      <c r="AI161" s="231">
        <f t="shared" si="113"/>
        <v>-8.7897227856659904E-3</v>
      </c>
      <c r="AJ161" s="50"/>
      <c r="AK161" s="10"/>
      <c r="AL161" s="23">
        <f t="shared" si="96"/>
        <v>37511</v>
      </c>
      <c r="AM161" s="24"/>
      <c r="AN161" s="24"/>
      <c r="AO161" s="24">
        <v>178263</v>
      </c>
      <c r="AP161" s="24">
        <v>3011098</v>
      </c>
      <c r="AQ161" s="24"/>
      <c r="AR161" s="504">
        <f t="shared" si="97"/>
        <v>1.261473096297502E-2</v>
      </c>
      <c r="AS161" s="25"/>
      <c r="AT161" s="25"/>
      <c r="AU161" s="24"/>
      <c r="AV161" s="341">
        <f t="shared" si="98"/>
        <v>0.52758851187561162</v>
      </c>
      <c r="AW161" s="341"/>
      <c r="AX161" s="24">
        <f t="shared" si="99"/>
        <v>19809.855263157893</v>
      </c>
      <c r="AY161" s="351"/>
      <c r="AZ161" s="10"/>
      <c r="BA161" s="66">
        <f t="shared" si="100"/>
        <v>679870</v>
      </c>
      <c r="BB161" s="67"/>
      <c r="BC161" s="67">
        <v>72367651</v>
      </c>
      <c r="BD161" s="67"/>
      <c r="BE161" s="67">
        <f t="shared" si="101"/>
        <v>43999</v>
      </c>
      <c r="BF161" s="67"/>
      <c r="BG161" s="156">
        <f t="shared" si="102"/>
        <v>6.4716784091076229E-2</v>
      </c>
      <c r="BH161" s="67"/>
      <c r="BI161" s="183"/>
      <c r="BJ161" s="67"/>
      <c r="BK161" s="67">
        <f t="shared" si="107"/>
        <v>5425294</v>
      </c>
      <c r="BL161" s="67"/>
      <c r="BM161" s="156">
        <f t="shared" si="108"/>
        <v>6.3643739859996523E-2</v>
      </c>
      <c r="BN161" s="66">
        <f t="shared" si="103"/>
        <v>476102.96710526315</v>
      </c>
      <c r="BO161" s="67"/>
      <c r="BP161" s="67">
        <f t="shared" si="104"/>
        <v>5364638</v>
      </c>
      <c r="BQ161" s="67"/>
      <c r="BR161" s="478">
        <f t="shared" si="105"/>
        <v>7.4130332073373509E-2</v>
      </c>
      <c r="BS161" s="67"/>
      <c r="BT161" s="86"/>
      <c r="BU161" s="183"/>
      <c r="BV161" s="1"/>
      <c r="BW161" s="61">
        <f t="shared" si="53"/>
        <v>152</v>
      </c>
    </row>
    <row r="162" spans="2:75" x14ac:dyDescent="0.3">
      <c r="B162" s="171">
        <f t="shared" si="52"/>
        <v>44062</v>
      </c>
      <c r="C162" s="61"/>
      <c r="D162" s="17">
        <v>44973</v>
      </c>
      <c r="E162" s="16"/>
      <c r="F162" s="16"/>
      <c r="G162" s="16"/>
      <c r="H162" s="16">
        <f t="shared" si="89"/>
        <v>5752258</v>
      </c>
      <c r="I162" s="16"/>
      <c r="J162" s="479">
        <f t="shared" si="90"/>
        <v>7.8799288978910285E-3</v>
      </c>
      <c r="K162" s="16"/>
      <c r="L162" s="16"/>
      <c r="M162" s="16"/>
      <c r="N162" s="16">
        <f t="shared" si="114"/>
        <v>335914</v>
      </c>
      <c r="O162" s="16">
        <f t="shared" si="115"/>
        <v>37596.457516339869</v>
      </c>
      <c r="P162" s="41"/>
      <c r="Q162" s="17">
        <f t="shared" si="92"/>
        <v>335914</v>
      </c>
      <c r="R162" s="16"/>
      <c r="S162" s="60">
        <f t="shared" si="106"/>
        <v>-0.12217901679785088</v>
      </c>
      <c r="T162" s="16"/>
      <c r="U162" s="41"/>
      <c r="V162" s="10">
        <f t="shared" si="109"/>
        <v>54</v>
      </c>
      <c r="W162" s="34">
        <v>1284</v>
      </c>
      <c r="X162" s="33"/>
      <c r="Y162" s="33"/>
      <c r="Z162" s="33"/>
      <c r="AA162" s="33">
        <f t="shared" si="93"/>
        <v>176948</v>
      </c>
      <c r="AB162" s="33"/>
      <c r="AC162" s="46">
        <f t="shared" si="94"/>
        <v>3.0761485315853355E-2</v>
      </c>
      <c r="AD162" s="33"/>
      <c r="AE162" s="33">
        <f t="shared" si="95"/>
        <v>1156.5228758169935</v>
      </c>
      <c r="AF162" s="50"/>
      <c r="AG162" s="33">
        <f t="shared" si="111"/>
        <v>7228</v>
      </c>
      <c r="AH162" s="33">
        <f t="shared" si="112"/>
        <v>462012631.23262841</v>
      </c>
      <c r="AI162" s="231">
        <f t="shared" si="113"/>
        <v>-3.1358885017421602E-2</v>
      </c>
      <c r="AJ162" s="50"/>
      <c r="AK162" s="10"/>
      <c r="AL162" s="23">
        <f t="shared" si="96"/>
        <v>51233</v>
      </c>
      <c r="AM162" s="24"/>
      <c r="AN162" s="24"/>
      <c r="AO162" s="24">
        <v>178263</v>
      </c>
      <c r="AP162" s="24">
        <v>3062331</v>
      </c>
      <c r="AQ162" s="24"/>
      <c r="AR162" s="504">
        <f t="shared" si="97"/>
        <v>1.7014723532744535E-2</v>
      </c>
      <c r="AS162" s="25"/>
      <c r="AT162" s="25"/>
      <c r="AU162" s="24"/>
      <c r="AV162" s="341">
        <f t="shared" si="98"/>
        <v>0.53237024486731988</v>
      </c>
      <c r="AW162" s="341"/>
      <c r="AX162" s="24">
        <f t="shared" si="99"/>
        <v>20015.235294117647</v>
      </c>
      <c r="AY162" s="351"/>
      <c r="AZ162" s="10"/>
      <c r="BA162" s="66">
        <f t="shared" si="100"/>
        <v>748058</v>
      </c>
      <c r="BB162" s="67"/>
      <c r="BC162" s="67">
        <v>73115709</v>
      </c>
      <c r="BD162" s="67"/>
      <c r="BE162" s="67">
        <f t="shared" si="101"/>
        <v>44973</v>
      </c>
      <c r="BF162" s="67"/>
      <c r="BG162" s="156">
        <f t="shared" si="102"/>
        <v>6.011966986517088E-2</v>
      </c>
      <c r="BH162" s="67"/>
      <c r="BI162" s="183"/>
      <c r="BJ162" s="67"/>
      <c r="BK162" s="67">
        <f t="shared" si="107"/>
        <v>5564548</v>
      </c>
      <c r="BL162" s="67"/>
      <c r="BM162" s="156">
        <f t="shared" si="108"/>
        <v>6.0366807870109125E-2</v>
      </c>
      <c r="BN162" s="66">
        <f t="shared" si="103"/>
        <v>477880.45098039217</v>
      </c>
      <c r="BO162" s="67"/>
      <c r="BP162" s="67">
        <f t="shared" si="104"/>
        <v>5409611</v>
      </c>
      <c r="BQ162" s="67"/>
      <c r="BR162" s="478">
        <f t="shared" si="105"/>
        <v>7.3986986845740635E-2</v>
      </c>
      <c r="BS162" s="67"/>
      <c r="BT162" s="86"/>
      <c r="BU162" s="183"/>
      <c r="BV162" s="1"/>
      <c r="BW162" s="61">
        <f t="shared" si="53"/>
        <v>153</v>
      </c>
    </row>
    <row r="163" spans="2:75" x14ac:dyDescent="0.3">
      <c r="B163" s="171">
        <f t="shared" si="52"/>
        <v>44063</v>
      </c>
      <c r="C163" s="61"/>
      <c r="D163" s="17">
        <v>45357</v>
      </c>
      <c r="E163" s="16"/>
      <c r="F163" s="16"/>
      <c r="G163" s="16"/>
      <c r="H163" s="16">
        <f t="shared" si="89"/>
        <v>5797615</v>
      </c>
      <c r="I163" s="16"/>
      <c r="J163" s="479">
        <f t="shared" si="90"/>
        <v>7.8850774774010483E-3</v>
      </c>
      <c r="K163" s="16"/>
      <c r="L163" s="16"/>
      <c r="M163" s="16"/>
      <c r="N163" s="16">
        <f t="shared" si="114"/>
        <v>325907</v>
      </c>
      <c r="O163" s="16">
        <f t="shared" si="115"/>
        <v>37646.85064935065</v>
      </c>
      <c r="P163" s="41"/>
      <c r="Q163" s="17">
        <f t="shared" si="92"/>
        <v>325907</v>
      </c>
      <c r="R163" s="16"/>
      <c r="S163" s="60">
        <f t="shared" si="106"/>
        <v>-0.14081703671287191</v>
      </c>
      <c r="T163" s="16"/>
      <c r="U163" s="41"/>
      <c r="V163" s="10">
        <f t="shared" si="109"/>
        <v>55</v>
      </c>
      <c r="W163" s="34">
        <v>1097</v>
      </c>
      <c r="X163" s="33"/>
      <c r="Y163" s="33"/>
      <c r="Z163" s="33"/>
      <c r="AA163" s="33">
        <f t="shared" si="93"/>
        <v>178045</v>
      </c>
      <c r="AB163" s="33"/>
      <c r="AC163" s="46">
        <f t="shared" si="94"/>
        <v>3.0710041974156613E-2</v>
      </c>
      <c r="AD163" s="33"/>
      <c r="AE163" s="33">
        <f t="shared" si="95"/>
        <v>1156.1363636363637</v>
      </c>
      <c r="AF163" s="50"/>
      <c r="AG163" s="33">
        <f t="shared" si="111"/>
        <v>7041</v>
      </c>
      <c r="AH163" s="33">
        <f t="shared" si="112"/>
        <v>461945152.30462843</v>
      </c>
      <c r="AI163" s="231">
        <f t="shared" si="113"/>
        <v>-6.6551769852843695E-2</v>
      </c>
      <c r="AJ163" s="50"/>
      <c r="AK163" s="10"/>
      <c r="AL163" s="23">
        <f t="shared" si="96"/>
        <v>33153</v>
      </c>
      <c r="AM163" s="24"/>
      <c r="AN163" s="24"/>
      <c r="AO163" s="24">
        <v>178263</v>
      </c>
      <c r="AP163" s="24">
        <v>3095484</v>
      </c>
      <c r="AQ163" s="24"/>
      <c r="AR163" s="504">
        <f t="shared" si="97"/>
        <v>1.0826066809890896E-2</v>
      </c>
      <c r="AS163" s="25"/>
      <c r="AT163" s="25"/>
      <c r="AU163" s="24"/>
      <c r="AV163" s="341">
        <f t="shared" si="98"/>
        <v>0.53392369103502046</v>
      </c>
      <c r="AW163" s="341"/>
      <c r="AX163" s="24">
        <f t="shared" si="99"/>
        <v>20100.545454545456</v>
      </c>
      <c r="AY163" s="351"/>
      <c r="AZ163" s="10"/>
      <c r="BA163" s="66">
        <f t="shared" si="100"/>
        <v>752623</v>
      </c>
      <c r="BB163" s="67"/>
      <c r="BC163" s="67">
        <v>73868332</v>
      </c>
      <c r="BD163" s="67"/>
      <c r="BE163" s="67">
        <f t="shared" si="101"/>
        <v>45357</v>
      </c>
      <c r="BF163" s="67"/>
      <c r="BG163" s="156">
        <f t="shared" si="102"/>
        <v>6.0265232393907707E-2</v>
      </c>
      <c r="BH163" s="67"/>
      <c r="BI163" s="183"/>
      <c r="BJ163" s="67"/>
      <c r="BK163" s="67">
        <f t="shared" si="107"/>
        <v>5343730</v>
      </c>
      <c r="BL163" s="67"/>
      <c r="BM163" s="156">
        <f t="shared" si="108"/>
        <v>6.0988672706143464E-2</v>
      </c>
      <c r="BN163" s="66">
        <f t="shared" si="103"/>
        <v>479664.49350649351</v>
      </c>
      <c r="BO163" s="67"/>
      <c r="BP163" s="67">
        <f t="shared" si="104"/>
        <v>5454968</v>
      </c>
      <c r="BQ163" s="67"/>
      <c r="BR163" s="478">
        <f t="shared" si="105"/>
        <v>7.3847179871341886E-2</v>
      </c>
      <c r="BS163" s="67"/>
      <c r="BT163" s="86"/>
      <c r="BU163" s="183"/>
      <c r="BV163" s="1"/>
      <c r="BW163" s="61">
        <f t="shared" si="53"/>
        <v>154</v>
      </c>
    </row>
    <row r="164" spans="2:75" x14ac:dyDescent="0.3">
      <c r="B164" s="171">
        <f t="shared" si="52"/>
        <v>44064</v>
      </c>
      <c r="C164" s="61"/>
      <c r="D164" s="17">
        <v>50481</v>
      </c>
      <c r="E164" s="16"/>
      <c r="F164" s="16"/>
      <c r="G164" s="16"/>
      <c r="H164" s="16">
        <f t="shared" si="89"/>
        <v>5848096</v>
      </c>
      <c r="I164" s="16"/>
      <c r="J164" s="479">
        <f t="shared" si="90"/>
        <v>8.707201150818052E-3</v>
      </c>
      <c r="K164" s="16"/>
      <c r="L164" s="16"/>
      <c r="M164" s="16"/>
      <c r="N164" s="16">
        <f t="shared" si="114"/>
        <v>315788</v>
      </c>
      <c r="O164" s="16">
        <f t="shared" si="115"/>
        <v>37729.651612903224</v>
      </c>
      <c r="P164" s="41"/>
      <c r="Q164" s="17">
        <f t="shared" si="92"/>
        <v>315788</v>
      </c>
      <c r="R164" s="16"/>
      <c r="S164" s="60">
        <f t="shared" si="106"/>
        <v>-0.16164555214561055</v>
      </c>
      <c r="T164" s="16"/>
      <c r="U164" s="41"/>
      <c r="V164" s="10">
        <f t="shared" si="109"/>
        <v>56</v>
      </c>
      <c r="W164" s="34">
        <v>1170</v>
      </c>
      <c r="X164" s="33"/>
      <c r="Y164" s="33"/>
      <c r="Z164" s="33"/>
      <c r="AA164" s="33">
        <f t="shared" si="93"/>
        <v>179215</v>
      </c>
      <c r="AB164" s="33"/>
      <c r="AC164" s="46">
        <f t="shared" si="94"/>
        <v>3.0645016771270513E-2</v>
      </c>
      <c r="AD164" s="33"/>
      <c r="AE164" s="33">
        <f t="shared" si="95"/>
        <v>1156.2258064516129</v>
      </c>
      <c r="AF164" s="50"/>
      <c r="AG164" s="33">
        <f t="shared" si="111"/>
        <v>7091</v>
      </c>
      <c r="AH164" s="33">
        <f t="shared" si="112"/>
        <v>461873185.30462843</v>
      </c>
      <c r="AI164" s="231">
        <f t="shared" si="113"/>
        <v>-3.8247660382476602E-2</v>
      </c>
      <c r="AJ164" s="50"/>
      <c r="AK164" s="10"/>
      <c r="AL164" s="23">
        <f t="shared" si="96"/>
        <v>31934</v>
      </c>
      <c r="AM164" s="24"/>
      <c r="AN164" s="24"/>
      <c r="AO164" s="24">
        <v>178263</v>
      </c>
      <c r="AP164" s="24">
        <v>3127418</v>
      </c>
      <c r="AQ164" s="24"/>
      <c r="AR164" s="504">
        <f t="shared" si="97"/>
        <v>1.0316318869682414E-2</v>
      </c>
      <c r="AS164" s="25"/>
      <c r="AT164" s="25"/>
      <c r="AU164" s="24"/>
      <c r="AV164" s="341">
        <f t="shared" si="98"/>
        <v>0.53477542092332275</v>
      </c>
      <c r="AW164" s="341"/>
      <c r="AX164" s="24">
        <f t="shared" si="99"/>
        <v>20176.890322580646</v>
      </c>
      <c r="AY164" s="351"/>
      <c r="AZ164" s="10"/>
      <c r="BA164" s="66">
        <f t="shared" si="100"/>
        <v>850248</v>
      </c>
      <c r="BB164" s="67"/>
      <c r="BC164" s="67">
        <v>74718580</v>
      </c>
      <c r="BD164" s="67"/>
      <c r="BE164" s="67">
        <f t="shared" si="101"/>
        <v>50481</v>
      </c>
      <c r="BF164" s="67"/>
      <c r="BG164" s="156">
        <f t="shared" si="102"/>
        <v>5.9372089084596492E-2</v>
      </c>
      <c r="BH164" s="67"/>
      <c r="BI164" s="183"/>
      <c r="BJ164" s="67"/>
      <c r="BK164" s="67">
        <f t="shared" si="107"/>
        <v>5356571</v>
      </c>
      <c r="BL164" s="67"/>
      <c r="BM164" s="156">
        <f t="shared" si="108"/>
        <v>5.8953386410821401E-2</v>
      </c>
      <c r="BN164" s="66">
        <f t="shared" si="103"/>
        <v>482055.3548387097</v>
      </c>
      <c r="BO164" s="67"/>
      <c r="BP164" s="67">
        <f t="shared" si="104"/>
        <v>5505449</v>
      </c>
      <c r="BQ164" s="67"/>
      <c r="BR164" s="478">
        <f t="shared" si="105"/>
        <v>7.3682462916184965E-2</v>
      </c>
      <c r="BS164" s="67"/>
      <c r="BT164" s="86"/>
      <c r="BU164" s="183"/>
      <c r="BV164" s="1"/>
      <c r="BW164" s="61">
        <f t="shared" si="53"/>
        <v>155</v>
      </c>
    </row>
    <row r="165" spans="2:75" x14ac:dyDescent="0.3">
      <c r="B165" s="171">
        <f t="shared" si="52"/>
        <v>44065</v>
      </c>
      <c r="C165" s="61"/>
      <c r="D165" s="17">
        <v>43829</v>
      </c>
      <c r="E165" s="16"/>
      <c r="F165" s="16"/>
      <c r="G165" s="16"/>
      <c r="H165" s="16">
        <f t="shared" ref="H165:H182" si="116">+H164+D165</f>
        <v>5891925</v>
      </c>
      <c r="I165" s="16"/>
      <c r="J165" s="479">
        <f t="shared" ref="J165:J182" si="117">+D165/H164</f>
        <v>7.4945760124320807E-3</v>
      </c>
      <c r="K165" s="16"/>
      <c r="L165" s="16"/>
      <c r="M165" s="16"/>
      <c r="N165" s="16">
        <f t="shared" ref="N165:N182" si="118">SUM(D159:D165)</f>
        <v>306094</v>
      </c>
      <c r="O165" s="16">
        <f t="shared" si="115"/>
        <v>37768.75</v>
      </c>
      <c r="P165" s="41"/>
      <c r="Q165" s="17">
        <f t="shared" ref="Q165:Q182" si="119">SUM(D159:D165)</f>
        <v>306094</v>
      </c>
      <c r="R165" s="16"/>
      <c r="S165" s="60">
        <f t="shared" ref="S165:S182" si="120">+(Q165-Q158)/Q158</f>
        <v>-0.18592021276595744</v>
      </c>
      <c r="T165" s="16"/>
      <c r="U165" s="41"/>
      <c r="V165" s="10">
        <f t="shared" si="109"/>
        <v>57</v>
      </c>
      <c r="W165" s="34">
        <v>974</v>
      </c>
      <c r="X165" s="33"/>
      <c r="Y165" s="33"/>
      <c r="Z165" s="33"/>
      <c r="AA165" s="33">
        <f t="shared" ref="AA165:AA182" si="121">+AA164+W165</f>
        <v>180189</v>
      </c>
      <c r="AB165" s="33"/>
      <c r="AC165" s="46">
        <f t="shared" ref="AC165:AC182" si="122">+AA165/H165</f>
        <v>3.0582364846803038E-2</v>
      </c>
      <c r="AD165" s="33"/>
      <c r="AE165" s="33">
        <f t="shared" ref="AE165:AE182" si="123">+AA165/BW165</f>
        <v>1155.0576923076924</v>
      </c>
      <c r="AF165" s="50"/>
      <c r="AG165" s="33">
        <f t="shared" ref="AG165:AG182" si="124">SUM(W159:W165)</f>
        <v>6994</v>
      </c>
      <c r="AH165" s="33">
        <f t="shared" si="112"/>
        <v>461803742.34662843</v>
      </c>
      <c r="AI165" s="231">
        <f t="shared" ref="AI165:AI182" si="125">+(AG165-AG158)/AG158</f>
        <v>-6.3470808784145683E-2</v>
      </c>
      <c r="AJ165" s="50"/>
      <c r="AK165" s="10"/>
      <c r="AL165" s="23">
        <f t="shared" ref="AL165:AL182" si="126">+AP165-AP164</f>
        <v>20662</v>
      </c>
      <c r="AM165" s="24"/>
      <c r="AN165" s="24"/>
      <c r="AO165" s="24">
        <v>178263</v>
      </c>
      <c r="AP165" s="24">
        <v>3148080</v>
      </c>
      <c r="AQ165" s="24"/>
      <c r="AR165" s="504">
        <f t="shared" ref="AR165:AR182" si="127">+AL165/AP164</f>
        <v>6.606727978159619E-3</v>
      </c>
      <c r="AS165" s="25"/>
      <c r="AT165" s="25"/>
      <c r="AU165" s="24"/>
      <c r="AV165" s="341">
        <f t="shared" ref="AV165:AV182" si="128">+AP165/H165</f>
        <v>0.5343041535661095</v>
      </c>
      <c r="AW165" s="341"/>
      <c r="AX165" s="24">
        <f t="shared" ref="AX165:AX182" si="129">+AP165/BW165</f>
        <v>20180</v>
      </c>
      <c r="AY165" s="351"/>
      <c r="AZ165" s="10"/>
      <c r="BA165" s="66">
        <f t="shared" ref="BA165:BA182" si="130">+BC165-BC164</f>
        <v>756595</v>
      </c>
      <c r="BB165" s="67"/>
      <c r="BC165" s="67">
        <v>75475175</v>
      </c>
      <c r="BD165" s="67"/>
      <c r="BE165" s="67">
        <f t="shared" ref="BE165:BE182" si="131">+D165</f>
        <v>43829</v>
      </c>
      <c r="BF165" s="67"/>
      <c r="BG165" s="156">
        <f t="shared" ref="BG165:BG182" si="132">+BE165/BA165</f>
        <v>5.7929275239725346E-2</v>
      </c>
      <c r="BH165" s="67"/>
      <c r="BI165" s="183"/>
      <c r="BJ165" s="67"/>
      <c r="BK165" s="67">
        <f t="shared" ref="BK165:BK182" si="133">SUM(BA159:BA165)</f>
        <v>5250502</v>
      </c>
      <c r="BL165" s="67"/>
      <c r="BM165" s="156">
        <f t="shared" ref="BM165:BM182" si="134">+Q165/BK165</f>
        <v>5.8298044644112125E-2</v>
      </c>
      <c r="BN165" s="66">
        <f t="shared" ref="BN165:BN182" si="135">+BC165/BW165</f>
        <v>483815.22435897437</v>
      </c>
      <c r="BO165" s="67"/>
      <c r="BP165" s="67">
        <f t="shared" ref="BP165:BP182" si="136">+BP164+BE165</f>
        <v>5549278</v>
      </c>
      <c r="BQ165" s="67"/>
      <c r="BR165" s="478">
        <f t="shared" ref="BR165:BR182" si="137">+BP165/BC165</f>
        <v>7.3524546316056899E-2</v>
      </c>
      <c r="BS165" s="67"/>
      <c r="BT165" s="86"/>
      <c r="BU165" s="183"/>
      <c r="BV165" s="1"/>
      <c r="BW165" s="61">
        <f t="shared" si="53"/>
        <v>156</v>
      </c>
    </row>
    <row r="166" spans="2:75" x14ac:dyDescent="0.3">
      <c r="B166" s="390">
        <f t="shared" si="52"/>
        <v>44066</v>
      </c>
      <c r="C166" s="61"/>
      <c r="D166" s="17">
        <v>32718</v>
      </c>
      <c r="E166" s="16"/>
      <c r="F166" s="16"/>
      <c r="G166" s="16"/>
      <c r="H166" s="16">
        <f t="shared" si="116"/>
        <v>5924643</v>
      </c>
      <c r="I166" s="16"/>
      <c r="J166" s="479">
        <f t="shared" si="117"/>
        <v>5.5530238419531815E-3</v>
      </c>
      <c r="K166" s="16"/>
      <c r="L166" s="16"/>
      <c r="M166" s="16"/>
      <c r="N166" s="16">
        <f t="shared" si="118"/>
        <v>301969</v>
      </c>
      <c r="O166" s="16">
        <f t="shared" si="115"/>
        <v>37736.579617834395</v>
      </c>
      <c r="P166" s="41"/>
      <c r="Q166" s="17">
        <f t="shared" si="119"/>
        <v>301969</v>
      </c>
      <c r="R166" s="16"/>
      <c r="S166" s="60">
        <f t="shared" si="120"/>
        <v>-0.17267407135459761</v>
      </c>
      <c r="T166" s="16"/>
      <c r="U166" s="41"/>
      <c r="V166" s="10">
        <f t="shared" si="109"/>
        <v>58</v>
      </c>
      <c r="W166" s="34">
        <v>430</v>
      </c>
      <c r="X166" s="33"/>
      <c r="Y166" s="33"/>
      <c r="Z166" s="33"/>
      <c r="AA166" s="33">
        <f t="shared" si="121"/>
        <v>180619</v>
      </c>
      <c r="AB166" s="33"/>
      <c r="AC166" s="46">
        <f t="shared" si="122"/>
        <v>3.0486056290649075E-2</v>
      </c>
      <c r="AD166" s="33"/>
      <c r="AE166" s="33">
        <f t="shared" si="123"/>
        <v>1150.43949044586</v>
      </c>
      <c r="AF166" s="50"/>
      <c r="AG166" s="33">
        <f t="shared" si="124"/>
        <v>6902</v>
      </c>
      <c r="AH166" s="33">
        <f t="shared" si="112"/>
        <v>462726708.34662843</v>
      </c>
      <c r="AI166" s="231">
        <f t="shared" si="125"/>
        <v>-7.430257510729614E-2</v>
      </c>
      <c r="AJ166" s="50"/>
      <c r="AK166" s="10"/>
      <c r="AL166" s="23">
        <f t="shared" si="126"/>
        <v>18983</v>
      </c>
      <c r="AM166" s="24"/>
      <c r="AN166" s="24"/>
      <c r="AO166" s="24">
        <v>178263</v>
      </c>
      <c r="AP166" s="24">
        <v>3167063</v>
      </c>
      <c r="AQ166" s="24"/>
      <c r="AR166" s="504">
        <f t="shared" si="127"/>
        <v>6.0300246499453633E-3</v>
      </c>
      <c r="AS166" s="25"/>
      <c r="AT166" s="25"/>
      <c r="AU166" s="24"/>
      <c r="AV166" s="341">
        <f t="shared" si="128"/>
        <v>0.53455760963150012</v>
      </c>
      <c r="AW166" s="341"/>
      <c r="AX166" s="24">
        <f t="shared" si="129"/>
        <v>20172.375796178345</v>
      </c>
      <c r="AY166" s="351"/>
      <c r="AZ166" s="391"/>
      <c r="BA166" s="66">
        <f t="shared" si="130"/>
        <v>684203</v>
      </c>
      <c r="BB166" s="67"/>
      <c r="BC166" s="67">
        <v>76159378</v>
      </c>
      <c r="BD166" s="67"/>
      <c r="BE166" s="67">
        <f t="shared" si="131"/>
        <v>32718</v>
      </c>
      <c r="BF166" s="67"/>
      <c r="BG166" s="156">
        <f t="shared" si="132"/>
        <v>4.7819141395170732E-2</v>
      </c>
      <c r="BH166" s="67"/>
      <c r="BI166" s="183"/>
      <c r="BJ166" s="67"/>
      <c r="BK166" s="67">
        <f t="shared" si="133"/>
        <v>5198748</v>
      </c>
      <c r="BL166" s="67"/>
      <c r="BM166" s="156">
        <f t="shared" si="134"/>
        <v>5.8084946606375226E-2</v>
      </c>
      <c r="BN166" s="66">
        <f t="shared" si="135"/>
        <v>485091.57961783442</v>
      </c>
      <c r="BO166" s="67"/>
      <c r="BP166" s="67">
        <f t="shared" si="136"/>
        <v>5581996</v>
      </c>
      <c r="BQ166" s="67"/>
      <c r="BR166" s="478">
        <f t="shared" si="137"/>
        <v>7.3293613296053967E-2</v>
      </c>
      <c r="BS166" s="67"/>
      <c r="BT166" s="86"/>
      <c r="BU166" s="183"/>
      <c r="BV166" s="1"/>
      <c r="BW166" s="61">
        <f t="shared" si="53"/>
        <v>157</v>
      </c>
    </row>
    <row r="167" spans="2:75" x14ac:dyDescent="0.3">
      <c r="B167" s="171">
        <f t="shared" si="52"/>
        <v>44067</v>
      </c>
      <c r="C167" s="61"/>
      <c r="D167" s="17">
        <v>41484</v>
      </c>
      <c r="E167" s="16"/>
      <c r="F167" s="16"/>
      <c r="G167" s="16"/>
      <c r="H167" s="16">
        <f t="shared" si="116"/>
        <v>5966127</v>
      </c>
      <c r="I167" s="16"/>
      <c r="J167" s="479">
        <f t="shared" si="117"/>
        <v>7.0019408764376186E-3</v>
      </c>
      <c r="K167" s="16"/>
      <c r="L167" s="16"/>
      <c r="M167" s="16"/>
      <c r="N167" s="16">
        <f t="shared" si="118"/>
        <v>302841</v>
      </c>
      <c r="O167" s="16">
        <f t="shared" si="115"/>
        <v>37760.297468354431</v>
      </c>
      <c r="P167" s="41"/>
      <c r="Q167" s="17">
        <f t="shared" si="119"/>
        <v>302841</v>
      </c>
      <c r="R167" s="16"/>
      <c r="S167" s="60">
        <f t="shared" si="120"/>
        <v>-0.14885920979410128</v>
      </c>
      <c r="T167" s="16"/>
      <c r="U167" s="41"/>
      <c r="V167" s="10">
        <f t="shared" si="109"/>
        <v>59</v>
      </c>
      <c r="W167" s="34">
        <v>510</v>
      </c>
      <c r="X167" s="33"/>
      <c r="Y167" s="33"/>
      <c r="Z167" s="33"/>
      <c r="AA167" s="33">
        <f t="shared" si="121"/>
        <v>181129</v>
      </c>
      <c r="AB167" s="33"/>
      <c r="AC167" s="46">
        <f t="shared" si="122"/>
        <v>3.0359561571518676E-2</v>
      </c>
      <c r="AD167" s="33"/>
      <c r="AE167" s="33">
        <f t="shared" si="123"/>
        <v>1146.3860759493671</v>
      </c>
      <c r="AF167" s="50"/>
      <c r="AG167" s="33">
        <f t="shared" si="124"/>
        <v>6823</v>
      </c>
      <c r="AH167" s="33">
        <f t="shared" si="112"/>
        <v>462659295.34662843</v>
      </c>
      <c r="AI167" s="231">
        <f t="shared" si="125"/>
        <v>-8.7346174424826103E-2</v>
      </c>
      <c r="AJ167" s="50"/>
      <c r="AK167" s="10"/>
      <c r="AL167" s="23">
        <f t="shared" si="126"/>
        <v>50918</v>
      </c>
      <c r="AM167" s="24"/>
      <c r="AN167" s="24"/>
      <c r="AO167" s="24">
        <v>178263</v>
      </c>
      <c r="AP167" s="24">
        <v>3217981</v>
      </c>
      <c r="AQ167" s="24"/>
      <c r="AR167" s="504">
        <f t="shared" si="127"/>
        <v>1.607735621299608E-2</v>
      </c>
      <c r="AS167" s="25"/>
      <c r="AT167" s="25"/>
      <c r="AU167" s="24"/>
      <c r="AV167" s="341">
        <f t="shared" si="128"/>
        <v>0.53937520941139871</v>
      </c>
      <c r="AW167" s="341"/>
      <c r="AX167" s="24">
        <f t="shared" si="129"/>
        <v>20366.968354430381</v>
      </c>
      <c r="AY167" s="351"/>
      <c r="AZ167" s="10"/>
      <c r="BA167" s="66">
        <f t="shared" si="130"/>
        <v>724101</v>
      </c>
      <c r="BB167" s="67"/>
      <c r="BC167" s="67">
        <v>76883479</v>
      </c>
      <c r="BD167" s="67"/>
      <c r="BE167" s="67">
        <f t="shared" si="131"/>
        <v>41484</v>
      </c>
      <c r="BF167" s="67"/>
      <c r="BG167" s="156">
        <f t="shared" si="132"/>
        <v>5.7290350379297916E-2</v>
      </c>
      <c r="BH167" s="67"/>
      <c r="BI167" s="183"/>
      <c r="BJ167" s="67"/>
      <c r="BK167" s="67">
        <f t="shared" si="133"/>
        <v>5195698</v>
      </c>
      <c r="BL167" s="67"/>
      <c r="BM167" s="156">
        <f t="shared" si="134"/>
        <v>5.8286875026223615E-2</v>
      </c>
      <c r="BN167" s="66">
        <f t="shared" si="135"/>
        <v>486604.2974683544</v>
      </c>
      <c r="BO167" s="67"/>
      <c r="BP167" s="67">
        <f t="shared" si="136"/>
        <v>5623480</v>
      </c>
      <c r="BQ167" s="67"/>
      <c r="BR167" s="478">
        <f t="shared" si="137"/>
        <v>7.3142891985936279E-2</v>
      </c>
      <c r="BS167" s="67"/>
      <c r="BT167" s="86"/>
      <c r="BU167" s="183"/>
      <c r="BV167" s="1"/>
      <c r="BW167" s="61">
        <f t="shared" si="53"/>
        <v>158</v>
      </c>
    </row>
    <row r="168" spans="2:75" x14ac:dyDescent="0.3">
      <c r="B168" s="171">
        <f t="shared" si="52"/>
        <v>44068</v>
      </c>
      <c r="C168" s="61"/>
      <c r="D168" s="17">
        <v>40098</v>
      </c>
      <c r="E168" s="16"/>
      <c r="F168" s="16"/>
      <c r="G168" s="16"/>
      <c r="H168" s="16">
        <f t="shared" si="116"/>
        <v>6006225</v>
      </c>
      <c r="I168" s="16"/>
      <c r="J168" s="479">
        <f t="shared" si="117"/>
        <v>6.7209430841817484E-3</v>
      </c>
      <c r="K168" s="16"/>
      <c r="L168" s="16"/>
      <c r="M168" s="16"/>
      <c r="N168" s="16">
        <f t="shared" si="118"/>
        <v>298940</v>
      </c>
      <c r="O168" s="16">
        <f t="shared" si="115"/>
        <v>37775</v>
      </c>
      <c r="P168" s="41"/>
      <c r="Q168" s="17">
        <f t="shared" si="119"/>
        <v>298940</v>
      </c>
      <c r="R168" s="16"/>
      <c r="S168" s="60">
        <f t="shared" si="120"/>
        <v>-0.13422496133639938</v>
      </c>
      <c r="T168" s="16"/>
      <c r="U168" s="41"/>
      <c r="V168" s="10">
        <f t="shared" si="109"/>
        <v>60</v>
      </c>
      <c r="W168" s="34">
        <v>1290</v>
      </c>
      <c r="X168" s="33"/>
      <c r="Y168" s="33"/>
      <c r="Z168" s="33"/>
      <c r="AA168" s="33">
        <f t="shared" si="121"/>
        <v>182419</v>
      </c>
      <c r="AB168" s="33"/>
      <c r="AC168" s="46">
        <f t="shared" si="122"/>
        <v>3.0371656073490419E-2</v>
      </c>
      <c r="AD168" s="33"/>
      <c r="AE168" s="33">
        <f t="shared" si="123"/>
        <v>1147.2893081761006</v>
      </c>
      <c r="AF168" s="50"/>
      <c r="AG168" s="33">
        <f t="shared" si="124"/>
        <v>6755</v>
      </c>
      <c r="AH168" s="33">
        <f t="shared" si="112"/>
        <v>462603165.34662843</v>
      </c>
      <c r="AI168" s="231">
        <f t="shared" si="125"/>
        <v>-7.8444747612551158E-2</v>
      </c>
      <c r="AJ168" s="50"/>
      <c r="AK168" s="10"/>
      <c r="AL168" s="23">
        <f t="shared" si="126"/>
        <v>36301</v>
      </c>
      <c r="AM168" s="24"/>
      <c r="AN168" s="24"/>
      <c r="AO168" s="24">
        <v>178263</v>
      </c>
      <c r="AP168" s="24">
        <v>3254282</v>
      </c>
      <c r="AQ168" s="24"/>
      <c r="AR168" s="504">
        <f t="shared" si="127"/>
        <v>1.1280675678321283E-2</v>
      </c>
      <c r="AS168" s="25"/>
      <c r="AT168" s="25"/>
      <c r="AU168" s="24"/>
      <c r="AV168" s="341">
        <f t="shared" si="128"/>
        <v>0.54181819695399358</v>
      </c>
      <c r="AW168" s="341"/>
      <c r="AX168" s="24">
        <f t="shared" si="129"/>
        <v>20467.182389937108</v>
      </c>
      <c r="AY168" s="351"/>
      <c r="AZ168" s="10"/>
      <c r="BA168" s="66">
        <f t="shared" si="130"/>
        <v>1047928</v>
      </c>
      <c r="BB168" s="67"/>
      <c r="BC168" s="67">
        <v>77931407</v>
      </c>
      <c r="BD168" s="67"/>
      <c r="BE168" s="67">
        <f t="shared" si="131"/>
        <v>40098</v>
      </c>
      <c r="BF168" s="67"/>
      <c r="BG168" s="156">
        <f t="shared" si="132"/>
        <v>3.8264079211548882E-2</v>
      </c>
      <c r="BH168" s="67"/>
      <c r="BI168" s="183"/>
      <c r="BJ168" s="67"/>
      <c r="BK168" s="67">
        <f t="shared" si="133"/>
        <v>5563756</v>
      </c>
      <c r="BL168" s="67"/>
      <c r="BM168" s="156">
        <f t="shared" si="134"/>
        <v>5.3729890383402867E-2</v>
      </c>
      <c r="BN168" s="66">
        <f t="shared" si="135"/>
        <v>490134.63522012578</v>
      </c>
      <c r="BO168" s="67"/>
      <c r="BP168" s="67">
        <f t="shared" si="136"/>
        <v>5663578</v>
      </c>
      <c r="BQ168" s="67"/>
      <c r="BR168" s="478">
        <f t="shared" si="137"/>
        <v>7.2673883585856469E-2</v>
      </c>
      <c r="BS168" s="67"/>
      <c r="BT168" s="86"/>
      <c r="BU168" s="183"/>
      <c r="BV168" s="1"/>
      <c r="BW168" s="61">
        <f t="shared" si="53"/>
        <v>159</v>
      </c>
    </row>
    <row r="169" spans="2:75" x14ac:dyDescent="0.3">
      <c r="B169" s="171">
        <f t="shared" si="52"/>
        <v>44069</v>
      </c>
      <c r="C169" s="61"/>
      <c r="D169" s="17">
        <v>44637</v>
      </c>
      <c r="E169" s="16"/>
      <c r="F169" s="16"/>
      <c r="G169" s="16"/>
      <c r="H169" s="16">
        <f t="shared" si="116"/>
        <v>6050862</v>
      </c>
      <c r="I169" s="16"/>
      <c r="J169" s="479">
        <f t="shared" si="117"/>
        <v>7.4317895183746863E-3</v>
      </c>
      <c r="K169" s="16"/>
      <c r="L169" s="16"/>
      <c r="M169" s="16"/>
      <c r="N169" s="16">
        <f t="shared" si="118"/>
        <v>298604</v>
      </c>
      <c r="O169" s="16">
        <f t="shared" si="115"/>
        <v>37817.887499999997</v>
      </c>
      <c r="P169" s="41"/>
      <c r="Q169" s="17">
        <f t="shared" si="119"/>
        <v>298604</v>
      </c>
      <c r="R169" s="16"/>
      <c r="S169" s="60">
        <f t="shared" si="120"/>
        <v>-0.11107009532201695</v>
      </c>
      <c r="T169" s="16"/>
      <c r="U169" s="41"/>
      <c r="V169" s="10">
        <f t="shared" si="109"/>
        <v>61</v>
      </c>
      <c r="W169" s="34">
        <v>1280</v>
      </c>
      <c r="X169" s="33"/>
      <c r="Y169" s="33"/>
      <c r="Z169" s="33"/>
      <c r="AA169" s="33">
        <f t="shared" si="121"/>
        <v>183699</v>
      </c>
      <c r="AB169" s="33"/>
      <c r="AC169" s="46">
        <f t="shared" si="122"/>
        <v>3.0359145523398155E-2</v>
      </c>
      <c r="AD169" s="33"/>
      <c r="AE169" s="33">
        <f t="shared" si="123"/>
        <v>1148.1187500000001</v>
      </c>
      <c r="AF169" s="50"/>
      <c r="AG169" s="33">
        <f t="shared" si="124"/>
        <v>6751</v>
      </c>
      <c r="AH169" s="33">
        <f t="shared" si="112"/>
        <v>462541594.34662843</v>
      </c>
      <c r="AI169" s="231">
        <f t="shared" si="125"/>
        <v>-6.5993359158826786E-2</v>
      </c>
      <c r="AJ169" s="50"/>
      <c r="AK169" s="10"/>
      <c r="AL169" s="23">
        <f t="shared" si="126"/>
        <v>59579</v>
      </c>
      <c r="AM169" s="24"/>
      <c r="AN169" s="24"/>
      <c r="AO169" s="24">
        <v>178263</v>
      </c>
      <c r="AP169" s="24">
        <v>3313861</v>
      </c>
      <c r="AQ169" s="24"/>
      <c r="AR169" s="504">
        <f t="shared" si="127"/>
        <v>1.8307878665708748E-2</v>
      </c>
      <c r="AS169" s="25"/>
      <c r="AT169" s="25"/>
      <c r="AU169" s="24"/>
      <c r="AV169" s="341">
        <f t="shared" si="128"/>
        <v>0.54766758851879282</v>
      </c>
      <c r="AW169" s="341"/>
      <c r="AX169" s="24">
        <f t="shared" si="129"/>
        <v>20711.631249999999</v>
      </c>
      <c r="AY169" s="351"/>
      <c r="AZ169" s="10"/>
      <c r="BA169" s="66">
        <f t="shared" si="130"/>
        <v>701159</v>
      </c>
      <c r="BB169" s="67"/>
      <c r="BC169" s="67">
        <v>78632566</v>
      </c>
      <c r="BD169" s="67"/>
      <c r="BE169" s="67">
        <f t="shared" si="131"/>
        <v>44637</v>
      </c>
      <c r="BF169" s="67"/>
      <c r="BG169" s="156">
        <f t="shared" si="132"/>
        <v>6.3661737209391875E-2</v>
      </c>
      <c r="BH169" s="67"/>
      <c r="BI169" s="183"/>
      <c r="BJ169" s="67"/>
      <c r="BK169" s="67">
        <f t="shared" si="133"/>
        <v>5516857</v>
      </c>
      <c r="BL169" s="67"/>
      <c r="BM169" s="156">
        <f t="shared" si="134"/>
        <v>5.4125745873057796E-2</v>
      </c>
      <c r="BN169" s="66">
        <f t="shared" si="135"/>
        <v>491453.53749999998</v>
      </c>
      <c r="BO169" s="67"/>
      <c r="BP169" s="67">
        <f t="shared" si="136"/>
        <v>5708215</v>
      </c>
      <c r="BQ169" s="67"/>
      <c r="BR169" s="478">
        <f t="shared" si="137"/>
        <v>7.2593523146631131E-2</v>
      </c>
      <c r="BS169" s="67"/>
      <c r="BT169" s="86"/>
      <c r="BU169" s="183"/>
      <c r="BV169" s="1"/>
      <c r="BW169" s="61">
        <f t="shared" si="53"/>
        <v>160</v>
      </c>
    </row>
    <row r="170" spans="2:75" x14ac:dyDescent="0.3">
      <c r="B170" s="171">
        <f t="shared" si="52"/>
        <v>44070</v>
      </c>
      <c r="C170" s="61"/>
      <c r="D170" s="17">
        <v>46006</v>
      </c>
      <c r="E170" s="16"/>
      <c r="F170" s="16"/>
      <c r="G170" s="16"/>
      <c r="H170" s="16">
        <f t="shared" si="116"/>
        <v>6096868</v>
      </c>
      <c r="I170" s="16"/>
      <c r="J170" s="479">
        <f t="shared" si="117"/>
        <v>7.6032142197260486E-3</v>
      </c>
      <c r="K170" s="16"/>
      <c r="L170" s="16"/>
      <c r="M170" s="16"/>
      <c r="N170" s="16">
        <f t="shared" si="118"/>
        <v>299253</v>
      </c>
      <c r="O170" s="16">
        <f t="shared" ref="O170:O182" si="138">+H170/BW170</f>
        <v>37868.745341614907</v>
      </c>
      <c r="P170" s="41"/>
      <c r="Q170" s="17">
        <f t="shared" si="119"/>
        <v>299253</v>
      </c>
      <c r="R170" s="16"/>
      <c r="S170" s="60">
        <f t="shared" si="120"/>
        <v>-8.1784067233904148E-2</v>
      </c>
      <c r="T170" s="16"/>
      <c r="U170" s="41"/>
      <c r="V170" s="10">
        <f t="shared" si="109"/>
        <v>62</v>
      </c>
      <c r="W170" s="34">
        <v>1143</v>
      </c>
      <c r="X170" s="33"/>
      <c r="Y170" s="33"/>
      <c r="Z170" s="33"/>
      <c r="AA170" s="33">
        <f t="shared" si="121"/>
        <v>184842</v>
      </c>
      <c r="AB170" s="33"/>
      <c r="AC170" s="46">
        <f t="shared" si="122"/>
        <v>3.0317533527050283E-2</v>
      </c>
      <c r="AD170" s="33"/>
      <c r="AE170" s="33">
        <f t="shared" si="123"/>
        <v>1148.0869565217392</v>
      </c>
      <c r="AF170" s="50"/>
      <c r="AG170" s="33">
        <f t="shared" si="124"/>
        <v>6797</v>
      </c>
      <c r="AH170" s="33">
        <f t="shared" si="112"/>
        <v>462476865.34662843</v>
      </c>
      <c r="AI170" s="231">
        <f t="shared" si="125"/>
        <v>-3.4654168441982672E-2</v>
      </c>
      <c r="AJ170" s="50"/>
      <c r="AK170" s="10"/>
      <c r="AL170" s="23">
        <f t="shared" si="126"/>
        <v>34079</v>
      </c>
      <c r="AM170" s="24"/>
      <c r="AN170" s="24"/>
      <c r="AO170" s="24">
        <v>178263</v>
      </c>
      <c r="AP170" s="24">
        <v>3347940</v>
      </c>
      <c r="AQ170" s="24"/>
      <c r="AR170" s="504">
        <f t="shared" si="127"/>
        <v>1.0283774726821675E-2</v>
      </c>
      <c r="AS170" s="25"/>
      <c r="AT170" s="25"/>
      <c r="AU170" s="24"/>
      <c r="AV170" s="341">
        <f t="shared" si="128"/>
        <v>0.54912456690878009</v>
      </c>
      <c r="AW170" s="341"/>
      <c r="AX170" s="24">
        <f t="shared" si="129"/>
        <v>20794.658385093167</v>
      </c>
      <c r="AY170" s="351"/>
      <c r="AZ170" s="10"/>
      <c r="BA170" s="66">
        <f t="shared" si="130"/>
        <v>839920</v>
      </c>
      <c r="BB170" s="67"/>
      <c r="BC170" s="67">
        <v>79472486</v>
      </c>
      <c r="BD170" s="67"/>
      <c r="BE170" s="67">
        <f t="shared" si="131"/>
        <v>46006</v>
      </c>
      <c r="BF170" s="67"/>
      <c r="BG170" s="156">
        <f t="shared" si="132"/>
        <v>5.4774264215639586E-2</v>
      </c>
      <c r="BH170" s="67"/>
      <c r="BI170" s="183"/>
      <c r="BJ170" s="67"/>
      <c r="BK170" s="67">
        <f t="shared" si="133"/>
        <v>5604154</v>
      </c>
      <c r="BL170" s="67"/>
      <c r="BM170" s="156">
        <f t="shared" si="134"/>
        <v>5.3398425525065872E-2</v>
      </c>
      <c r="BN170" s="66">
        <f t="shared" si="135"/>
        <v>493617.92546583852</v>
      </c>
      <c r="BO170" s="67"/>
      <c r="BP170" s="67">
        <f t="shared" si="136"/>
        <v>5754221</v>
      </c>
      <c r="BQ170" s="67"/>
      <c r="BR170" s="478">
        <f t="shared" si="137"/>
        <v>7.2405196938220853E-2</v>
      </c>
      <c r="BS170" s="67"/>
      <c r="BT170" s="86"/>
      <c r="BU170" s="183"/>
      <c r="BV170" s="1"/>
      <c r="BW170" s="61">
        <f t="shared" si="53"/>
        <v>161</v>
      </c>
    </row>
    <row r="171" spans="2:75" x14ac:dyDescent="0.3">
      <c r="B171" s="171">
        <f t="shared" si="52"/>
        <v>44071</v>
      </c>
      <c r="C171" s="61"/>
      <c r="D171" s="17">
        <v>49601</v>
      </c>
      <c r="E171" s="16"/>
      <c r="F171" s="16"/>
      <c r="G171" s="16"/>
      <c r="H171" s="16">
        <f t="shared" si="116"/>
        <v>6146469</v>
      </c>
      <c r="I171" s="16"/>
      <c r="J171" s="479">
        <f t="shared" si="117"/>
        <v>8.1354885820063682E-3</v>
      </c>
      <c r="K171" s="16"/>
      <c r="L171" s="16"/>
      <c r="M171" s="16"/>
      <c r="N171" s="16">
        <f t="shared" si="118"/>
        <v>298373</v>
      </c>
      <c r="O171" s="16">
        <f t="shared" si="138"/>
        <v>37941.166666666664</v>
      </c>
      <c r="P171" s="41"/>
      <c r="Q171" s="17">
        <f t="shared" si="119"/>
        <v>298373</v>
      </c>
      <c r="R171" s="16"/>
      <c r="S171" s="60">
        <f t="shared" si="120"/>
        <v>-5.5147757356200998E-2</v>
      </c>
      <c r="T171" s="16"/>
      <c r="U171" s="41"/>
      <c r="V171" s="10">
        <f t="shared" si="109"/>
        <v>63</v>
      </c>
      <c r="W171" s="34">
        <v>1105</v>
      </c>
      <c r="X171" s="33"/>
      <c r="Y171" s="33"/>
      <c r="Z171" s="33"/>
      <c r="AA171" s="33">
        <f t="shared" si="121"/>
        <v>185947</v>
      </c>
      <c r="AB171" s="33"/>
      <c r="AC171" s="46">
        <f t="shared" si="122"/>
        <v>3.0252654003461173E-2</v>
      </c>
      <c r="AD171" s="33"/>
      <c r="AE171" s="33">
        <f t="shared" si="123"/>
        <v>1147.820987654321</v>
      </c>
      <c r="AF171" s="50"/>
      <c r="AG171" s="33">
        <f t="shared" si="124"/>
        <v>6732</v>
      </c>
      <c r="AH171" s="33">
        <f t="shared" si="112"/>
        <v>462409944.34662843</v>
      </c>
      <c r="AI171" s="231">
        <f t="shared" si="125"/>
        <v>-5.0627556056973631E-2</v>
      </c>
      <c r="AJ171" s="50"/>
      <c r="AK171" s="10"/>
      <c r="AL171" s="23">
        <f t="shared" si="126"/>
        <v>27898</v>
      </c>
      <c r="AM171" s="24"/>
      <c r="AN171" s="24"/>
      <c r="AO171" s="24">
        <v>178263</v>
      </c>
      <c r="AP171" s="24">
        <v>3375838</v>
      </c>
      <c r="AQ171" s="24"/>
      <c r="AR171" s="504">
        <f t="shared" si="127"/>
        <v>8.3328852966301666E-3</v>
      </c>
      <c r="AS171" s="25"/>
      <c r="AT171" s="25"/>
      <c r="AU171" s="24"/>
      <c r="AV171" s="341">
        <f t="shared" si="128"/>
        <v>0.54923208756116726</v>
      </c>
      <c r="AW171" s="341"/>
      <c r="AX171" s="24">
        <f t="shared" si="129"/>
        <v>20838.506172839505</v>
      </c>
      <c r="AY171" s="351"/>
      <c r="AZ171" s="10"/>
      <c r="BA171" s="66">
        <f t="shared" si="130"/>
        <v>827184</v>
      </c>
      <c r="BB171" s="67"/>
      <c r="BC171" s="67">
        <v>80299670</v>
      </c>
      <c r="BD171" s="67"/>
      <c r="BE171" s="67">
        <f t="shared" si="131"/>
        <v>49601</v>
      </c>
      <c r="BF171" s="67"/>
      <c r="BG171" s="156">
        <f t="shared" si="132"/>
        <v>5.9963684017098978E-2</v>
      </c>
      <c r="BH171" s="67"/>
      <c r="BI171" s="183"/>
      <c r="BJ171" s="67"/>
      <c r="BK171" s="67">
        <f t="shared" si="133"/>
        <v>5581090</v>
      </c>
      <c r="BL171" s="67"/>
      <c r="BM171" s="156">
        <f t="shared" si="134"/>
        <v>5.346142061855301E-2</v>
      </c>
      <c r="BN171" s="66">
        <f t="shared" si="135"/>
        <v>495676.97530864197</v>
      </c>
      <c r="BO171" s="67"/>
      <c r="BP171" s="67">
        <f t="shared" si="136"/>
        <v>5803822</v>
      </c>
      <c r="BQ171" s="67"/>
      <c r="BR171" s="478">
        <f t="shared" si="137"/>
        <v>7.2277034264275314E-2</v>
      </c>
      <c r="BS171" s="67"/>
      <c r="BT171" s="86"/>
      <c r="BU171" s="183"/>
      <c r="BV171" s="1"/>
      <c r="BW171" s="61">
        <f t="shared" si="53"/>
        <v>162</v>
      </c>
    </row>
    <row r="172" spans="2:75" x14ac:dyDescent="0.3">
      <c r="B172" s="171">
        <f t="shared" si="52"/>
        <v>44072</v>
      </c>
      <c r="C172" s="61"/>
      <c r="D172" s="17">
        <v>42660</v>
      </c>
      <c r="E172" s="16"/>
      <c r="F172" s="16"/>
      <c r="G172" s="16"/>
      <c r="H172" s="16">
        <f t="shared" si="116"/>
        <v>6189129</v>
      </c>
      <c r="I172" s="16"/>
      <c r="J172" s="479">
        <f t="shared" si="117"/>
        <v>6.9405702688812064E-3</v>
      </c>
      <c r="K172" s="16"/>
      <c r="L172" s="16"/>
      <c r="M172" s="16"/>
      <c r="N172" s="16">
        <f t="shared" si="118"/>
        <v>297204</v>
      </c>
      <c r="O172" s="16">
        <f t="shared" si="138"/>
        <v>37970.116564417178</v>
      </c>
      <c r="P172" s="41"/>
      <c r="Q172" s="17">
        <f t="shared" si="119"/>
        <v>297204</v>
      </c>
      <c r="R172" s="16"/>
      <c r="S172" s="60">
        <f t="shared" si="120"/>
        <v>-2.9043365763458284E-2</v>
      </c>
      <c r="T172" s="16"/>
      <c r="U172" s="41"/>
      <c r="V172" s="10">
        <f t="shared" si="109"/>
        <v>64</v>
      </c>
      <c r="W172" s="34">
        <v>954</v>
      </c>
      <c r="X172" s="33"/>
      <c r="Y172" s="33"/>
      <c r="Z172" s="33"/>
      <c r="AA172" s="33">
        <f t="shared" si="121"/>
        <v>186901</v>
      </c>
      <c r="AB172" s="33"/>
      <c r="AC172" s="46">
        <f t="shared" si="122"/>
        <v>3.0198271840835761E-2</v>
      </c>
      <c r="AD172" s="33"/>
      <c r="AE172" s="33">
        <f t="shared" si="123"/>
        <v>1146.6319018404909</v>
      </c>
      <c r="AF172" s="50"/>
      <c r="AG172" s="33">
        <f t="shared" si="124"/>
        <v>6712</v>
      </c>
      <c r="AH172" s="33">
        <f t="shared" si="112"/>
        <v>462341375.34662843</v>
      </c>
      <c r="AI172" s="231">
        <f t="shared" si="125"/>
        <v>-4.0320274521018017E-2</v>
      </c>
      <c r="AJ172" s="50"/>
      <c r="AK172" s="10"/>
      <c r="AL172" s="23">
        <f t="shared" si="126"/>
        <v>32961</v>
      </c>
      <c r="AM172" s="24"/>
      <c r="AN172" s="24"/>
      <c r="AO172" s="24">
        <v>178263</v>
      </c>
      <c r="AP172" s="24">
        <v>3408799</v>
      </c>
      <c r="AQ172" s="24"/>
      <c r="AR172" s="504">
        <f t="shared" si="127"/>
        <v>9.7637979073640375E-3</v>
      </c>
      <c r="AS172" s="25"/>
      <c r="AT172" s="25"/>
      <c r="AU172" s="24"/>
      <c r="AV172" s="341">
        <f t="shared" si="128"/>
        <v>0.55077200685266048</v>
      </c>
      <c r="AW172" s="341"/>
      <c r="AX172" s="24">
        <f t="shared" si="129"/>
        <v>20912.877300613498</v>
      </c>
      <c r="AY172" s="351"/>
      <c r="AZ172" s="10"/>
      <c r="BA172" s="66">
        <f t="shared" si="130"/>
        <v>802727</v>
      </c>
      <c r="BB172" s="67"/>
      <c r="BC172" s="67">
        <v>81102397</v>
      </c>
      <c r="BD172" s="67"/>
      <c r="BE172" s="67">
        <f t="shared" si="131"/>
        <v>42660</v>
      </c>
      <c r="BF172" s="67"/>
      <c r="BG172" s="156">
        <f t="shared" si="132"/>
        <v>5.3143845915236437E-2</v>
      </c>
      <c r="BH172" s="67"/>
      <c r="BI172" s="183"/>
      <c r="BJ172" s="67"/>
      <c r="BK172" s="67">
        <f t="shared" si="133"/>
        <v>5627222</v>
      </c>
      <c r="BL172" s="67"/>
      <c r="BM172" s="156">
        <f t="shared" si="134"/>
        <v>5.2815403408644622E-2</v>
      </c>
      <c r="BN172" s="66">
        <f t="shared" si="135"/>
        <v>497560.71779141104</v>
      </c>
      <c r="BO172" s="67"/>
      <c r="BP172" s="67">
        <f t="shared" si="136"/>
        <v>5846482</v>
      </c>
      <c r="BQ172" s="67"/>
      <c r="BR172" s="478">
        <f t="shared" si="137"/>
        <v>7.208765975190598E-2</v>
      </c>
      <c r="BS172" s="67"/>
      <c r="BT172" s="86"/>
      <c r="BU172" s="183"/>
      <c r="BV172" s="1"/>
      <c r="BW172" s="61">
        <f t="shared" si="53"/>
        <v>163</v>
      </c>
    </row>
    <row r="173" spans="2:75" x14ac:dyDescent="0.3">
      <c r="B173" s="390">
        <f t="shared" si="52"/>
        <v>44073</v>
      </c>
      <c r="C173" s="61"/>
      <c r="D173" s="17">
        <v>33981</v>
      </c>
      <c r="E173" s="16"/>
      <c r="F173" s="16"/>
      <c r="G173" s="16"/>
      <c r="H173" s="16">
        <f t="shared" si="116"/>
        <v>6223110</v>
      </c>
      <c r="I173" s="16"/>
      <c r="J173" s="479">
        <f t="shared" si="117"/>
        <v>5.4904333065282692E-3</v>
      </c>
      <c r="K173" s="16"/>
      <c r="L173" s="16"/>
      <c r="M173" s="16"/>
      <c r="N173" s="16">
        <f t="shared" si="118"/>
        <v>298467</v>
      </c>
      <c r="O173" s="16">
        <f t="shared" si="138"/>
        <v>37945.792682926833</v>
      </c>
      <c r="P173" s="41"/>
      <c r="Q173" s="17">
        <f t="shared" si="119"/>
        <v>298467</v>
      </c>
      <c r="R173" s="16"/>
      <c r="S173" s="60">
        <f t="shared" si="120"/>
        <v>-1.1597216932863969E-2</v>
      </c>
      <c r="T173" s="16"/>
      <c r="U173" s="41"/>
      <c r="V173" s="10">
        <f t="shared" si="109"/>
        <v>65</v>
      </c>
      <c r="W173" s="34">
        <v>369</v>
      </c>
      <c r="X173" s="33"/>
      <c r="Y173" s="33"/>
      <c r="Z173" s="33"/>
      <c r="AA173" s="33">
        <f t="shared" si="121"/>
        <v>187270</v>
      </c>
      <c r="AB173" s="33"/>
      <c r="AC173" s="46">
        <f t="shared" si="122"/>
        <v>3.009267070644742E-2</v>
      </c>
      <c r="AD173" s="33"/>
      <c r="AE173" s="33">
        <f t="shared" si="123"/>
        <v>1141.8902439024391</v>
      </c>
      <c r="AF173" s="50"/>
      <c r="AG173" s="33">
        <f t="shared" si="124"/>
        <v>6651</v>
      </c>
      <c r="AH173" s="33">
        <f t="shared" si="112"/>
        <v>462270292.34662843</v>
      </c>
      <c r="AI173" s="231">
        <f t="shared" si="125"/>
        <v>-3.6366270646189511E-2</v>
      </c>
      <c r="AJ173" s="50"/>
      <c r="AK173" s="10"/>
      <c r="AL173" s="23">
        <f t="shared" si="126"/>
        <v>16924</v>
      </c>
      <c r="AM173" s="24"/>
      <c r="AN173" s="24"/>
      <c r="AO173" s="24">
        <v>178263</v>
      </c>
      <c r="AP173" s="24">
        <v>3425723</v>
      </c>
      <c r="AQ173" s="24"/>
      <c r="AR173" s="504">
        <f t="shared" si="127"/>
        <v>4.9647984524754905E-3</v>
      </c>
      <c r="AS173" s="25"/>
      <c r="AT173" s="25"/>
      <c r="AU173" s="24"/>
      <c r="AV173" s="341">
        <f t="shared" si="128"/>
        <v>0.55048408271748372</v>
      </c>
      <c r="AW173" s="341"/>
      <c r="AX173" s="24">
        <f t="shared" si="129"/>
        <v>20888.554878048781</v>
      </c>
      <c r="AY173" s="351"/>
      <c r="AZ173" s="391"/>
      <c r="BA173" s="66">
        <f t="shared" si="130"/>
        <v>727682</v>
      </c>
      <c r="BB173" s="67"/>
      <c r="BC173" s="67">
        <v>81830079</v>
      </c>
      <c r="BD173" s="67"/>
      <c r="BE173" s="67">
        <f t="shared" si="131"/>
        <v>33981</v>
      </c>
      <c r="BF173" s="67"/>
      <c r="BG173" s="156">
        <f t="shared" si="132"/>
        <v>4.6697595927891578E-2</v>
      </c>
      <c r="BH173" s="67"/>
      <c r="BI173" s="183"/>
      <c r="BJ173" s="67"/>
      <c r="BK173" s="67">
        <f t="shared" si="133"/>
        <v>5670701</v>
      </c>
      <c r="BL173" s="67"/>
      <c r="BM173" s="156">
        <f t="shared" si="134"/>
        <v>5.2633175334054823E-2</v>
      </c>
      <c r="BN173" s="66">
        <f t="shared" si="135"/>
        <v>498963.89634146343</v>
      </c>
      <c r="BO173" s="67"/>
      <c r="BP173" s="67">
        <f t="shared" si="136"/>
        <v>5880463</v>
      </c>
      <c r="BQ173" s="67"/>
      <c r="BR173" s="478">
        <f t="shared" si="137"/>
        <v>7.1861876120148924E-2</v>
      </c>
      <c r="BS173" s="67"/>
      <c r="BT173" s="86"/>
      <c r="BU173" s="183"/>
      <c r="BV173" s="1"/>
      <c r="BW173" s="61">
        <f t="shared" si="53"/>
        <v>164</v>
      </c>
    </row>
    <row r="174" spans="2:75" x14ac:dyDescent="0.3">
      <c r="B174" s="171">
        <f t="shared" si="52"/>
        <v>44074</v>
      </c>
      <c r="C174" s="61"/>
      <c r="D174" s="17">
        <v>38560</v>
      </c>
      <c r="E174" s="16"/>
      <c r="F174" s="16"/>
      <c r="G174" s="16"/>
      <c r="H174" s="16">
        <f t="shared" si="116"/>
        <v>6261670</v>
      </c>
      <c r="I174" s="16"/>
      <c r="J174" s="479">
        <f t="shared" si="117"/>
        <v>6.1962587837913839E-3</v>
      </c>
      <c r="K174" s="16"/>
      <c r="L174" s="16"/>
      <c r="M174" s="16"/>
      <c r="N174" s="469">
        <f>SUM(D144:D174)</f>
        <v>1493931</v>
      </c>
      <c r="O174" s="16">
        <f t="shared" si="138"/>
        <v>37949.515151515152</v>
      </c>
      <c r="P174" s="41"/>
      <c r="Q174" s="17">
        <f t="shared" si="119"/>
        <v>295543</v>
      </c>
      <c r="R174" s="16"/>
      <c r="S174" s="60">
        <f t="shared" si="120"/>
        <v>-2.4098454304403962E-2</v>
      </c>
      <c r="T174" s="16"/>
      <c r="U174" s="41"/>
      <c r="V174" s="10">
        <f t="shared" si="109"/>
        <v>66</v>
      </c>
      <c r="W174" s="34">
        <v>512</v>
      </c>
      <c r="X174" s="33"/>
      <c r="Y174" s="33"/>
      <c r="Z174" s="33"/>
      <c r="AA174" s="33">
        <f t="shared" si="121"/>
        <v>187782</v>
      </c>
      <c r="AB174" s="33"/>
      <c r="AC174" s="46">
        <f t="shared" si="122"/>
        <v>2.9989124307093794E-2</v>
      </c>
      <c r="AD174" s="33"/>
      <c r="AE174" s="33">
        <f t="shared" si="123"/>
        <v>1138.0727272727272</v>
      </c>
      <c r="AF174" s="50"/>
      <c r="AG174" s="33">
        <f t="shared" si="124"/>
        <v>6653</v>
      </c>
      <c r="AH174" s="33">
        <f t="shared" si="112"/>
        <v>462211751.34662843</v>
      </c>
      <c r="AI174" s="231">
        <f t="shared" si="125"/>
        <v>-2.4915726220137768E-2</v>
      </c>
      <c r="AJ174" s="50"/>
      <c r="AK174" s="10"/>
      <c r="AL174" s="23">
        <f t="shared" si="126"/>
        <v>30540</v>
      </c>
      <c r="AM174" s="24"/>
      <c r="AN174" s="24"/>
      <c r="AO174" s="24">
        <v>178263</v>
      </c>
      <c r="AP174" s="24">
        <v>3456263</v>
      </c>
      <c r="AQ174" s="24"/>
      <c r="AR174" s="504">
        <f t="shared" si="127"/>
        <v>8.9149064299711336E-3</v>
      </c>
      <c r="AS174" s="25"/>
      <c r="AT174" s="25"/>
      <c r="AU174" s="24"/>
      <c r="AV174" s="341">
        <f t="shared" si="128"/>
        <v>0.55197143892923128</v>
      </c>
      <c r="AW174" s="341"/>
      <c r="AX174" s="24">
        <f t="shared" si="129"/>
        <v>20947.048484848485</v>
      </c>
      <c r="AY174" s="351"/>
      <c r="AZ174" s="10"/>
      <c r="BA174" s="66">
        <f t="shared" si="130"/>
        <v>794762</v>
      </c>
      <c r="BB174" s="67"/>
      <c r="BC174" s="67">
        <v>82624841</v>
      </c>
      <c r="BD174" s="67"/>
      <c r="BE174" s="67">
        <f t="shared" si="131"/>
        <v>38560</v>
      </c>
      <c r="BF174" s="67"/>
      <c r="BG174" s="156">
        <f t="shared" si="132"/>
        <v>4.8517669440662742E-2</v>
      </c>
      <c r="BH174" s="67"/>
      <c r="BI174" s="183"/>
      <c r="BJ174" s="67"/>
      <c r="BK174" s="67">
        <f t="shared" si="133"/>
        <v>5741362</v>
      </c>
      <c r="BL174" s="67"/>
      <c r="BM174" s="156">
        <f t="shared" si="134"/>
        <v>5.147611315921205E-2</v>
      </c>
      <c r="BN174" s="66">
        <f t="shared" si="135"/>
        <v>500756.61212121212</v>
      </c>
      <c r="BO174" s="67"/>
      <c r="BP174" s="67">
        <f t="shared" si="136"/>
        <v>5919023</v>
      </c>
      <c r="BQ174" s="67"/>
      <c r="BR174" s="478">
        <f t="shared" si="137"/>
        <v>7.1637329988931533E-2</v>
      </c>
      <c r="BS174" s="67"/>
      <c r="BT174" s="86"/>
      <c r="BU174" s="183"/>
      <c r="BV174" s="1"/>
      <c r="BW174" s="61">
        <f t="shared" si="53"/>
        <v>165</v>
      </c>
    </row>
    <row r="175" spans="2:75" x14ac:dyDescent="0.3">
      <c r="B175" s="171">
        <f t="shared" si="52"/>
        <v>44075</v>
      </c>
      <c r="C175" s="61"/>
      <c r="D175" s="17">
        <v>41979</v>
      </c>
      <c r="E175" s="16"/>
      <c r="F175" s="16"/>
      <c r="G175" s="16"/>
      <c r="H175" s="16">
        <f t="shared" si="116"/>
        <v>6303649</v>
      </c>
      <c r="I175" s="16"/>
      <c r="J175" s="479">
        <f t="shared" si="117"/>
        <v>6.7041220632834374E-3</v>
      </c>
      <c r="K175" s="16"/>
      <c r="L175" s="16"/>
      <c r="M175" s="16"/>
      <c r="N175" s="16">
        <f t="shared" si="118"/>
        <v>297424</v>
      </c>
      <c r="O175" s="16">
        <f t="shared" si="138"/>
        <v>37973.789156626503</v>
      </c>
      <c r="P175" s="41"/>
      <c r="Q175" s="17">
        <f t="shared" si="119"/>
        <v>297424</v>
      </c>
      <c r="R175" s="16"/>
      <c r="S175" s="60">
        <f t="shared" si="120"/>
        <v>-5.0712517562052587E-3</v>
      </c>
      <c r="T175" s="16"/>
      <c r="U175" s="41"/>
      <c r="V175" s="10">
        <f t="shared" si="109"/>
        <v>67</v>
      </c>
      <c r="W175" s="34">
        <v>1164</v>
      </c>
      <c r="X175" s="33"/>
      <c r="Y175" s="33"/>
      <c r="Z175" s="33"/>
      <c r="AA175" s="33">
        <f t="shared" si="121"/>
        <v>188946</v>
      </c>
      <c r="AB175" s="33"/>
      <c r="AC175" s="46">
        <f t="shared" si="122"/>
        <v>2.9974067401278212E-2</v>
      </c>
      <c r="AD175" s="33"/>
      <c r="AE175" s="33">
        <f t="shared" si="123"/>
        <v>1138.2289156626507</v>
      </c>
      <c r="AF175" s="50"/>
      <c r="AG175" s="33">
        <f t="shared" si="124"/>
        <v>6527</v>
      </c>
      <c r="AH175" s="33">
        <f t="shared" si="112"/>
        <v>462162713.34662843</v>
      </c>
      <c r="AI175" s="231">
        <f t="shared" si="125"/>
        <v>-3.3752775721687639E-2</v>
      </c>
      <c r="AJ175" s="50"/>
      <c r="AK175" s="10"/>
      <c r="AL175" s="23">
        <f t="shared" si="126"/>
        <v>40650</v>
      </c>
      <c r="AM175" s="24"/>
      <c r="AN175" s="24"/>
      <c r="AO175" s="24">
        <v>178263</v>
      </c>
      <c r="AP175" s="24">
        <v>3496913</v>
      </c>
      <c r="AQ175" s="24"/>
      <c r="AR175" s="504">
        <f t="shared" si="127"/>
        <v>1.1761257751507916E-2</v>
      </c>
      <c r="AS175" s="25"/>
      <c r="AT175" s="25"/>
      <c r="AU175" s="24"/>
      <c r="AV175" s="341">
        <f t="shared" si="128"/>
        <v>0.55474424416714829</v>
      </c>
      <c r="AW175" s="341"/>
      <c r="AX175" s="24">
        <f t="shared" si="129"/>
        <v>21065.74096385542</v>
      </c>
      <c r="AY175" s="351"/>
      <c r="AZ175" s="10"/>
      <c r="BA175" s="66">
        <f t="shared" si="130"/>
        <v>725278</v>
      </c>
      <c r="BB175" s="67"/>
      <c r="BC175" s="67">
        <v>83350119</v>
      </c>
      <c r="BD175" s="67"/>
      <c r="BE175" s="67">
        <f t="shared" si="131"/>
        <v>41979</v>
      </c>
      <c r="BF175" s="67"/>
      <c r="BG175" s="156">
        <f t="shared" si="132"/>
        <v>5.7879875027230937E-2</v>
      </c>
      <c r="BH175" s="67"/>
      <c r="BI175" s="183"/>
      <c r="BJ175" s="67"/>
      <c r="BK175" s="67">
        <f t="shared" si="133"/>
        <v>5418712</v>
      </c>
      <c r="BL175" s="67"/>
      <c r="BM175" s="156">
        <f t="shared" si="134"/>
        <v>5.4888320324091779E-2</v>
      </c>
      <c r="BN175" s="66">
        <f t="shared" si="135"/>
        <v>502109.15060240962</v>
      </c>
      <c r="BO175" s="67"/>
      <c r="BP175" s="67">
        <f t="shared" si="136"/>
        <v>5961002</v>
      </c>
      <c r="BQ175" s="67"/>
      <c r="BR175" s="478">
        <f t="shared" si="137"/>
        <v>7.1517618349171169E-2</v>
      </c>
      <c r="BS175" s="67"/>
      <c r="BT175" s="86"/>
      <c r="BU175" s="183"/>
      <c r="BV175" s="1"/>
      <c r="BW175" s="61">
        <f t="shared" si="53"/>
        <v>166</v>
      </c>
    </row>
    <row r="176" spans="2:75" x14ac:dyDescent="0.3">
      <c r="B176" s="171">
        <f t="shared" si="52"/>
        <v>44076</v>
      </c>
      <c r="C176" s="61"/>
      <c r="D176" s="17">
        <v>41211</v>
      </c>
      <c r="E176" s="16"/>
      <c r="F176" s="16"/>
      <c r="G176" s="16"/>
      <c r="H176" s="16">
        <f t="shared" si="116"/>
        <v>6344860</v>
      </c>
      <c r="I176" s="16"/>
      <c r="J176" s="479">
        <f t="shared" si="117"/>
        <v>6.537641927715201E-3</v>
      </c>
      <c r="K176" s="16"/>
      <c r="L176" s="16"/>
      <c r="M176" s="16"/>
      <c r="N176" s="16">
        <f t="shared" si="118"/>
        <v>293998</v>
      </c>
      <c r="O176" s="16">
        <f t="shared" si="138"/>
        <v>37993.173652694612</v>
      </c>
      <c r="P176" s="41"/>
      <c r="Q176" s="17">
        <f t="shared" si="119"/>
        <v>293998</v>
      </c>
      <c r="R176" s="16"/>
      <c r="S176" s="60">
        <f t="shared" si="120"/>
        <v>-1.5425111518934777E-2</v>
      </c>
      <c r="T176" s="16"/>
      <c r="U176" s="41"/>
      <c r="V176" s="10">
        <f t="shared" si="109"/>
        <v>68</v>
      </c>
      <c r="W176" s="34">
        <v>1090</v>
      </c>
      <c r="X176" s="33"/>
      <c r="Y176" s="33"/>
      <c r="Z176" s="33"/>
      <c r="AA176" s="33">
        <f t="shared" si="121"/>
        <v>190036</v>
      </c>
      <c r="AB176" s="33"/>
      <c r="AC176" s="46">
        <f t="shared" si="122"/>
        <v>2.9951173075528852E-2</v>
      </c>
      <c r="AD176" s="33"/>
      <c r="AE176" s="33">
        <f t="shared" si="123"/>
        <v>1137.9401197604791</v>
      </c>
      <c r="AF176" s="50"/>
      <c r="AG176" s="33">
        <f t="shared" si="124"/>
        <v>6337</v>
      </c>
      <c r="AH176" s="33">
        <f t="shared" si="112"/>
        <v>462114067.34662843</v>
      </c>
      <c r="AI176" s="231">
        <f t="shared" si="125"/>
        <v>-6.1324248259517107E-2</v>
      </c>
      <c r="AJ176" s="50"/>
      <c r="AK176" s="10"/>
      <c r="AL176" s="23">
        <f t="shared" si="126"/>
        <v>50119</v>
      </c>
      <c r="AM176" s="24"/>
      <c r="AN176" s="24"/>
      <c r="AO176" s="24">
        <v>178263</v>
      </c>
      <c r="AP176" s="24">
        <v>3547032</v>
      </c>
      <c r="AQ176" s="24"/>
      <c r="AR176" s="504">
        <f t="shared" si="127"/>
        <v>1.4332355423197546E-2</v>
      </c>
      <c r="AS176" s="25"/>
      <c r="AT176" s="25"/>
      <c r="AU176" s="24"/>
      <c r="AV176" s="341">
        <f t="shared" si="128"/>
        <v>0.55904023099012434</v>
      </c>
      <c r="AW176" s="341"/>
      <c r="AX176" s="24">
        <f t="shared" si="129"/>
        <v>21239.712574850299</v>
      </c>
      <c r="AY176" s="351"/>
      <c r="AZ176" s="10"/>
      <c r="BA176" s="66">
        <f t="shared" si="130"/>
        <v>748292</v>
      </c>
      <c r="BB176" s="67"/>
      <c r="BC176" s="67">
        <v>84098411</v>
      </c>
      <c r="BD176" s="67"/>
      <c r="BE176" s="67">
        <f t="shared" si="131"/>
        <v>41211</v>
      </c>
      <c r="BF176" s="67"/>
      <c r="BG176" s="156">
        <f t="shared" si="132"/>
        <v>5.5073420536368156E-2</v>
      </c>
      <c r="BH176" s="67"/>
      <c r="BI176" s="183"/>
      <c r="BJ176" s="67"/>
      <c r="BK176" s="67">
        <f t="shared" si="133"/>
        <v>5465845</v>
      </c>
      <c r="BL176" s="67"/>
      <c r="BM176" s="156">
        <f t="shared" si="134"/>
        <v>5.3788206581050137E-2</v>
      </c>
      <c r="BN176" s="66">
        <f t="shared" si="135"/>
        <v>503583.29940119758</v>
      </c>
      <c r="BO176" s="67"/>
      <c r="BP176" s="67">
        <f t="shared" si="136"/>
        <v>6002213</v>
      </c>
      <c r="BQ176" s="67"/>
      <c r="BR176" s="478">
        <f t="shared" si="137"/>
        <v>7.137130093932452E-2</v>
      </c>
      <c r="BS176" s="67"/>
      <c r="BT176" s="86"/>
      <c r="BU176" s="183"/>
      <c r="BV176" s="1"/>
      <c r="BW176" s="61">
        <f t="shared" si="53"/>
        <v>167</v>
      </c>
    </row>
    <row r="177" spans="2:75" x14ac:dyDescent="0.3">
      <c r="B177" s="171">
        <f t="shared" si="52"/>
        <v>44077</v>
      </c>
      <c r="C177" s="61"/>
      <c r="D177" s="17">
        <v>45464</v>
      </c>
      <c r="E177" s="16"/>
      <c r="F177" s="16"/>
      <c r="G177" s="16"/>
      <c r="H177" s="16">
        <f t="shared" si="116"/>
        <v>6390324</v>
      </c>
      <c r="I177" s="16"/>
      <c r="J177" s="479">
        <f t="shared" si="117"/>
        <v>7.1654851328476913E-3</v>
      </c>
      <c r="K177" s="16"/>
      <c r="L177" s="16"/>
      <c r="M177" s="16"/>
      <c r="N177" s="16">
        <f t="shared" si="118"/>
        <v>293456</v>
      </c>
      <c r="O177" s="16">
        <f t="shared" si="138"/>
        <v>38037.642857142855</v>
      </c>
      <c r="P177" s="41"/>
      <c r="Q177" s="17">
        <f t="shared" si="119"/>
        <v>293456</v>
      </c>
      <c r="R177" s="16"/>
      <c r="S177" s="60">
        <f t="shared" si="120"/>
        <v>-1.937156853899543E-2</v>
      </c>
      <c r="T177" s="16"/>
      <c r="U177" s="41"/>
      <c r="V177" s="10">
        <f t="shared" si="109"/>
        <v>69</v>
      </c>
      <c r="W177" s="34">
        <v>1114</v>
      </c>
      <c r="X177" s="33"/>
      <c r="Y177" s="33"/>
      <c r="Z177" s="33"/>
      <c r="AA177" s="33">
        <f t="shared" si="121"/>
        <v>191150</v>
      </c>
      <c r="AB177" s="33"/>
      <c r="AC177" s="46">
        <f t="shared" si="122"/>
        <v>2.9912411326874819E-2</v>
      </c>
      <c r="AD177" s="33"/>
      <c r="AE177" s="33">
        <f t="shared" si="123"/>
        <v>1137.797619047619</v>
      </c>
      <c r="AF177" s="50"/>
      <c r="AG177" s="33">
        <f t="shared" si="124"/>
        <v>6308</v>
      </c>
      <c r="AH177" s="33">
        <f t="shared" si="112"/>
        <v>462059503.34662843</v>
      </c>
      <c r="AI177" s="231">
        <f t="shared" si="125"/>
        <v>-7.1943504487273796E-2</v>
      </c>
      <c r="AJ177" s="50"/>
      <c r="AK177" s="10"/>
      <c r="AL177" s="23">
        <f t="shared" si="126"/>
        <v>28064</v>
      </c>
      <c r="AM177" s="24"/>
      <c r="AN177" s="24"/>
      <c r="AO177" s="24">
        <v>178263</v>
      </c>
      <c r="AP177" s="24">
        <v>3575096</v>
      </c>
      <c r="AQ177" s="24"/>
      <c r="AR177" s="504">
        <f t="shared" si="127"/>
        <v>7.9119669628015758E-3</v>
      </c>
      <c r="AS177" s="25"/>
      <c r="AT177" s="25"/>
      <c r="AU177" s="24"/>
      <c r="AV177" s="341">
        <f t="shared" si="128"/>
        <v>0.55945457538616195</v>
      </c>
      <c r="AW177" s="341"/>
      <c r="AX177" s="24">
        <f t="shared" si="129"/>
        <v>21280.333333333332</v>
      </c>
      <c r="AY177" s="351"/>
      <c r="AZ177" s="10"/>
      <c r="BA177" s="66">
        <f t="shared" si="130"/>
        <v>783118</v>
      </c>
      <c r="BB177" s="67"/>
      <c r="BC177" s="67">
        <v>84881529</v>
      </c>
      <c r="BD177" s="67"/>
      <c r="BE177" s="67">
        <f t="shared" si="131"/>
        <v>45464</v>
      </c>
      <c r="BF177" s="67"/>
      <c r="BG177" s="156">
        <f t="shared" si="132"/>
        <v>5.8055107914771462E-2</v>
      </c>
      <c r="BH177" s="67"/>
      <c r="BI177" s="183"/>
      <c r="BJ177" s="67"/>
      <c r="BK177" s="67">
        <f t="shared" si="133"/>
        <v>5409043</v>
      </c>
      <c r="BL177" s="67"/>
      <c r="BM177" s="156">
        <f t="shared" si="134"/>
        <v>5.4252850273144436E-2</v>
      </c>
      <c r="BN177" s="66">
        <f t="shared" si="135"/>
        <v>505247.19642857142</v>
      </c>
      <c r="BO177" s="67"/>
      <c r="BP177" s="67">
        <f t="shared" si="136"/>
        <v>6047677</v>
      </c>
      <c r="BQ177" s="67"/>
      <c r="BR177" s="478">
        <f t="shared" si="137"/>
        <v>7.1248445583490846E-2</v>
      </c>
      <c r="BS177" s="67"/>
      <c r="BT177" s="86"/>
      <c r="BU177" s="183"/>
      <c r="BV177" s="1"/>
      <c r="BW177" s="61">
        <f t="shared" si="53"/>
        <v>168</v>
      </c>
    </row>
    <row r="178" spans="2:75" x14ac:dyDescent="0.3">
      <c r="B178" s="171">
        <f t="shared" si="52"/>
        <v>44078</v>
      </c>
      <c r="C178" s="61"/>
      <c r="D178" s="17">
        <v>52849</v>
      </c>
      <c r="E178" s="16"/>
      <c r="F178" s="16"/>
      <c r="G178" s="16"/>
      <c r="H178" s="16">
        <f t="shared" si="116"/>
        <v>6443173</v>
      </c>
      <c r="I178" s="16"/>
      <c r="J178" s="479">
        <f t="shared" si="117"/>
        <v>8.2701596976929494E-3</v>
      </c>
      <c r="K178" s="16"/>
      <c r="L178" s="16"/>
      <c r="M178" s="16"/>
      <c r="N178" s="16">
        <f t="shared" si="118"/>
        <v>296704</v>
      </c>
      <c r="O178" s="16">
        <f t="shared" si="138"/>
        <v>38125.284023668639</v>
      </c>
      <c r="P178" s="41"/>
      <c r="Q178" s="17">
        <f t="shared" si="119"/>
        <v>296704</v>
      </c>
      <c r="R178" s="16"/>
      <c r="S178" s="60">
        <f t="shared" si="120"/>
        <v>-5.5936696685021771E-3</v>
      </c>
      <c r="T178" s="16"/>
      <c r="U178" s="41"/>
      <c r="V178" s="10">
        <f t="shared" si="109"/>
        <v>70</v>
      </c>
      <c r="W178" s="34">
        <v>1033</v>
      </c>
      <c r="X178" s="33"/>
      <c r="Y178" s="33"/>
      <c r="Z178" s="33"/>
      <c r="AA178" s="33">
        <f t="shared" si="121"/>
        <v>192183</v>
      </c>
      <c r="AB178" s="33"/>
      <c r="AC178" s="46">
        <f t="shared" si="122"/>
        <v>2.9827384737302568E-2</v>
      </c>
      <c r="AD178" s="33"/>
      <c r="AE178" s="33">
        <f t="shared" si="123"/>
        <v>1137.1775147928995</v>
      </c>
      <c r="AF178" s="50"/>
      <c r="AG178" s="33">
        <f t="shared" si="124"/>
        <v>6236</v>
      </c>
      <c r="AH178" s="33">
        <f t="shared" si="112"/>
        <v>462004355.34662843</v>
      </c>
      <c r="AI178" s="231">
        <f t="shared" si="125"/>
        <v>-7.3677956030897204E-2</v>
      </c>
      <c r="AJ178" s="50"/>
      <c r="AK178" s="10"/>
      <c r="AL178" s="23">
        <f t="shared" si="126"/>
        <v>101473</v>
      </c>
      <c r="AM178" s="24"/>
      <c r="AN178" s="24"/>
      <c r="AO178" s="24">
        <v>178263</v>
      </c>
      <c r="AP178" s="24">
        <v>3676569</v>
      </c>
      <c r="AQ178" s="24"/>
      <c r="AR178" s="504">
        <f t="shared" si="127"/>
        <v>2.8383293763300343E-2</v>
      </c>
      <c r="AS178" s="25"/>
      <c r="AT178" s="25"/>
      <c r="AU178" s="24"/>
      <c r="AV178" s="341">
        <f t="shared" si="128"/>
        <v>0.5706146645449377</v>
      </c>
      <c r="AW178" s="341"/>
      <c r="AX178" s="24">
        <f t="shared" si="129"/>
        <v>21754.846153846152</v>
      </c>
      <c r="AY178" s="351"/>
      <c r="AZ178" s="10"/>
      <c r="BA178" s="66">
        <f t="shared" si="130"/>
        <v>1014188</v>
      </c>
      <c r="BB178" s="67"/>
      <c r="BC178" s="67">
        <v>85895717</v>
      </c>
      <c r="BD178" s="67"/>
      <c r="BE178" s="67">
        <f t="shared" si="131"/>
        <v>52849</v>
      </c>
      <c r="BF178" s="67"/>
      <c r="BG178" s="156">
        <f t="shared" si="132"/>
        <v>5.2109668029990494E-2</v>
      </c>
      <c r="BH178" s="67"/>
      <c r="BI178" s="183"/>
      <c r="BJ178" s="67"/>
      <c r="BK178" s="67">
        <f t="shared" si="133"/>
        <v>5596047</v>
      </c>
      <c r="BL178" s="67"/>
      <c r="BM178" s="156">
        <f t="shared" si="134"/>
        <v>5.3020283782462874E-2</v>
      </c>
      <c r="BN178" s="66">
        <f t="shared" si="135"/>
        <v>508258.68047337281</v>
      </c>
      <c r="BO178" s="67"/>
      <c r="BP178" s="67">
        <f t="shared" si="136"/>
        <v>6100526</v>
      </c>
      <c r="BQ178" s="67"/>
      <c r="BR178" s="478">
        <f t="shared" si="137"/>
        <v>7.1022470189054943E-2</v>
      </c>
      <c r="BS178" s="67"/>
      <c r="BT178" s="86"/>
      <c r="BU178" s="183"/>
      <c r="BV178" s="1"/>
      <c r="BW178" s="61">
        <f t="shared" si="53"/>
        <v>169</v>
      </c>
    </row>
    <row r="179" spans="2:75" x14ac:dyDescent="0.3">
      <c r="B179" s="171">
        <f t="shared" si="52"/>
        <v>44079</v>
      </c>
      <c r="C179" s="61"/>
      <c r="D179" s="17">
        <v>42092</v>
      </c>
      <c r="E179" s="16"/>
      <c r="F179" s="16"/>
      <c r="G179" s="16"/>
      <c r="H179" s="16">
        <f t="shared" si="116"/>
        <v>6485265</v>
      </c>
      <c r="I179" s="16"/>
      <c r="J179" s="479">
        <f t="shared" si="117"/>
        <v>6.5328061189727487E-3</v>
      </c>
      <c r="K179" s="16"/>
      <c r="L179" s="16"/>
      <c r="M179" s="16"/>
      <c r="N179" s="16">
        <f t="shared" si="118"/>
        <v>296136</v>
      </c>
      <c r="O179" s="16">
        <f t="shared" si="138"/>
        <v>38148.617647058825</v>
      </c>
      <c r="P179" s="41"/>
      <c r="Q179" s="17">
        <f t="shared" si="119"/>
        <v>296136</v>
      </c>
      <c r="R179" s="16"/>
      <c r="S179" s="60">
        <f t="shared" si="120"/>
        <v>-3.5934913392821092E-3</v>
      </c>
      <c r="T179" s="16"/>
      <c r="U179" s="41"/>
      <c r="V179" s="10">
        <f t="shared" si="109"/>
        <v>71</v>
      </c>
      <c r="W179" s="34">
        <v>707</v>
      </c>
      <c r="X179" s="33"/>
      <c r="Y179" s="33"/>
      <c r="Z179" s="33"/>
      <c r="AA179" s="33">
        <f t="shared" si="121"/>
        <v>192890</v>
      </c>
      <c r="AB179" s="33"/>
      <c r="AC179" s="46">
        <f t="shared" si="122"/>
        <v>2.9742809276105141E-2</v>
      </c>
      <c r="AD179" s="33"/>
      <c r="AE179" s="33">
        <f t="shared" si="123"/>
        <v>1134.6470588235295</v>
      </c>
      <c r="AF179" s="50"/>
      <c r="AG179" s="33">
        <f t="shared" si="124"/>
        <v>5989</v>
      </c>
      <c r="AH179" s="33">
        <f t="shared" si="112"/>
        <v>461945645.34662843</v>
      </c>
      <c r="AI179" s="231">
        <f t="shared" si="125"/>
        <v>-0.10771752085816448</v>
      </c>
      <c r="AJ179" s="50"/>
      <c r="AK179" s="10"/>
      <c r="AL179" s="23">
        <f t="shared" si="126"/>
        <v>30431</v>
      </c>
      <c r="AM179" s="24"/>
      <c r="AN179" s="24"/>
      <c r="AO179" s="24">
        <v>178263</v>
      </c>
      <c r="AP179" s="24">
        <v>3707000</v>
      </c>
      <c r="AQ179" s="24"/>
      <c r="AR179" s="504">
        <f t="shared" si="127"/>
        <v>8.2770104409845158E-3</v>
      </c>
      <c r="AS179" s="25"/>
      <c r="AT179" s="25"/>
      <c r="AU179" s="24"/>
      <c r="AV179" s="341">
        <f t="shared" si="128"/>
        <v>0.57160347341242035</v>
      </c>
      <c r="AW179" s="341"/>
      <c r="AX179" s="24">
        <f t="shared" si="129"/>
        <v>21805.882352941175</v>
      </c>
      <c r="AY179" s="351"/>
      <c r="AZ179" s="10"/>
      <c r="BA179" s="66">
        <f t="shared" si="130"/>
        <v>863485</v>
      </c>
      <c r="BB179" s="67"/>
      <c r="BC179" s="67">
        <v>86759202</v>
      </c>
      <c r="BD179" s="67"/>
      <c r="BE179" s="67">
        <f t="shared" si="131"/>
        <v>42092</v>
      </c>
      <c r="BF179" s="67"/>
      <c r="BG179" s="156">
        <f t="shared" si="132"/>
        <v>4.8746648754755435E-2</v>
      </c>
      <c r="BH179" s="67"/>
      <c r="BI179" s="183"/>
      <c r="BJ179" s="67"/>
      <c r="BK179" s="67">
        <f t="shared" si="133"/>
        <v>5656805</v>
      </c>
      <c r="BL179" s="67"/>
      <c r="BM179" s="156">
        <f t="shared" si="134"/>
        <v>5.2350399209447736E-2</v>
      </c>
      <c r="BN179" s="66">
        <f t="shared" si="135"/>
        <v>510348.24705882353</v>
      </c>
      <c r="BO179" s="67"/>
      <c r="BP179" s="67">
        <f t="shared" si="136"/>
        <v>6142618</v>
      </c>
      <c r="BQ179" s="67"/>
      <c r="BR179" s="478">
        <f t="shared" si="137"/>
        <v>7.0800766470858048E-2</v>
      </c>
      <c r="BS179" s="67"/>
      <c r="BT179" s="86"/>
      <c r="BU179" s="183"/>
      <c r="BV179" s="1"/>
      <c r="BW179" s="61">
        <f t="shared" si="53"/>
        <v>170</v>
      </c>
    </row>
    <row r="180" spans="2:75" x14ac:dyDescent="0.3">
      <c r="B180" s="390">
        <f t="shared" si="52"/>
        <v>44080</v>
      </c>
      <c r="C180" s="61"/>
      <c r="D180" s="17">
        <v>31110</v>
      </c>
      <c r="E180" s="16"/>
      <c r="F180" s="16"/>
      <c r="G180" s="16"/>
      <c r="H180" s="16">
        <f t="shared" si="116"/>
        <v>6516375</v>
      </c>
      <c r="I180" s="16"/>
      <c r="J180" s="479">
        <f t="shared" si="117"/>
        <v>4.7970283403993511E-3</v>
      </c>
      <c r="K180" s="16"/>
      <c r="L180" s="16"/>
      <c r="M180" s="16"/>
      <c r="N180" s="16">
        <f t="shared" si="118"/>
        <v>293265</v>
      </c>
      <c r="O180" s="16">
        <f t="shared" si="138"/>
        <v>38107.456140350878</v>
      </c>
      <c r="P180" s="41"/>
      <c r="Q180" s="17">
        <f t="shared" si="119"/>
        <v>293265</v>
      </c>
      <c r="R180" s="16"/>
      <c r="S180" s="60">
        <f t="shared" si="120"/>
        <v>-1.7429062509423152E-2</v>
      </c>
      <c r="T180" s="16"/>
      <c r="U180" s="41"/>
      <c r="V180" s="10">
        <f t="shared" si="109"/>
        <v>72</v>
      </c>
      <c r="W180" s="34">
        <v>430</v>
      </c>
      <c r="X180" s="33"/>
      <c r="Y180" s="33"/>
      <c r="Z180" s="33"/>
      <c r="AA180" s="33">
        <f t="shared" si="121"/>
        <v>193320</v>
      </c>
      <c r="AB180" s="33"/>
      <c r="AC180" s="46">
        <f t="shared" si="122"/>
        <v>2.9666800943776255E-2</v>
      </c>
      <c r="AD180" s="33"/>
      <c r="AE180" s="33">
        <f t="shared" si="123"/>
        <v>1130.5263157894738</v>
      </c>
      <c r="AF180" s="50"/>
      <c r="AG180" s="33">
        <f t="shared" si="124"/>
        <v>6050</v>
      </c>
      <c r="AH180" s="33">
        <f t="shared" si="112"/>
        <v>461882399.34662843</v>
      </c>
      <c r="AI180" s="231">
        <f t="shared" si="125"/>
        <v>-9.0362351526086307E-2</v>
      </c>
      <c r="AJ180" s="50"/>
      <c r="AK180" s="10"/>
      <c r="AL180" s="23">
        <f t="shared" si="126"/>
        <v>18970</v>
      </c>
      <c r="AM180" s="24"/>
      <c r="AN180" s="24"/>
      <c r="AO180" s="24">
        <v>178263</v>
      </c>
      <c r="AP180" s="24">
        <v>3725970</v>
      </c>
      <c r="AQ180" s="24"/>
      <c r="AR180" s="504">
        <f t="shared" si="127"/>
        <v>5.1173455624494201E-3</v>
      </c>
      <c r="AS180" s="25"/>
      <c r="AT180" s="25"/>
      <c r="AU180" s="24"/>
      <c r="AV180" s="341">
        <f t="shared" si="128"/>
        <v>0.57178569373309551</v>
      </c>
      <c r="AW180" s="341"/>
      <c r="AX180" s="24">
        <f t="shared" si="129"/>
        <v>21789.298245614034</v>
      </c>
      <c r="AY180" s="351"/>
      <c r="AZ180" s="391"/>
      <c r="BA180" s="66">
        <f t="shared" si="130"/>
        <v>715717</v>
      </c>
      <c r="BB180" s="67"/>
      <c r="BC180" s="67">
        <v>87474919</v>
      </c>
      <c r="BD180" s="67"/>
      <c r="BE180" s="67">
        <f t="shared" si="131"/>
        <v>31110</v>
      </c>
      <c r="BF180" s="67"/>
      <c r="BG180" s="156">
        <f t="shared" si="132"/>
        <v>4.3466901023728653E-2</v>
      </c>
      <c r="BH180" s="67"/>
      <c r="BI180" s="183"/>
      <c r="BJ180" s="67"/>
      <c r="BK180" s="67">
        <f t="shared" si="133"/>
        <v>5644840</v>
      </c>
      <c r="BL180" s="67"/>
      <c r="BM180" s="156">
        <f t="shared" si="134"/>
        <v>5.1952756854047238E-2</v>
      </c>
      <c r="BN180" s="66">
        <f t="shared" si="135"/>
        <v>511549.23391812865</v>
      </c>
      <c r="BO180" s="67"/>
      <c r="BP180" s="67">
        <f t="shared" si="136"/>
        <v>6173728</v>
      </c>
      <c r="BQ180" s="67"/>
      <c r="BR180" s="478">
        <f t="shared" si="137"/>
        <v>7.0577121654722533E-2</v>
      </c>
      <c r="BS180" s="67"/>
      <c r="BT180" s="86"/>
      <c r="BU180" s="183"/>
      <c r="BV180" s="1"/>
      <c r="BW180" s="61">
        <f t="shared" si="53"/>
        <v>171</v>
      </c>
    </row>
    <row r="181" spans="2:75" x14ac:dyDescent="0.3">
      <c r="B181" s="171">
        <f t="shared" si="52"/>
        <v>44081</v>
      </c>
      <c r="C181" s="61"/>
      <c r="D181" s="17">
        <v>25420</v>
      </c>
      <c r="E181" s="16"/>
      <c r="F181" s="16"/>
      <c r="G181" s="16"/>
      <c r="H181" s="16">
        <f t="shared" si="116"/>
        <v>6541795</v>
      </c>
      <c r="I181" s="16"/>
      <c r="J181" s="479">
        <f t="shared" si="117"/>
        <v>3.9009418580115479E-3</v>
      </c>
      <c r="K181" s="16"/>
      <c r="L181" s="16"/>
      <c r="M181" s="16"/>
      <c r="N181" s="16">
        <f t="shared" si="118"/>
        <v>280125</v>
      </c>
      <c r="O181" s="16">
        <f t="shared" si="138"/>
        <v>38033.691860465115</v>
      </c>
      <c r="P181" s="41"/>
      <c r="Q181" s="17">
        <f t="shared" si="119"/>
        <v>280125</v>
      </c>
      <c r="R181" s="16"/>
      <c r="S181" s="60">
        <f t="shared" si="120"/>
        <v>-5.21683815891427E-2</v>
      </c>
      <c r="T181" s="16"/>
      <c r="U181" s="41"/>
      <c r="V181" s="10">
        <f t="shared" si="109"/>
        <v>73</v>
      </c>
      <c r="W181" s="34">
        <v>286</v>
      </c>
      <c r="X181" s="33"/>
      <c r="Y181" s="33"/>
      <c r="Z181" s="33"/>
      <c r="AA181" s="33">
        <f t="shared" si="121"/>
        <v>193606</v>
      </c>
      <c r="AB181" s="33"/>
      <c r="AC181" s="46">
        <f t="shared" si="122"/>
        <v>2.9595241061512935E-2</v>
      </c>
      <c r="AD181" s="33"/>
      <c r="AE181" s="33">
        <f t="shared" si="123"/>
        <v>1125.6162790697674</v>
      </c>
      <c r="AF181" s="50"/>
      <c r="AG181" s="33">
        <f t="shared" si="124"/>
        <v>5824</v>
      </c>
      <c r="AH181" s="33">
        <f t="shared" si="112"/>
        <v>461828200.34662843</v>
      </c>
      <c r="AI181" s="231">
        <f t="shared" si="125"/>
        <v>-0.12460544115436645</v>
      </c>
      <c r="AJ181" s="50"/>
      <c r="AK181" s="10"/>
      <c r="AL181" s="23">
        <f t="shared" si="126"/>
        <v>32659</v>
      </c>
      <c r="AM181" s="24"/>
      <c r="AN181" s="24"/>
      <c r="AO181" s="24">
        <v>178263</v>
      </c>
      <c r="AP181" s="24">
        <v>3758629</v>
      </c>
      <c r="AQ181" s="24"/>
      <c r="AR181" s="504">
        <f t="shared" si="127"/>
        <v>8.7652342879840691E-3</v>
      </c>
      <c r="AS181" s="25"/>
      <c r="AT181" s="25"/>
      <c r="AU181" s="24"/>
      <c r="AV181" s="341">
        <f t="shared" si="128"/>
        <v>0.57455621889710695</v>
      </c>
      <c r="AW181" s="341"/>
      <c r="AX181" s="24">
        <f t="shared" si="129"/>
        <v>21852.494186046511</v>
      </c>
      <c r="AY181" s="351"/>
      <c r="AZ181" s="10"/>
      <c r="BA181" s="66">
        <f t="shared" si="130"/>
        <v>592931</v>
      </c>
      <c r="BB181" s="67"/>
      <c r="BC181" s="67">
        <v>88067850</v>
      </c>
      <c r="BD181" s="67"/>
      <c r="BE181" s="67">
        <f t="shared" si="131"/>
        <v>25420</v>
      </c>
      <c r="BF181" s="67"/>
      <c r="BG181" s="156">
        <f t="shared" si="132"/>
        <v>4.2871767541248475E-2</v>
      </c>
      <c r="BH181" s="67"/>
      <c r="BI181" s="183"/>
      <c r="BJ181" s="67"/>
      <c r="BK181" s="67">
        <f t="shared" si="133"/>
        <v>5443009</v>
      </c>
      <c r="BL181" s="67"/>
      <c r="BM181" s="156">
        <f t="shared" si="134"/>
        <v>5.1465099543285708E-2</v>
      </c>
      <c r="BN181" s="66">
        <f t="shared" si="135"/>
        <v>512022.38372093026</v>
      </c>
      <c r="BO181" s="67"/>
      <c r="BP181" s="67">
        <f t="shared" si="136"/>
        <v>6199148</v>
      </c>
      <c r="BQ181" s="67"/>
      <c r="BR181" s="478">
        <f t="shared" si="137"/>
        <v>7.0390590891000512E-2</v>
      </c>
      <c r="BS181" s="67"/>
      <c r="BT181" s="86"/>
      <c r="BU181" s="183"/>
      <c r="BV181" s="1"/>
      <c r="BW181" s="61">
        <f t="shared" si="53"/>
        <v>172</v>
      </c>
    </row>
    <row r="182" spans="2:75" x14ac:dyDescent="0.3">
      <c r="B182" s="171">
        <f t="shared" si="52"/>
        <v>44082</v>
      </c>
      <c r="C182" s="61"/>
      <c r="D182" s="17">
        <v>28439</v>
      </c>
      <c r="E182" s="16"/>
      <c r="F182" s="16"/>
      <c r="G182" s="16"/>
      <c r="H182" s="16">
        <f t="shared" si="116"/>
        <v>6570234</v>
      </c>
      <c r="I182" s="16"/>
      <c r="J182" s="479">
        <f t="shared" si="117"/>
        <v>4.3472777731494187E-3</v>
      </c>
      <c r="K182" s="16"/>
      <c r="L182" s="16"/>
      <c r="M182" s="16"/>
      <c r="N182" s="16">
        <f t="shared" si="118"/>
        <v>266585</v>
      </c>
      <c r="O182" s="16">
        <f t="shared" si="138"/>
        <v>37978.23121387283</v>
      </c>
      <c r="P182" s="41"/>
      <c r="Q182" s="17">
        <f t="shared" si="119"/>
        <v>266585</v>
      </c>
      <c r="R182" s="16"/>
      <c r="S182" s="60">
        <f t="shared" si="120"/>
        <v>-0.1036869923072785</v>
      </c>
      <c r="T182" s="16"/>
      <c r="U182" s="41"/>
      <c r="V182" s="10">
        <f t="shared" si="109"/>
        <v>74</v>
      </c>
      <c r="W182" s="34">
        <v>496</v>
      </c>
      <c r="X182" s="33"/>
      <c r="Y182" s="33"/>
      <c r="Z182" s="33"/>
      <c r="AA182" s="33">
        <f t="shared" si="121"/>
        <v>194102</v>
      </c>
      <c r="AB182" s="33"/>
      <c r="AC182" s="46">
        <f t="shared" si="122"/>
        <v>2.9542631206133603E-2</v>
      </c>
      <c r="AD182" s="33"/>
      <c r="AE182" s="33">
        <f t="shared" si="123"/>
        <v>1121.9768786127167</v>
      </c>
      <c r="AF182" s="50"/>
      <c r="AG182" s="33">
        <f t="shared" si="124"/>
        <v>5156</v>
      </c>
      <c r="AH182" s="33">
        <f t="shared" si="112"/>
        <v>461780351.34662843</v>
      </c>
      <c r="AI182" s="231">
        <f t="shared" si="125"/>
        <v>-0.21005055921556612</v>
      </c>
      <c r="AJ182" s="50"/>
      <c r="AK182" s="10"/>
      <c r="AL182" s="23">
        <f t="shared" si="126"/>
        <v>38131</v>
      </c>
      <c r="AM182" s="24"/>
      <c r="AN182" s="24"/>
      <c r="AO182" s="24">
        <v>178263</v>
      </c>
      <c r="AP182" s="24">
        <v>3796760</v>
      </c>
      <c r="AQ182" s="24"/>
      <c r="AR182" s="504">
        <f t="shared" si="127"/>
        <v>1.0144922523611669E-2</v>
      </c>
      <c r="AS182" s="25"/>
      <c r="AT182" s="25"/>
      <c r="AU182" s="24"/>
      <c r="AV182" s="341">
        <f t="shared" si="128"/>
        <v>0.57787287332536408</v>
      </c>
      <c r="AW182" s="341"/>
      <c r="AX182" s="24">
        <f t="shared" si="129"/>
        <v>21946.589595375721</v>
      </c>
      <c r="AY182" s="351"/>
      <c r="AZ182" s="10"/>
      <c r="BA182" s="66">
        <f t="shared" si="130"/>
        <v>589124</v>
      </c>
      <c r="BB182" s="67"/>
      <c r="BC182" s="67">
        <v>88656974</v>
      </c>
      <c r="BD182" s="67"/>
      <c r="BE182" s="67">
        <f t="shared" si="131"/>
        <v>28439</v>
      </c>
      <c r="BF182" s="67"/>
      <c r="BG182" s="156">
        <f t="shared" si="132"/>
        <v>4.8273368594727084E-2</v>
      </c>
      <c r="BH182" s="67"/>
      <c r="BI182" s="183"/>
      <c r="BJ182" s="67"/>
      <c r="BK182" s="67">
        <f t="shared" si="133"/>
        <v>5306855</v>
      </c>
      <c r="BL182" s="67"/>
      <c r="BM182" s="156">
        <f t="shared" si="134"/>
        <v>5.0234084029052987E-2</v>
      </c>
      <c r="BN182" s="66">
        <f t="shared" si="135"/>
        <v>512468.0578034682</v>
      </c>
      <c r="BO182" s="67"/>
      <c r="BP182" s="67">
        <f t="shared" si="136"/>
        <v>6227587</v>
      </c>
      <c r="BQ182" s="67"/>
      <c r="BR182" s="478">
        <f t="shared" si="137"/>
        <v>7.0243622346054801E-2</v>
      </c>
      <c r="BS182" s="67"/>
      <c r="BT182" s="86"/>
      <c r="BU182" s="183"/>
      <c r="BV182" s="1"/>
      <c r="BW182" s="61">
        <f t="shared" si="53"/>
        <v>173</v>
      </c>
    </row>
    <row r="183" spans="2:75" x14ac:dyDescent="0.3">
      <c r="B183" s="171">
        <f t="shared" si="52"/>
        <v>44083</v>
      </c>
      <c r="C183" s="61"/>
      <c r="D183" s="17">
        <v>35243</v>
      </c>
      <c r="E183" s="16"/>
      <c r="F183" s="16"/>
      <c r="G183" s="16"/>
      <c r="H183" s="16">
        <f t="shared" ref="H183:H212" si="139">+H182+D183</f>
        <v>6605477</v>
      </c>
      <c r="I183" s="16"/>
      <c r="J183" s="479">
        <f t="shared" ref="J183:J212" si="140">+D183/H182</f>
        <v>5.3640403066313926E-3</v>
      </c>
      <c r="K183" s="16"/>
      <c r="L183" s="16"/>
      <c r="M183" s="16"/>
      <c r="N183" s="16">
        <f t="shared" ref="N183:N212" si="141">SUM(D177:D183)</f>
        <v>260617</v>
      </c>
      <c r="O183" s="16">
        <f t="shared" ref="O183:O212" si="142">+H183/BW183</f>
        <v>37962.511494252874</v>
      </c>
      <c r="P183" s="41"/>
      <c r="Q183" s="17">
        <f>SUM(D177:D183)</f>
        <v>260617</v>
      </c>
      <c r="R183" s="16"/>
      <c r="S183" s="60">
        <f>+(Q183-Q176)/Q176</f>
        <v>-0.11354158871829061</v>
      </c>
      <c r="T183" s="16"/>
      <c r="U183" s="41"/>
      <c r="V183" s="10">
        <f t="shared" si="109"/>
        <v>75</v>
      </c>
      <c r="W183" s="34">
        <v>1208</v>
      </c>
      <c r="X183" s="33"/>
      <c r="Y183" s="33"/>
      <c r="Z183" s="33"/>
      <c r="AA183" s="33">
        <f t="shared" ref="AA183:AA212" si="143">+AA182+W183</f>
        <v>195310</v>
      </c>
      <c r="AB183" s="33"/>
      <c r="AC183" s="46">
        <f t="shared" ref="AC183:AC212" si="144">+AA183/H183</f>
        <v>2.9567887375885192E-2</v>
      </c>
      <c r="AD183" s="33"/>
      <c r="AE183" s="33">
        <f t="shared" ref="AE183:AE212" si="145">+AA183/BW183</f>
        <v>1122.471264367816</v>
      </c>
      <c r="AF183" s="50"/>
      <c r="AG183" s="33">
        <f t="shared" ref="AG183:AG195" si="146">SUM(W177:W183)</f>
        <v>5274</v>
      </c>
      <c r="AH183" s="33">
        <f t="shared" si="112"/>
        <v>461730551.34662843</v>
      </c>
      <c r="AI183" s="231">
        <f t="shared" ref="AI183:AI212" si="147">+(AG183-AG176)/AG176</f>
        <v>-0.16774498974278049</v>
      </c>
      <c r="AJ183" s="50"/>
      <c r="AK183" s="10"/>
      <c r="AL183" s="23">
        <f t="shared" ref="AL183:AL212" si="148">+AP183-AP182</f>
        <v>49335</v>
      </c>
      <c r="AM183" s="24"/>
      <c r="AN183" s="24"/>
      <c r="AO183" s="24">
        <v>178263</v>
      </c>
      <c r="AP183" s="24">
        <v>3846095</v>
      </c>
      <c r="AQ183" s="24"/>
      <c r="AR183" s="504">
        <f t="shared" ref="AR183:AR212" si="149">+AL183/AP182</f>
        <v>1.2993973809247885E-2</v>
      </c>
      <c r="AS183" s="25"/>
      <c r="AT183" s="25"/>
      <c r="AU183" s="24"/>
      <c r="AV183" s="341">
        <f t="shared" ref="AV183:AV212" si="150">+AP183/H183</f>
        <v>0.58225848034895888</v>
      </c>
      <c r="AW183" s="341"/>
      <c r="AX183" s="24">
        <f t="shared" ref="AX183:AX212" si="151">+AP183/BW183</f>
        <v>22103.994252873563</v>
      </c>
      <c r="AY183" s="351"/>
      <c r="AZ183" s="10"/>
      <c r="BA183" s="66">
        <f t="shared" ref="BA183:BA212" si="152">+BC183-BC182</f>
        <v>626098</v>
      </c>
      <c r="BB183" s="67"/>
      <c r="BC183" s="67">
        <v>89283072</v>
      </c>
      <c r="BD183" s="67"/>
      <c r="BE183" s="67">
        <f t="shared" ref="BE183:BE212" si="153">+D183</f>
        <v>35243</v>
      </c>
      <c r="BF183" s="67"/>
      <c r="BG183" s="156">
        <f t="shared" ref="BG183:BG212" si="154">+BE183/BA183</f>
        <v>5.6289909886311724E-2</v>
      </c>
      <c r="BH183" s="67"/>
      <c r="BI183" s="183"/>
      <c r="BJ183" s="67"/>
      <c r="BK183" s="67">
        <f t="shared" ref="BK183:BK212" si="155">SUM(BA177:BA183)</f>
        <v>5184661</v>
      </c>
      <c r="BL183" s="67"/>
      <c r="BM183" s="156">
        <f t="shared" ref="BM183:BM212" si="156">+Q183/BK183</f>
        <v>5.026693162773805E-2</v>
      </c>
      <c r="BN183" s="66">
        <f t="shared" ref="BN183:BN212" si="157">+BC183/BW183</f>
        <v>513121.10344827588</v>
      </c>
      <c r="BO183" s="67"/>
      <c r="BP183" s="67">
        <f t="shared" ref="BP183:BP212" si="158">+BP182+BE183</f>
        <v>6262830</v>
      </c>
      <c r="BQ183" s="67"/>
      <c r="BR183" s="478">
        <f t="shared" ref="BR183:BR212" si="159">+BP183/BC183</f>
        <v>7.0145771865914294E-2</v>
      </c>
      <c r="BS183" s="67"/>
      <c r="BT183" s="86"/>
      <c r="BU183" s="183"/>
      <c r="BV183" s="1"/>
      <c r="BW183" s="61">
        <f t="shared" si="53"/>
        <v>174</v>
      </c>
    </row>
    <row r="184" spans="2:75" x14ac:dyDescent="0.3">
      <c r="B184" s="171">
        <f t="shared" si="52"/>
        <v>44084</v>
      </c>
      <c r="C184" s="61"/>
      <c r="D184" s="17">
        <v>38811</v>
      </c>
      <c r="E184" s="16"/>
      <c r="F184" s="16"/>
      <c r="G184" s="16"/>
      <c r="H184" s="16">
        <f t="shared" si="139"/>
        <v>6644288</v>
      </c>
      <c r="I184" s="16"/>
      <c r="J184" s="479">
        <f t="shared" si="140"/>
        <v>5.8755787053682874E-3</v>
      </c>
      <c r="K184" s="16"/>
      <c r="L184" s="16"/>
      <c r="M184" s="16"/>
      <c r="N184" s="16">
        <f t="shared" si="141"/>
        <v>253964</v>
      </c>
      <c r="O184" s="16">
        <f t="shared" si="142"/>
        <v>37967.360000000001</v>
      </c>
      <c r="P184" s="41"/>
      <c r="Q184" s="17">
        <f>SUM(D178:D184)</f>
        <v>253964</v>
      </c>
      <c r="R184" s="16"/>
      <c r="S184" s="60">
        <f>+(Q184-Q177)/Q177</f>
        <v>-0.13457554113734257</v>
      </c>
      <c r="T184" s="16"/>
      <c r="U184" s="41"/>
      <c r="V184" s="10">
        <f t="shared" si="109"/>
        <v>76</v>
      </c>
      <c r="W184" s="34">
        <v>1089</v>
      </c>
      <c r="X184" s="33"/>
      <c r="Y184" s="33"/>
      <c r="Z184" s="33"/>
      <c r="AA184" s="33">
        <f t="shared" si="143"/>
        <v>196399</v>
      </c>
      <c r="AB184" s="33"/>
      <c r="AC184" s="46">
        <f t="shared" si="144"/>
        <v>2.9559073899265053E-2</v>
      </c>
      <c r="AD184" s="33"/>
      <c r="AE184" s="33">
        <f t="shared" si="145"/>
        <v>1122.28</v>
      </c>
      <c r="AF184" s="50"/>
      <c r="AG184" s="33">
        <f t="shared" si="146"/>
        <v>5249</v>
      </c>
      <c r="AH184" s="33">
        <f t="shared" ref="AH184:AH215" si="160">SUM(D155:D329)</f>
        <v>461676032.34662843</v>
      </c>
      <c r="AI184" s="231">
        <f t="shared" si="147"/>
        <v>-0.16788205453392518</v>
      </c>
      <c r="AJ184" s="50"/>
      <c r="AK184" s="10"/>
      <c r="AL184" s="23">
        <f t="shared" si="148"/>
        <v>33865</v>
      </c>
      <c r="AM184" s="24"/>
      <c r="AN184" s="24"/>
      <c r="AO184" s="24">
        <v>178263</v>
      </c>
      <c r="AP184" s="24">
        <v>3879960</v>
      </c>
      <c r="AQ184" s="24"/>
      <c r="AR184" s="504">
        <f t="shared" si="149"/>
        <v>8.8050347170311703E-3</v>
      </c>
      <c r="AS184" s="25"/>
      <c r="AT184" s="25"/>
      <c r="AU184" s="24"/>
      <c r="AV184" s="341">
        <f t="shared" si="150"/>
        <v>0.58395421751736232</v>
      </c>
      <c r="AW184" s="341"/>
      <c r="AX184" s="24">
        <f t="shared" si="151"/>
        <v>22171.200000000001</v>
      </c>
      <c r="AY184" s="351"/>
      <c r="AZ184" s="10"/>
      <c r="BA184" s="66">
        <f t="shared" si="152"/>
        <v>701717</v>
      </c>
      <c r="BB184" s="67"/>
      <c r="BC184" s="67">
        <v>89984789</v>
      </c>
      <c r="BD184" s="67"/>
      <c r="BE184" s="67">
        <f t="shared" si="153"/>
        <v>38811</v>
      </c>
      <c r="BF184" s="67"/>
      <c r="BG184" s="156">
        <f t="shared" si="154"/>
        <v>5.5308621566813973E-2</v>
      </c>
      <c r="BH184" s="67"/>
      <c r="BI184" s="183"/>
      <c r="BJ184" s="67"/>
      <c r="BK184" s="67">
        <f t="shared" si="155"/>
        <v>5103260</v>
      </c>
      <c r="BL184" s="67"/>
      <c r="BM184" s="156">
        <f t="shared" si="156"/>
        <v>4.9765052143139872E-2</v>
      </c>
      <c r="BN184" s="66">
        <f t="shared" si="157"/>
        <v>514198.79428571428</v>
      </c>
      <c r="BO184" s="67"/>
      <c r="BP184" s="67">
        <f t="shared" si="158"/>
        <v>6301641</v>
      </c>
      <c r="BQ184" s="67"/>
      <c r="BR184" s="478">
        <f t="shared" si="159"/>
        <v>7.0030069193138852E-2</v>
      </c>
      <c r="BS184" s="67"/>
      <c r="BT184" s="86"/>
      <c r="BU184" s="183"/>
      <c r="BV184" s="1"/>
      <c r="BW184" s="61">
        <f t="shared" si="53"/>
        <v>175</v>
      </c>
    </row>
    <row r="185" spans="2:75" x14ac:dyDescent="0.3">
      <c r="B185" s="171">
        <f t="shared" si="52"/>
        <v>44085</v>
      </c>
      <c r="C185" s="61"/>
      <c r="D185" s="17">
        <v>46600</v>
      </c>
      <c r="E185" s="16"/>
      <c r="F185" s="16"/>
      <c r="G185" s="16"/>
      <c r="H185" s="16">
        <f t="shared" si="139"/>
        <v>6690888</v>
      </c>
      <c r="I185" s="16"/>
      <c r="J185" s="479">
        <f t="shared" si="140"/>
        <v>7.0135430613483341E-3</v>
      </c>
      <c r="K185" s="16"/>
      <c r="L185" s="16"/>
      <c r="M185" s="16"/>
      <c r="N185" s="16">
        <f t="shared" si="141"/>
        <v>247715</v>
      </c>
      <c r="O185" s="16">
        <f t="shared" si="142"/>
        <v>38016.409090909088</v>
      </c>
      <c r="P185" s="41"/>
      <c r="Q185" s="17">
        <f>SUM(D179:D185)</f>
        <v>247715</v>
      </c>
      <c r="R185" s="16"/>
      <c r="S185" s="60">
        <f>+(Q185-Q178)/Q178</f>
        <v>-0.16511068270060397</v>
      </c>
      <c r="T185" s="16"/>
      <c r="U185" s="41"/>
      <c r="V185" s="10">
        <f t="shared" si="109"/>
        <v>77</v>
      </c>
      <c r="W185" s="34">
        <v>1094</v>
      </c>
      <c r="X185" s="33"/>
      <c r="Y185" s="33"/>
      <c r="Z185" s="33"/>
      <c r="AA185" s="33">
        <f t="shared" si="143"/>
        <v>197493</v>
      </c>
      <c r="AB185" s="33"/>
      <c r="AC185" s="46">
        <f t="shared" si="144"/>
        <v>2.9516709889629001E-2</v>
      </c>
      <c r="AD185" s="33"/>
      <c r="AE185" s="33">
        <f t="shared" si="145"/>
        <v>1122.1193181818182</v>
      </c>
      <c r="AF185" s="50"/>
      <c r="AG185" s="33">
        <f t="shared" si="146"/>
        <v>5310</v>
      </c>
      <c r="AH185" s="33">
        <f t="shared" si="160"/>
        <v>461621687.34662843</v>
      </c>
      <c r="AI185" s="231">
        <f t="shared" si="147"/>
        <v>-0.14849262347658757</v>
      </c>
      <c r="AJ185" s="50"/>
      <c r="AK185" s="10"/>
      <c r="AL185" s="23">
        <f t="shared" si="148"/>
        <v>38002</v>
      </c>
      <c r="AM185" s="24"/>
      <c r="AN185" s="24"/>
      <c r="AO185" s="24">
        <v>178263</v>
      </c>
      <c r="AP185" s="24">
        <v>3917962</v>
      </c>
      <c r="AQ185" s="24"/>
      <c r="AR185" s="504">
        <f t="shared" si="149"/>
        <v>9.7944308704213442E-3</v>
      </c>
      <c r="AS185" s="25"/>
      <c r="AT185" s="25"/>
      <c r="AU185" s="24"/>
      <c r="AV185" s="341">
        <f t="shared" si="150"/>
        <v>0.58556681863453697</v>
      </c>
      <c r="AW185" s="341"/>
      <c r="AX185" s="24">
        <f t="shared" si="151"/>
        <v>22261.147727272728</v>
      </c>
      <c r="AY185" s="351"/>
      <c r="AZ185" s="10"/>
      <c r="BA185" s="66">
        <f t="shared" si="152"/>
        <v>860917</v>
      </c>
      <c r="BB185" s="67"/>
      <c r="BC185" s="67">
        <v>90845706</v>
      </c>
      <c r="BD185" s="67"/>
      <c r="BE185" s="67">
        <f t="shared" si="153"/>
        <v>46600</v>
      </c>
      <c r="BF185" s="67"/>
      <c r="BG185" s="156">
        <f t="shared" si="154"/>
        <v>5.412833060562168E-2</v>
      </c>
      <c r="BH185" s="67"/>
      <c r="BI185" s="183"/>
      <c r="BJ185" s="67"/>
      <c r="BK185" s="67">
        <f t="shared" si="155"/>
        <v>4949989</v>
      </c>
      <c r="BL185" s="67"/>
      <c r="BM185" s="156">
        <f t="shared" si="156"/>
        <v>5.0043545551313344E-2</v>
      </c>
      <c r="BN185" s="66">
        <f t="shared" si="157"/>
        <v>516168.78409090912</v>
      </c>
      <c r="BO185" s="67"/>
      <c r="BP185" s="67">
        <f t="shared" si="158"/>
        <v>6348241</v>
      </c>
      <c r="BQ185" s="67"/>
      <c r="BR185" s="478">
        <f t="shared" si="159"/>
        <v>6.9879373274945977E-2</v>
      </c>
      <c r="BS185" s="67"/>
      <c r="BT185" s="86"/>
      <c r="BU185" s="183"/>
      <c r="BV185" s="1"/>
      <c r="BW185" s="61">
        <f t="shared" si="53"/>
        <v>176</v>
      </c>
    </row>
    <row r="186" spans="2:75" x14ac:dyDescent="0.3">
      <c r="B186" s="171">
        <f t="shared" si="52"/>
        <v>44086</v>
      </c>
      <c r="C186" s="61"/>
      <c r="D186" s="17">
        <v>39282</v>
      </c>
      <c r="E186" s="16"/>
      <c r="F186" s="16"/>
      <c r="G186" s="16"/>
      <c r="H186" s="16">
        <f t="shared" si="139"/>
        <v>6730170</v>
      </c>
      <c r="I186" s="16"/>
      <c r="J186" s="479">
        <f t="shared" si="140"/>
        <v>5.8709695932737177E-3</v>
      </c>
      <c r="K186" s="16"/>
      <c r="L186" s="16"/>
      <c r="M186" s="16"/>
      <c r="N186" s="16">
        <f t="shared" si="141"/>
        <v>244905</v>
      </c>
      <c r="O186" s="16">
        <f t="shared" si="142"/>
        <v>38023.5593220339</v>
      </c>
      <c r="P186" s="41"/>
      <c r="Q186" s="17">
        <f>SUM(D180:D186)</f>
        <v>244905</v>
      </c>
      <c r="R186" s="16"/>
      <c r="S186" s="60">
        <f>+(Q186-Q179)/Q179</f>
        <v>-0.17299821703541615</v>
      </c>
      <c r="T186" s="16"/>
      <c r="U186" s="41"/>
      <c r="V186" s="10">
        <f t="shared" si="109"/>
        <v>78</v>
      </c>
      <c r="W186" s="34">
        <v>707</v>
      </c>
      <c r="X186" s="33"/>
      <c r="Y186" s="33"/>
      <c r="Z186" s="33"/>
      <c r="AA186" s="33">
        <f t="shared" si="143"/>
        <v>198200</v>
      </c>
      <c r="AB186" s="33"/>
      <c r="AC186" s="46">
        <f t="shared" si="144"/>
        <v>2.9449478987900752E-2</v>
      </c>
      <c r="AD186" s="33"/>
      <c r="AE186" s="33">
        <f t="shared" si="145"/>
        <v>1119.774011299435</v>
      </c>
      <c r="AF186" s="50"/>
      <c r="AG186" s="33">
        <f t="shared" si="146"/>
        <v>5310</v>
      </c>
      <c r="AH186" s="33">
        <f t="shared" si="160"/>
        <v>461566323.34662843</v>
      </c>
      <c r="AI186" s="231">
        <f t="shared" si="147"/>
        <v>-0.11337451995324763</v>
      </c>
      <c r="AJ186" s="50"/>
      <c r="AK186" s="10"/>
      <c r="AL186" s="23">
        <f t="shared" si="148"/>
        <v>32392</v>
      </c>
      <c r="AM186" s="24"/>
      <c r="AN186" s="24"/>
      <c r="AO186" s="24">
        <v>178263</v>
      </c>
      <c r="AP186" s="24">
        <v>3950354</v>
      </c>
      <c r="AQ186" s="24"/>
      <c r="AR186" s="504">
        <f t="shared" si="149"/>
        <v>8.2675635955632033E-3</v>
      </c>
      <c r="AS186" s="25"/>
      <c r="AT186" s="25"/>
      <c r="AU186" s="24"/>
      <c r="AV186" s="341">
        <f t="shared" si="150"/>
        <v>0.58696199353062406</v>
      </c>
      <c r="AW186" s="341"/>
      <c r="AX186" s="24">
        <f t="shared" si="151"/>
        <v>22318.384180790959</v>
      </c>
      <c r="AY186" s="351"/>
      <c r="AZ186" s="10"/>
      <c r="BA186" s="66">
        <f t="shared" si="152"/>
        <v>857797</v>
      </c>
      <c r="BB186" s="67"/>
      <c r="BC186" s="67">
        <v>91703503</v>
      </c>
      <c r="BD186" s="67"/>
      <c r="BE186" s="67">
        <f t="shared" si="153"/>
        <v>39282</v>
      </c>
      <c r="BF186" s="67"/>
      <c r="BG186" s="156">
        <f t="shared" si="154"/>
        <v>4.5794051506358728E-2</v>
      </c>
      <c r="BH186" s="67"/>
      <c r="BI186" s="183"/>
      <c r="BJ186" s="67"/>
      <c r="BK186" s="67">
        <f t="shared" si="155"/>
        <v>4944301</v>
      </c>
      <c r="BL186" s="67"/>
      <c r="BM186" s="156">
        <f t="shared" si="156"/>
        <v>4.9532785321929229E-2</v>
      </c>
      <c r="BN186" s="66">
        <f t="shared" si="157"/>
        <v>518098.88700564974</v>
      </c>
      <c r="BO186" s="67"/>
      <c r="BP186" s="67">
        <f t="shared" si="158"/>
        <v>6387523</v>
      </c>
      <c r="BQ186" s="67"/>
      <c r="BR186" s="478">
        <f t="shared" si="159"/>
        <v>6.9654078536127456E-2</v>
      </c>
      <c r="BS186" s="67"/>
      <c r="BT186" s="86"/>
      <c r="BU186" s="183"/>
      <c r="BV186" s="1"/>
      <c r="BW186" s="61">
        <f t="shared" si="53"/>
        <v>177</v>
      </c>
    </row>
    <row r="187" spans="2:75" x14ac:dyDescent="0.3">
      <c r="B187" s="390">
        <f t="shared" si="52"/>
        <v>44087</v>
      </c>
      <c r="C187" s="61"/>
      <c r="D187" s="17">
        <v>31857</v>
      </c>
      <c r="E187" s="16"/>
      <c r="F187" s="16"/>
      <c r="G187" s="16"/>
      <c r="H187" s="16">
        <f t="shared" si="139"/>
        <v>6762027</v>
      </c>
      <c r="I187" s="16"/>
      <c r="J187" s="479">
        <f t="shared" si="140"/>
        <v>4.7334614133075388E-3</v>
      </c>
      <c r="K187" s="16"/>
      <c r="L187" s="16"/>
      <c r="M187" s="16"/>
      <c r="N187" s="16">
        <f t="shared" si="141"/>
        <v>245652</v>
      </c>
      <c r="O187" s="16">
        <f t="shared" si="142"/>
        <v>37988.915730337081</v>
      </c>
      <c r="P187" s="41"/>
      <c r="Q187" s="17">
        <f t="shared" ref="Q187:Q236" si="161">SUM(D181:D187)</f>
        <v>245652</v>
      </c>
      <c r="R187" s="16"/>
      <c r="S187" s="60">
        <f t="shared" ref="S187:S236" si="162">+(Q187-Q180)/Q180</f>
        <v>-0.16235486675873356</v>
      </c>
      <c r="T187" s="16"/>
      <c r="U187" s="41"/>
      <c r="V187" s="10">
        <f t="shared" si="109"/>
        <v>79</v>
      </c>
      <c r="W187" s="34">
        <v>392</v>
      </c>
      <c r="X187" s="33"/>
      <c r="Y187" s="33"/>
      <c r="Z187" s="33"/>
      <c r="AA187" s="33">
        <f t="shared" si="143"/>
        <v>198592</v>
      </c>
      <c r="AB187" s="33"/>
      <c r="AC187" s="46">
        <f t="shared" si="144"/>
        <v>2.9368708524825472E-2</v>
      </c>
      <c r="AD187" s="33"/>
      <c r="AE187" s="33">
        <f t="shared" si="145"/>
        <v>1115.685393258427</v>
      </c>
      <c r="AF187" s="50"/>
      <c r="AG187" s="33">
        <f t="shared" si="146"/>
        <v>5272</v>
      </c>
      <c r="AH187" s="33">
        <f t="shared" si="160"/>
        <v>461505723.34662843</v>
      </c>
      <c r="AI187" s="231">
        <f t="shared" si="147"/>
        <v>-0.12859504132231406</v>
      </c>
      <c r="AJ187" s="50"/>
      <c r="AK187" s="10"/>
      <c r="AL187" s="23">
        <f t="shared" si="148"/>
        <v>24595</v>
      </c>
      <c r="AM187" s="24"/>
      <c r="AN187" s="24"/>
      <c r="AO187" s="24">
        <v>178263</v>
      </c>
      <c r="AP187" s="24">
        <v>3974949</v>
      </c>
      <c r="AQ187" s="24"/>
      <c r="AR187" s="504">
        <f t="shared" si="149"/>
        <v>6.2260243006069839E-3</v>
      </c>
      <c r="AS187" s="25"/>
      <c r="AT187" s="25"/>
      <c r="AU187" s="24"/>
      <c r="AV187" s="341">
        <f t="shared" si="150"/>
        <v>0.58783394387511323</v>
      </c>
      <c r="AW187" s="341"/>
      <c r="AX187" s="24">
        <f t="shared" si="151"/>
        <v>22331.174157303372</v>
      </c>
      <c r="AY187" s="351"/>
      <c r="AZ187" s="391"/>
      <c r="BA187" s="66">
        <f t="shared" si="152"/>
        <v>699997</v>
      </c>
      <c r="BB187" s="67"/>
      <c r="BC187" s="67">
        <v>92403500</v>
      </c>
      <c r="BD187" s="67"/>
      <c r="BE187" s="67">
        <f t="shared" si="153"/>
        <v>31857</v>
      </c>
      <c r="BF187" s="67"/>
      <c r="BG187" s="156">
        <f t="shared" si="154"/>
        <v>4.5510195043693046E-2</v>
      </c>
      <c r="BH187" s="67"/>
      <c r="BI187" s="183"/>
      <c r="BJ187" s="67"/>
      <c r="BK187" s="67">
        <f t="shared" si="155"/>
        <v>4928581</v>
      </c>
      <c r="BL187" s="67"/>
      <c r="BM187" s="156">
        <f t="shared" si="156"/>
        <v>4.9842337987343617E-2</v>
      </c>
      <c r="BN187" s="66">
        <f t="shared" si="157"/>
        <v>519120.78651685396</v>
      </c>
      <c r="BO187" s="67"/>
      <c r="BP187" s="67">
        <f t="shared" si="158"/>
        <v>6419380</v>
      </c>
      <c r="BQ187" s="67"/>
      <c r="BR187" s="478">
        <f t="shared" si="159"/>
        <v>6.9471178039792872E-2</v>
      </c>
      <c r="BS187" s="67"/>
      <c r="BT187" s="86"/>
      <c r="BU187" s="183"/>
      <c r="BV187" s="1"/>
      <c r="BW187" s="61">
        <f t="shared" si="53"/>
        <v>178</v>
      </c>
    </row>
    <row r="188" spans="2:75" x14ac:dyDescent="0.3">
      <c r="B188" s="171">
        <f t="shared" ref="B188:B272" si="163">1+B187</f>
        <v>44088</v>
      </c>
      <c r="C188" s="61"/>
      <c r="D188" s="17">
        <v>38072</v>
      </c>
      <c r="E188" s="16"/>
      <c r="F188" s="16"/>
      <c r="G188" s="16"/>
      <c r="H188" s="16">
        <f t="shared" si="139"/>
        <v>6800099</v>
      </c>
      <c r="I188" s="16"/>
      <c r="J188" s="479">
        <f t="shared" si="140"/>
        <v>5.6302644162763617E-3</v>
      </c>
      <c r="K188" s="16"/>
      <c r="L188" s="16"/>
      <c r="M188" s="16"/>
      <c r="N188" s="16">
        <f t="shared" si="141"/>
        <v>258304</v>
      </c>
      <c r="O188" s="16">
        <f t="shared" si="142"/>
        <v>37989.379888268159</v>
      </c>
      <c r="P188" s="41"/>
      <c r="Q188" s="17">
        <f t="shared" si="161"/>
        <v>258304</v>
      </c>
      <c r="R188" s="16"/>
      <c r="S188" s="60">
        <f t="shared" si="162"/>
        <v>-7.789736724676484E-2</v>
      </c>
      <c r="T188" s="16"/>
      <c r="U188" s="41"/>
      <c r="V188" s="10">
        <f t="shared" si="109"/>
        <v>80</v>
      </c>
      <c r="W188" s="34">
        <v>480</v>
      </c>
      <c r="X188" s="33"/>
      <c r="Y188" s="33"/>
      <c r="Z188" s="33"/>
      <c r="AA188" s="33">
        <f t="shared" si="143"/>
        <v>199072</v>
      </c>
      <c r="AB188" s="33"/>
      <c r="AC188" s="46">
        <f t="shared" si="144"/>
        <v>2.9274867910011309E-2</v>
      </c>
      <c r="AD188" s="33"/>
      <c r="AE188" s="33">
        <f t="shared" si="145"/>
        <v>1112.1340782122904</v>
      </c>
      <c r="AF188" s="50"/>
      <c r="AG188" s="33">
        <f t="shared" si="146"/>
        <v>5466</v>
      </c>
      <c r="AH188" s="33">
        <f t="shared" si="160"/>
        <v>461452200.34662843</v>
      </c>
      <c r="AI188" s="231">
        <f t="shared" si="147"/>
        <v>-6.1469780219780217E-2</v>
      </c>
      <c r="AJ188" s="50"/>
      <c r="AK188" s="10"/>
      <c r="AL188" s="23">
        <f t="shared" si="148"/>
        <v>52877</v>
      </c>
      <c r="AM188" s="24"/>
      <c r="AN188" s="24"/>
      <c r="AO188" s="24">
        <v>178263</v>
      </c>
      <c r="AP188" s="24">
        <v>4027826</v>
      </c>
      <c r="AQ188" s="24"/>
      <c r="AR188" s="504">
        <f t="shared" si="149"/>
        <v>1.3302560611469481E-2</v>
      </c>
      <c r="AS188" s="25"/>
      <c r="AT188" s="25"/>
      <c r="AU188" s="24"/>
      <c r="AV188" s="341">
        <f t="shared" si="150"/>
        <v>0.59231872947732089</v>
      </c>
      <c r="AW188" s="341"/>
      <c r="AX188" s="24">
        <f t="shared" si="151"/>
        <v>22501.821229050278</v>
      </c>
      <c r="AY188" s="351"/>
      <c r="AZ188" s="10"/>
      <c r="BA188" s="66">
        <f t="shared" si="152"/>
        <v>486822</v>
      </c>
      <c r="BB188" s="67"/>
      <c r="BC188" s="67">
        <v>92890322</v>
      </c>
      <c r="BD188" s="67"/>
      <c r="BE188" s="67">
        <f t="shared" si="153"/>
        <v>38072</v>
      </c>
      <c r="BF188" s="67"/>
      <c r="BG188" s="156">
        <f t="shared" si="154"/>
        <v>7.8205175608333233E-2</v>
      </c>
      <c r="BH188" s="67"/>
      <c r="BI188" s="183"/>
      <c r="BJ188" s="67"/>
      <c r="BK188" s="67">
        <f t="shared" si="155"/>
        <v>4822472</v>
      </c>
      <c r="BL188" s="67"/>
      <c r="BM188" s="156">
        <f t="shared" si="156"/>
        <v>5.3562571229029431E-2</v>
      </c>
      <c r="BN188" s="66">
        <f t="shared" si="157"/>
        <v>518940.34636871511</v>
      </c>
      <c r="BO188" s="67"/>
      <c r="BP188" s="67">
        <f t="shared" si="158"/>
        <v>6457452</v>
      </c>
      <c r="BQ188" s="67"/>
      <c r="BR188" s="478">
        <f t="shared" si="159"/>
        <v>6.9516951399953161E-2</v>
      </c>
      <c r="BS188" s="67"/>
      <c r="BT188" s="86"/>
      <c r="BU188" s="183"/>
      <c r="BV188" s="1"/>
      <c r="BW188" s="61">
        <f t="shared" si="53"/>
        <v>179</v>
      </c>
    </row>
    <row r="189" spans="2:75" x14ac:dyDescent="0.3">
      <c r="B189" s="171">
        <f t="shared" si="163"/>
        <v>44089</v>
      </c>
      <c r="C189" s="61"/>
      <c r="D189" s="17">
        <v>36447</v>
      </c>
      <c r="E189" s="16"/>
      <c r="F189" s="16"/>
      <c r="G189" s="16"/>
      <c r="H189" s="16">
        <f t="shared" si="139"/>
        <v>6836546</v>
      </c>
      <c r="I189" s="16"/>
      <c r="J189" s="479">
        <f t="shared" si="140"/>
        <v>5.3597749091594104E-3</v>
      </c>
      <c r="K189" s="16"/>
      <c r="L189" s="16"/>
      <c r="M189" s="16"/>
      <c r="N189" s="16">
        <f t="shared" si="141"/>
        <v>266312</v>
      </c>
      <c r="O189" s="16">
        <f t="shared" si="142"/>
        <v>37980.811111111114</v>
      </c>
      <c r="P189" s="41"/>
      <c r="Q189" s="17">
        <f t="shared" si="161"/>
        <v>266312</v>
      </c>
      <c r="R189" s="16"/>
      <c r="S189" s="60">
        <f t="shared" si="162"/>
        <v>-1.0240636194834669E-3</v>
      </c>
      <c r="T189" s="16"/>
      <c r="U189" s="41"/>
      <c r="V189" s="10">
        <f t="shared" si="109"/>
        <v>81</v>
      </c>
      <c r="W189" s="34">
        <v>1197</v>
      </c>
      <c r="X189" s="33"/>
      <c r="Y189" s="33"/>
      <c r="Z189" s="33"/>
      <c r="AA189" s="33">
        <f t="shared" si="143"/>
        <v>200269</v>
      </c>
      <c r="AB189" s="33"/>
      <c r="AC189" s="46">
        <f t="shared" si="144"/>
        <v>2.9293886123197298E-2</v>
      </c>
      <c r="AD189" s="33"/>
      <c r="AE189" s="33">
        <f t="shared" si="145"/>
        <v>1112.6055555555556</v>
      </c>
      <c r="AF189" s="50"/>
      <c r="AG189" s="33">
        <f t="shared" si="146"/>
        <v>6167</v>
      </c>
      <c r="AH189" s="33">
        <f t="shared" si="160"/>
        <v>461415357.34662843</v>
      </c>
      <c r="AI189" s="231">
        <f t="shared" si="147"/>
        <v>0.1960822342901474</v>
      </c>
      <c r="AJ189" s="50"/>
      <c r="AK189" s="10"/>
      <c r="AL189" s="23">
        <f t="shared" si="148"/>
        <v>40260</v>
      </c>
      <c r="AM189" s="24"/>
      <c r="AN189" s="24"/>
      <c r="AO189" s="24">
        <v>178263</v>
      </c>
      <c r="AP189" s="24">
        <v>4068086</v>
      </c>
      <c r="AQ189" s="24"/>
      <c r="AR189" s="504">
        <f t="shared" si="149"/>
        <v>9.9954665370351158E-3</v>
      </c>
      <c r="AS189" s="25"/>
      <c r="AT189" s="25"/>
      <c r="AU189" s="24"/>
      <c r="AV189" s="341">
        <f t="shared" si="150"/>
        <v>0.59504989800405061</v>
      </c>
      <c r="AW189" s="341"/>
      <c r="AX189" s="24">
        <f t="shared" si="151"/>
        <v>22600.477777777778</v>
      </c>
      <c r="AY189" s="351"/>
      <c r="AZ189" s="10"/>
      <c r="BA189" s="66">
        <f t="shared" si="152"/>
        <v>741636</v>
      </c>
      <c r="BB189" s="67"/>
      <c r="BC189" s="67">
        <v>93631958</v>
      </c>
      <c r="BD189" s="67"/>
      <c r="BE189" s="67">
        <f t="shared" si="153"/>
        <v>36447</v>
      </c>
      <c r="BF189" s="67"/>
      <c r="BG189" s="156">
        <f t="shared" si="154"/>
        <v>4.9144054495736451E-2</v>
      </c>
      <c r="BH189" s="67"/>
      <c r="BI189" s="183"/>
      <c r="BJ189" s="67"/>
      <c r="BK189" s="67">
        <f t="shared" si="155"/>
        <v>4974984</v>
      </c>
      <c r="BL189" s="67"/>
      <c r="BM189" s="156">
        <f t="shared" si="156"/>
        <v>5.3530222408755483E-2</v>
      </c>
      <c r="BN189" s="66">
        <f t="shared" si="157"/>
        <v>520177.54444444447</v>
      </c>
      <c r="BO189" s="67"/>
      <c r="BP189" s="67">
        <f t="shared" si="158"/>
        <v>6493899</v>
      </c>
      <c r="BQ189" s="67"/>
      <c r="BR189" s="478">
        <f t="shared" si="159"/>
        <v>6.9355582631306284E-2</v>
      </c>
      <c r="BS189" s="67"/>
      <c r="BT189" s="86"/>
      <c r="BU189" s="183"/>
      <c r="BV189" s="1"/>
      <c r="BW189" s="61">
        <f t="shared" si="53"/>
        <v>180</v>
      </c>
    </row>
    <row r="190" spans="2:75" x14ac:dyDescent="0.3">
      <c r="B190" s="171">
        <f t="shared" si="163"/>
        <v>44090</v>
      </c>
      <c r="C190" s="61"/>
      <c r="D190" s="17">
        <v>40154</v>
      </c>
      <c r="E190" s="16"/>
      <c r="F190" s="16"/>
      <c r="G190" s="16"/>
      <c r="H190" s="16">
        <f t="shared" si="139"/>
        <v>6876700</v>
      </c>
      <c r="I190" s="16"/>
      <c r="J190" s="479">
        <f t="shared" si="140"/>
        <v>5.8734337485625053E-3</v>
      </c>
      <c r="K190" s="16"/>
      <c r="L190" s="16"/>
      <c r="M190" s="16"/>
      <c r="N190" s="16">
        <f t="shared" si="141"/>
        <v>271223</v>
      </c>
      <c r="O190" s="16">
        <f t="shared" si="142"/>
        <v>37992.817679558008</v>
      </c>
      <c r="P190" s="41"/>
      <c r="Q190" s="17">
        <f t="shared" si="161"/>
        <v>271223</v>
      </c>
      <c r="R190" s="16"/>
      <c r="S190" s="60">
        <f t="shared" si="162"/>
        <v>4.0695733586066908E-2</v>
      </c>
      <c r="T190" s="16"/>
      <c r="U190" s="41"/>
      <c r="V190" s="10">
        <f t="shared" si="109"/>
        <v>82</v>
      </c>
      <c r="W190" s="34">
        <v>1151</v>
      </c>
      <c r="X190" s="33"/>
      <c r="Y190" s="33"/>
      <c r="Z190" s="33"/>
      <c r="AA190" s="33">
        <f t="shared" si="143"/>
        <v>201420</v>
      </c>
      <c r="AB190" s="33"/>
      <c r="AC190" s="46">
        <f t="shared" si="144"/>
        <v>2.9290211874881848E-2</v>
      </c>
      <c r="AD190" s="33"/>
      <c r="AE190" s="33">
        <f t="shared" si="145"/>
        <v>1112.8176795580112</v>
      </c>
      <c r="AF190" s="50"/>
      <c r="AG190" s="33">
        <f t="shared" si="146"/>
        <v>6110</v>
      </c>
      <c r="AH190" s="33">
        <f t="shared" si="160"/>
        <v>461374745.34662843</v>
      </c>
      <c r="AI190" s="231">
        <f t="shared" si="147"/>
        <v>0.15851346226772847</v>
      </c>
      <c r="AJ190" s="50"/>
      <c r="AK190" s="10"/>
      <c r="AL190" s="23">
        <f t="shared" si="148"/>
        <v>51072</v>
      </c>
      <c r="AM190" s="24"/>
      <c r="AN190" s="24"/>
      <c r="AO190" s="24">
        <v>178263</v>
      </c>
      <c r="AP190" s="24">
        <v>4119158</v>
      </c>
      <c r="AQ190" s="24"/>
      <c r="AR190" s="504">
        <f t="shared" si="149"/>
        <v>1.2554306865685731E-2</v>
      </c>
      <c r="AS190" s="25"/>
      <c r="AT190" s="25"/>
      <c r="AU190" s="24"/>
      <c r="AV190" s="341">
        <f t="shared" si="150"/>
        <v>0.59900213765323485</v>
      </c>
      <c r="AW190" s="341"/>
      <c r="AX190" s="24">
        <f t="shared" si="151"/>
        <v>22757.779005524862</v>
      </c>
      <c r="AY190" s="351"/>
      <c r="AZ190" s="10"/>
      <c r="BA190" s="66">
        <f t="shared" si="152"/>
        <v>737109</v>
      </c>
      <c r="BB190" s="67"/>
      <c r="BC190" s="67">
        <v>94369067</v>
      </c>
      <c r="BD190" s="67"/>
      <c r="BE190" s="67">
        <f t="shared" si="153"/>
        <v>40154</v>
      </c>
      <c r="BF190" s="67"/>
      <c r="BG190" s="156">
        <f t="shared" si="154"/>
        <v>5.4474982668777615E-2</v>
      </c>
      <c r="BH190" s="67"/>
      <c r="BI190" s="183"/>
      <c r="BJ190" s="67"/>
      <c r="BK190" s="67">
        <f t="shared" si="155"/>
        <v>5085995</v>
      </c>
      <c r="BL190" s="67"/>
      <c r="BM190" s="156">
        <f t="shared" si="156"/>
        <v>5.3327421674618243E-2</v>
      </c>
      <c r="BN190" s="66">
        <f t="shared" si="157"/>
        <v>521376.06077348068</v>
      </c>
      <c r="BO190" s="67"/>
      <c r="BP190" s="67">
        <f t="shared" si="158"/>
        <v>6534053</v>
      </c>
      <c r="BQ190" s="67"/>
      <c r="BR190" s="478">
        <f t="shared" si="159"/>
        <v>6.9239351492157916E-2</v>
      </c>
      <c r="BS190" s="67"/>
      <c r="BT190" s="86"/>
      <c r="BU190" s="183"/>
      <c r="BV190" s="1"/>
      <c r="BW190" s="61">
        <f t="shared" ref="BW190:BW215" si="164">+BW189+1</f>
        <v>181</v>
      </c>
    </row>
    <row r="191" spans="2:75" x14ac:dyDescent="0.3">
      <c r="B191" s="171">
        <f t="shared" si="163"/>
        <v>44091</v>
      </c>
      <c r="C191" s="61"/>
      <c r="D191" s="17">
        <v>46295</v>
      </c>
      <c r="E191" s="16"/>
      <c r="F191" s="16"/>
      <c r="G191" s="16"/>
      <c r="H191" s="16">
        <f t="shared" si="139"/>
        <v>6922995</v>
      </c>
      <c r="I191" s="16"/>
      <c r="J191" s="479">
        <f t="shared" si="140"/>
        <v>6.7321535038608639E-3</v>
      </c>
      <c r="K191" s="16"/>
      <c r="L191" s="16"/>
      <c r="M191" s="16"/>
      <c r="N191" s="16">
        <f t="shared" si="141"/>
        <v>278707</v>
      </c>
      <c r="O191" s="16">
        <f t="shared" si="142"/>
        <v>38038.434065934067</v>
      </c>
      <c r="P191" s="41"/>
      <c r="Q191" s="17">
        <f t="shared" si="161"/>
        <v>278707</v>
      </c>
      <c r="R191" s="16"/>
      <c r="S191" s="60">
        <f t="shared" si="162"/>
        <v>9.742719440550629E-2</v>
      </c>
      <c r="T191" s="16"/>
      <c r="U191" s="41"/>
      <c r="V191" s="10">
        <f t="shared" si="109"/>
        <v>83</v>
      </c>
      <c r="W191" s="34">
        <v>879</v>
      </c>
      <c r="X191" s="33"/>
      <c r="Y191" s="33"/>
      <c r="Z191" s="33"/>
      <c r="AA191" s="33">
        <f t="shared" si="143"/>
        <v>202299</v>
      </c>
      <c r="AB191" s="33"/>
      <c r="AC191" s="46">
        <f t="shared" si="144"/>
        <v>2.9221312452197352E-2</v>
      </c>
      <c r="AD191" s="33"/>
      <c r="AE191" s="33">
        <f t="shared" si="145"/>
        <v>1111.532967032967</v>
      </c>
      <c r="AF191" s="50"/>
      <c r="AG191" s="33">
        <f t="shared" si="146"/>
        <v>5900</v>
      </c>
      <c r="AH191" s="33">
        <f t="shared" si="160"/>
        <v>461330746.34662843</v>
      </c>
      <c r="AI191" s="231">
        <f t="shared" si="147"/>
        <v>0.12402362354734235</v>
      </c>
      <c r="AJ191" s="50"/>
      <c r="AK191" s="10"/>
      <c r="AL191" s="23">
        <f t="shared" si="148"/>
        <v>35881</v>
      </c>
      <c r="AM191" s="24"/>
      <c r="AN191" s="24"/>
      <c r="AO191" s="24">
        <v>178263</v>
      </c>
      <c r="AP191" s="24">
        <v>4155039</v>
      </c>
      <c r="AQ191" s="24"/>
      <c r="AR191" s="504">
        <f t="shared" si="149"/>
        <v>8.7107607914044573E-3</v>
      </c>
      <c r="AS191" s="25"/>
      <c r="AT191" s="25"/>
      <c r="AU191" s="24"/>
      <c r="AV191" s="341">
        <f t="shared" si="150"/>
        <v>0.60017940212292509</v>
      </c>
      <c r="AW191" s="341"/>
      <c r="AX191" s="24">
        <f t="shared" si="151"/>
        <v>22829.884615384617</v>
      </c>
      <c r="AY191" s="351"/>
      <c r="AZ191" s="10"/>
      <c r="BA191" s="66">
        <f t="shared" si="152"/>
        <v>865955</v>
      </c>
      <c r="BB191" s="67"/>
      <c r="BC191" s="67">
        <v>95235022</v>
      </c>
      <c r="BD191" s="67"/>
      <c r="BE191" s="67">
        <f t="shared" si="153"/>
        <v>46295</v>
      </c>
      <c r="BF191" s="67"/>
      <c r="BG191" s="156">
        <f t="shared" si="154"/>
        <v>5.3461207568522615E-2</v>
      </c>
      <c r="BH191" s="67"/>
      <c r="BI191" s="183"/>
      <c r="BJ191" s="67"/>
      <c r="BK191" s="67">
        <f t="shared" si="155"/>
        <v>5250233</v>
      </c>
      <c r="BL191" s="67"/>
      <c r="BM191" s="156">
        <f t="shared" si="156"/>
        <v>5.3084691669874458E-2</v>
      </c>
      <c r="BN191" s="66">
        <f t="shared" si="157"/>
        <v>523269.35164835164</v>
      </c>
      <c r="BO191" s="67"/>
      <c r="BP191" s="67">
        <f t="shared" si="158"/>
        <v>6580348</v>
      </c>
      <c r="BQ191" s="67"/>
      <c r="BR191" s="478">
        <f t="shared" si="159"/>
        <v>6.9095883655069662E-2</v>
      </c>
      <c r="BS191" s="67"/>
      <c r="BT191" s="86"/>
      <c r="BU191" s="183"/>
      <c r="BV191" s="1"/>
      <c r="BW191" s="61">
        <f t="shared" si="164"/>
        <v>182</v>
      </c>
    </row>
    <row r="192" spans="2:75" x14ac:dyDescent="0.3">
      <c r="B192" s="171">
        <f t="shared" si="163"/>
        <v>44092</v>
      </c>
      <c r="C192" s="61"/>
      <c r="D192" s="17">
        <v>51345</v>
      </c>
      <c r="E192" s="16"/>
      <c r="F192" s="16"/>
      <c r="G192" s="16"/>
      <c r="H192" s="16">
        <f t="shared" si="139"/>
        <v>6974340</v>
      </c>
      <c r="I192" s="16"/>
      <c r="J192" s="479">
        <f t="shared" si="140"/>
        <v>7.4165877629551952E-3</v>
      </c>
      <c r="K192" s="16"/>
      <c r="L192" s="16"/>
      <c r="M192" s="16"/>
      <c r="N192" s="16">
        <f t="shared" si="141"/>
        <v>283452</v>
      </c>
      <c r="O192" s="16">
        <f t="shared" si="142"/>
        <v>38111.147540983606</v>
      </c>
      <c r="P192" s="41"/>
      <c r="Q192" s="17">
        <f t="shared" si="161"/>
        <v>283452</v>
      </c>
      <c r="R192" s="16"/>
      <c r="S192" s="60">
        <f t="shared" si="162"/>
        <v>0.14426659669378117</v>
      </c>
      <c r="T192" s="16"/>
      <c r="U192" s="41"/>
      <c r="V192" s="10">
        <f t="shared" si="109"/>
        <v>84</v>
      </c>
      <c r="W192" s="34">
        <v>958</v>
      </c>
      <c r="X192" s="33"/>
      <c r="Y192" s="33"/>
      <c r="Z192" s="33"/>
      <c r="AA192" s="33">
        <f t="shared" si="143"/>
        <v>203257</v>
      </c>
      <c r="AB192" s="33"/>
      <c r="AC192" s="46">
        <f t="shared" si="144"/>
        <v>2.914354619935363E-2</v>
      </c>
      <c r="AD192" s="33"/>
      <c r="AE192" s="33">
        <f t="shared" si="145"/>
        <v>1110.6939890710382</v>
      </c>
      <c r="AF192" s="50"/>
      <c r="AG192" s="33">
        <f t="shared" si="146"/>
        <v>5764</v>
      </c>
      <c r="AH192" s="33">
        <f t="shared" si="160"/>
        <v>461285773.34662843</v>
      </c>
      <c r="AI192" s="231">
        <f t="shared" si="147"/>
        <v>8.5499058380414314E-2</v>
      </c>
      <c r="AJ192" s="50"/>
      <c r="AK192" s="10"/>
      <c r="AL192" s="23">
        <f t="shared" si="148"/>
        <v>36855</v>
      </c>
      <c r="AM192" s="24"/>
      <c r="AN192" s="24"/>
      <c r="AO192" s="24">
        <v>178263</v>
      </c>
      <c r="AP192" s="24">
        <v>4191894</v>
      </c>
      <c r="AQ192" s="24"/>
      <c r="AR192" s="504">
        <f t="shared" si="149"/>
        <v>8.8699528452079509E-3</v>
      </c>
      <c r="AS192" s="25"/>
      <c r="AT192" s="25"/>
      <c r="AU192" s="24"/>
      <c r="AV192" s="341">
        <f t="shared" si="150"/>
        <v>0.60104526019666382</v>
      </c>
      <c r="AW192" s="341"/>
      <c r="AX192" s="24">
        <f t="shared" si="151"/>
        <v>22906.524590163935</v>
      </c>
      <c r="AY192" s="351"/>
      <c r="AZ192" s="10"/>
      <c r="BA192" s="66">
        <f t="shared" si="152"/>
        <v>988439</v>
      </c>
      <c r="BB192" s="67"/>
      <c r="BC192" s="67">
        <v>96223461</v>
      </c>
      <c r="BD192" s="67"/>
      <c r="BE192" s="67">
        <f t="shared" si="153"/>
        <v>51345</v>
      </c>
      <c r="BF192" s="67"/>
      <c r="BG192" s="156">
        <f t="shared" si="154"/>
        <v>5.1945542415869871E-2</v>
      </c>
      <c r="BH192" s="67"/>
      <c r="BI192" s="183"/>
      <c r="BJ192" s="67"/>
      <c r="BK192" s="67">
        <f t="shared" si="155"/>
        <v>5377755</v>
      </c>
      <c r="BL192" s="67"/>
      <c r="BM192" s="156">
        <f t="shared" si="156"/>
        <v>5.270823977663542E-2</v>
      </c>
      <c r="BN192" s="66">
        <f t="shared" si="157"/>
        <v>525811.26229508198</v>
      </c>
      <c r="BO192" s="67"/>
      <c r="BP192" s="67">
        <f t="shared" si="158"/>
        <v>6631693</v>
      </c>
      <c r="BQ192" s="67"/>
      <c r="BR192" s="478">
        <f t="shared" si="159"/>
        <v>6.8919709716115912E-2</v>
      </c>
      <c r="BS192" s="67"/>
      <c r="BT192" s="86"/>
      <c r="BU192" s="183"/>
      <c r="BV192" s="1"/>
      <c r="BW192" s="61">
        <f t="shared" si="164"/>
        <v>183</v>
      </c>
    </row>
    <row r="193" spans="2:75" x14ac:dyDescent="0.3">
      <c r="B193" s="171">
        <f t="shared" si="163"/>
        <v>44093</v>
      </c>
      <c r="C193" s="61"/>
      <c r="D193" s="17">
        <v>43613</v>
      </c>
      <c r="E193" s="16"/>
      <c r="F193" s="16"/>
      <c r="G193" s="16"/>
      <c r="H193" s="16">
        <f t="shared" si="139"/>
        <v>7017953</v>
      </c>
      <c r="I193" s="16"/>
      <c r="J193" s="479">
        <f t="shared" si="140"/>
        <v>6.2533515716182465E-3</v>
      </c>
      <c r="K193" s="16"/>
      <c r="L193" s="16"/>
      <c r="M193" s="16"/>
      <c r="N193" s="16">
        <f t="shared" si="141"/>
        <v>287783</v>
      </c>
      <c r="O193" s="16">
        <f t="shared" si="142"/>
        <v>38141.04891304348</v>
      </c>
      <c r="P193" s="41"/>
      <c r="Q193" s="17">
        <f t="shared" si="161"/>
        <v>287783</v>
      </c>
      <c r="R193" s="16"/>
      <c r="S193" s="60">
        <f t="shared" si="162"/>
        <v>0.17508013311283968</v>
      </c>
      <c r="T193" s="16"/>
      <c r="U193" s="41"/>
      <c r="V193" s="10">
        <f t="shared" si="109"/>
        <v>85</v>
      </c>
      <c r="W193" s="34">
        <v>658</v>
      </c>
      <c r="X193" s="33"/>
      <c r="Y193" s="33"/>
      <c r="Z193" s="33"/>
      <c r="AA193" s="33">
        <f t="shared" si="143"/>
        <v>203915</v>
      </c>
      <c r="AB193" s="33"/>
      <c r="AC193" s="46">
        <f t="shared" si="144"/>
        <v>2.9056193451281305E-2</v>
      </c>
      <c r="AD193" s="33"/>
      <c r="AE193" s="33">
        <f t="shared" si="145"/>
        <v>1108.233695652174</v>
      </c>
      <c r="AF193" s="50"/>
      <c r="AG193" s="33">
        <f t="shared" si="146"/>
        <v>5715</v>
      </c>
      <c r="AH193" s="33">
        <f t="shared" si="160"/>
        <v>461240416.34662843</v>
      </c>
      <c r="AI193" s="231">
        <f t="shared" si="147"/>
        <v>7.6271186440677971E-2</v>
      </c>
      <c r="AJ193" s="50"/>
      <c r="AK193" s="10"/>
      <c r="AL193" s="23">
        <f t="shared" si="148"/>
        <v>31799</v>
      </c>
      <c r="AM193" s="24"/>
      <c r="AN193" s="24"/>
      <c r="AO193" s="24">
        <v>178263</v>
      </c>
      <c r="AP193" s="24">
        <v>4223693</v>
      </c>
      <c r="AQ193" s="24"/>
      <c r="AR193" s="504">
        <f t="shared" si="149"/>
        <v>7.5858311302719013E-3</v>
      </c>
      <c r="AS193" s="25"/>
      <c r="AT193" s="25"/>
      <c r="AU193" s="24"/>
      <c r="AV193" s="341">
        <f t="shared" si="150"/>
        <v>0.60184116365555596</v>
      </c>
      <c r="AW193" s="341"/>
      <c r="AX193" s="24">
        <f t="shared" si="151"/>
        <v>22954.853260869564</v>
      </c>
      <c r="AY193" s="351"/>
      <c r="AZ193" s="10"/>
      <c r="BA193" s="66">
        <f t="shared" si="152"/>
        <v>1086851</v>
      </c>
      <c r="BB193" s="67"/>
      <c r="BC193" s="67">
        <v>97310312</v>
      </c>
      <c r="BD193" s="67"/>
      <c r="BE193" s="67">
        <f t="shared" si="153"/>
        <v>43613</v>
      </c>
      <c r="BF193" s="67"/>
      <c r="BG193" s="156">
        <f t="shared" si="154"/>
        <v>4.0127855612222832E-2</v>
      </c>
      <c r="BH193" s="67"/>
      <c r="BI193" s="183"/>
      <c r="BJ193" s="67"/>
      <c r="BK193" s="67">
        <f t="shared" si="155"/>
        <v>5606809</v>
      </c>
      <c r="BL193" s="67"/>
      <c r="BM193" s="156">
        <f t="shared" si="156"/>
        <v>5.1327412793979607E-2</v>
      </c>
      <c r="BN193" s="66">
        <f t="shared" si="157"/>
        <v>528860.39130434778</v>
      </c>
      <c r="BO193" s="67"/>
      <c r="BP193" s="67">
        <f t="shared" si="158"/>
        <v>6675306</v>
      </c>
      <c r="BQ193" s="67"/>
      <c r="BR193" s="478">
        <f t="shared" si="159"/>
        <v>6.8598135827578066E-2</v>
      </c>
      <c r="BS193" s="67"/>
      <c r="BT193" s="86"/>
      <c r="BU193" s="183"/>
      <c r="BV193" s="1"/>
      <c r="BW193" s="61">
        <f t="shared" si="164"/>
        <v>184</v>
      </c>
    </row>
    <row r="194" spans="2:75" x14ac:dyDescent="0.3">
      <c r="B194" s="390">
        <f t="shared" si="163"/>
        <v>44094</v>
      </c>
      <c r="C194" s="61"/>
      <c r="D194" s="17">
        <v>33386</v>
      </c>
      <c r="E194" s="16"/>
      <c r="F194" s="16"/>
      <c r="G194" s="16"/>
      <c r="H194" s="16">
        <f t="shared" si="139"/>
        <v>7051339</v>
      </c>
      <c r="I194" s="16"/>
      <c r="J194" s="479">
        <f t="shared" si="140"/>
        <v>4.7572276417354176E-3</v>
      </c>
      <c r="K194" s="16"/>
      <c r="L194" s="16"/>
      <c r="M194" s="16"/>
      <c r="N194" s="16">
        <f t="shared" si="141"/>
        <v>289312</v>
      </c>
      <c r="O194" s="16">
        <f t="shared" si="142"/>
        <v>38115.345945945948</v>
      </c>
      <c r="P194" s="41"/>
      <c r="Q194" s="17">
        <f t="shared" si="161"/>
        <v>289312</v>
      </c>
      <c r="R194" s="16"/>
      <c r="S194" s="60">
        <f t="shared" si="162"/>
        <v>0.17773109927865435</v>
      </c>
      <c r="T194" s="16"/>
      <c r="U194" s="41"/>
      <c r="V194" s="10">
        <f t="shared" si="109"/>
        <v>86</v>
      </c>
      <c r="W194" s="34">
        <v>294</v>
      </c>
      <c r="X194" s="33"/>
      <c r="Y194" s="33"/>
      <c r="Z194" s="33"/>
      <c r="AA194" s="33">
        <f t="shared" si="143"/>
        <v>204209</v>
      </c>
      <c r="AB194" s="33"/>
      <c r="AC194" s="46">
        <f t="shared" si="144"/>
        <v>2.8960315196872536E-2</v>
      </c>
      <c r="AD194" s="33"/>
      <c r="AE194" s="33">
        <f t="shared" si="145"/>
        <v>1103.8324324324324</v>
      </c>
      <c r="AF194" s="50"/>
      <c r="AG194" s="33">
        <f t="shared" si="146"/>
        <v>5617</v>
      </c>
      <c r="AH194" s="33">
        <f t="shared" si="160"/>
        <v>461189935.34662843</v>
      </c>
      <c r="AI194" s="231">
        <f t="shared" si="147"/>
        <v>6.5440060698027311E-2</v>
      </c>
      <c r="AJ194" s="50"/>
      <c r="AK194" s="10"/>
      <c r="AL194" s="23">
        <f t="shared" si="148"/>
        <v>26447</v>
      </c>
      <c r="AM194" s="24"/>
      <c r="AN194" s="24"/>
      <c r="AO194" s="24">
        <v>178263</v>
      </c>
      <c r="AP194" s="24">
        <v>4250140</v>
      </c>
      <c r="AQ194" s="24"/>
      <c r="AR194" s="504">
        <f t="shared" si="149"/>
        <v>6.2615819852437195E-3</v>
      </c>
      <c r="AS194" s="25"/>
      <c r="AT194" s="25"/>
      <c r="AU194" s="24"/>
      <c r="AV194" s="341">
        <f t="shared" si="150"/>
        <v>0.60274225930706216</v>
      </c>
      <c r="AW194" s="341"/>
      <c r="AX194" s="24">
        <f t="shared" si="151"/>
        <v>22973.72972972973</v>
      </c>
      <c r="AY194" s="351"/>
      <c r="AZ194" s="391"/>
      <c r="BA194" s="66">
        <f t="shared" si="152"/>
        <v>856297</v>
      </c>
      <c r="BB194" s="67"/>
      <c r="BC194" s="67">
        <v>98166609</v>
      </c>
      <c r="BD194" s="67"/>
      <c r="BE194" s="67">
        <f t="shared" si="153"/>
        <v>33386</v>
      </c>
      <c r="BF194" s="67"/>
      <c r="BG194" s="156">
        <f t="shared" si="154"/>
        <v>3.8988808789473743E-2</v>
      </c>
      <c r="BH194" s="67"/>
      <c r="BI194" s="183"/>
      <c r="BJ194" s="67"/>
      <c r="BK194" s="67">
        <f t="shared" si="155"/>
        <v>5763109</v>
      </c>
      <c r="BL194" s="67"/>
      <c r="BM194" s="156">
        <f t="shared" si="156"/>
        <v>5.0200681611262253E-2</v>
      </c>
      <c r="BN194" s="66">
        <f t="shared" si="157"/>
        <v>530630.31891891896</v>
      </c>
      <c r="BO194" s="67"/>
      <c r="BP194" s="67">
        <f t="shared" si="158"/>
        <v>6708692</v>
      </c>
      <c r="BQ194" s="67"/>
      <c r="BR194" s="478">
        <f t="shared" si="159"/>
        <v>6.8339856783684969E-2</v>
      </c>
      <c r="BS194" s="67"/>
      <c r="BT194" s="86"/>
      <c r="BU194" s="183"/>
      <c r="BV194" s="1"/>
      <c r="BW194" s="61">
        <f t="shared" si="164"/>
        <v>185</v>
      </c>
    </row>
    <row r="195" spans="2:75" x14ac:dyDescent="0.3">
      <c r="B195" s="171">
        <f t="shared" si="163"/>
        <v>44095</v>
      </c>
      <c r="C195" s="61"/>
      <c r="D195" s="17">
        <v>36804</v>
      </c>
      <c r="E195" s="16"/>
      <c r="F195" s="16"/>
      <c r="G195" s="16"/>
      <c r="H195" s="16">
        <f t="shared" si="139"/>
        <v>7088143</v>
      </c>
      <c r="I195" s="16"/>
      <c r="J195" s="479">
        <f t="shared" si="140"/>
        <v>5.2194342095877111E-3</v>
      </c>
      <c r="K195" s="16"/>
      <c r="L195" s="16"/>
      <c r="M195" s="16"/>
      <c r="N195" s="16">
        <f t="shared" si="141"/>
        <v>288044</v>
      </c>
      <c r="O195" s="16">
        <f t="shared" si="142"/>
        <v>38108.295698924732</v>
      </c>
      <c r="P195" s="41"/>
      <c r="Q195" s="17">
        <f t="shared" si="161"/>
        <v>288044</v>
      </c>
      <c r="R195" s="16"/>
      <c r="S195" s="60">
        <f t="shared" si="162"/>
        <v>0.11513565411298315</v>
      </c>
      <c r="T195" s="16"/>
      <c r="U195" s="41"/>
      <c r="V195" s="10">
        <f t="shared" si="109"/>
        <v>87</v>
      </c>
      <c r="W195" s="34">
        <v>384</v>
      </c>
      <c r="X195" s="33"/>
      <c r="Y195" s="33"/>
      <c r="Z195" s="33"/>
      <c r="AA195" s="33">
        <f t="shared" si="143"/>
        <v>204593</v>
      </c>
      <c r="AB195" s="33"/>
      <c r="AC195" s="46">
        <f t="shared" si="144"/>
        <v>2.8864118570971268E-2</v>
      </c>
      <c r="AD195" s="33"/>
      <c r="AE195" s="33">
        <f t="shared" si="145"/>
        <v>1099.9623655913979</v>
      </c>
      <c r="AF195" s="50"/>
      <c r="AG195" s="33">
        <f t="shared" si="146"/>
        <v>5521</v>
      </c>
      <c r="AH195" s="33">
        <f t="shared" si="160"/>
        <v>461146106.34662843</v>
      </c>
      <c r="AI195" s="231">
        <f t="shared" si="147"/>
        <v>1.0062202707647273E-2</v>
      </c>
      <c r="AJ195" s="50"/>
      <c r="AK195" s="10"/>
      <c r="AL195" s="23">
        <f t="shared" si="148"/>
        <v>49385</v>
      </c>
      <c r="AM195" s="24"/>
      <c r="AN195" s="24"/>
      <c r="AO195" s="24">
        <v>178263</v>
      </c>
      <c r="AP195" s="24">
        <v>4299525</v>
      </c>
      <c r="AQ195" s="24"/>
      <c r="AR195" s="504">
        <f t="shared" si="149"/>
        <v>1.1619617236138104E-2</v>
      </c>
      <c r="AS195" s="25"/>
      <c r="AT195" s="25"/>
      <c r="AU195" s="24"/>
      <c r="AV195" s="341">
        <f t="shared" si="150"/>
        <v>0.60657988982445754</v>
      </c>
      <c r="AW195" s="341"/>
      <c r="AX195" s="24">
        <f t="shared" si="151"/>
        <v>23115.725806451614</v>
      </c>
      <c r="AY195" s="351"/>
      <c r="AZ195" s="10"/>
      <c r="BA195" s="66">
        <f t="shared" si="152"/>
        <v>743166</v>
      </c>
      <c r="BB195" s="67"/>
      <c r="BC195" s="67">
        <v>98909775</v>
      </c>
      <c r="BD195" s="67"/>
      <c r="BE195" s="67">
        <f t="shared" si="153"/>
        <v>36804</v>
      </c>
      <c r="BF195" s="67"/>
      <c r="BG195" s="156">
        <f t="shared" si="154"/>
        <v>4.9523255907832166E-2</v>
      </c>
      <c r="BH195" s="67"/>
      <c r="BI195" s="183"/>
      <c r="BJ195" s="67"/>
      <c r="BK195" s="67">
        <f t="shared" si="155"/>
        <v>6019453</v>
      </c>
      <c r="BL195" s="67"/>
      <c r="BM195" s="156">
        <f t="shared" si="156"/>
        <v>4.7852188562648466E-2</v>
      </c>
      <c r="BN195" s="66">
        <f t="shared" si="157"/>
        <v>531772.98387096776</v>
      </c>
      <c r="BO195" s="67"/>
      <c r="BP195" s="67">
        <f t="shared" si="158"/>
        <v>6745496</v>
      </c>
      <c r="BQ195" s="67"/>
      <c r="BR195" s="478">
        <f t="shared" si="159"/>
        <v>6.8198476844174405E-2</v>
      </c>
      <c r="BS195" s="67"/>
      <c r="BT195" s="86"/>
      <c r="BU195" s="183"/>
      <c r="BV195" s="1"/>
      <c r="BW195" s="61">
        <f t="shared" si="164"/>
        <v>186</v>
      </c>
    </row>
    <row r="196" spans="2:75" x14ac:dyDescent="0.3">
      <c r="B196" s="171">
        <f t="shared" si="163"/>
        <v>44096</v>
      </c>
      <c r="C196" s="61"/>
      <c r="D196" s="17">
        <v>35696</v>
      </c>
      <c r="E196" s="16"/>
      <c r="F196" s="16"/>
      <c r="G196" s="16"/>
      <c r="H196" s="16">
        <f t="shared" si="139"/>
        <v>7123839</v>
      </c>
      <c r="I196" s="16"/>
      <c r="J196" s="479">
        <f t="shared" si="140"/>
        <v>5.0360157801556766E-3</v>
      </c>
      <c r="K196" s="16"/>
      <c r="L196" s="16"/>
      <c r="M196" s="16"/>
      <c r="N196" s="16">
        <f t="shared" si="141"/>
        <v>287293</v>
      </c>
      <c r="O196" s="16">
        <f t="shared" si="142"/>
        <v>38095.395721925132</v>
      </c>
      <c r="P196" s="41"/>
      <c r="Q196" s="17">
        <f t="shared" si="161"/>
        <v>287293</v>
      </c>
      <c r="R196" s="16"/>
      <c r="S196" s="60">
        <f t="shared" si="162"/>
        <v>7.8783532097689929E-2</v>
      </c>
      <c r="T196" s="16"/>
      <c r="U196" s="41"/>
      <c r="V196" s="10">
        <f t="shared" si="109"/>
        <v>88</v>
      </c>
      <c r="W196" s="34">
        <v>979</v>
      </c>
      <c r="X196" s="33"/>
      <c r="Y196" s="33"/>
      <c r="Z196" s="33"/>
      <c r="AA196" s="33">
        <f t="shared" si="143"/>
        <v>205572</v>
      </c>
      <c r="AB196" s="33"/>
      <c r="AC196" s="46">
        <f t="shared" si="144"/>
        <v>2.8856912684298453E-2</v>
      </c>
      <c r="AD196" s="33"/>
      <c r="AE196" s="33">
        <f t="shared" si="145"/>
        <v>1099.3155080213903</v>
      </c>
      <c r="AF196" s="50"/>
      <c r="AG196" s="33">
        <f t="shared" ref="AG196:AG204" si="165">SUM(W190:W196)</f>
        <v>5303</v>
      </c>
      <c r="AH196" s="33">
        <f t="shared" si="160"/>
        <v>461113388.34662843</v>
      </c>
      <c r="AI196" s="231">
        <f t="shared" si="147"/>
        <v>-0.14010053510621048</v>
      </c>
      <c r="AJ196" s="50"/>
      <c r="AK196" s="10"/>
      <c r="AL196" s="23">
        <f t="shared" si="148"/>
        <v>46585</v>
      </c>
      <c r="AM196" s="24"/>
      <c r="AN196" s="24"/>
      <c r="AO196" s="24">
        <v>178263</v>
      </c>
      <c r="AP196" s="24">
        <v>4346110</v>
      </c>
      <c r="AQ196" s="24"/>
      <c r="AR196" s="504">
        <f t="shared" si="149"/>
        <v>1.0834917810688389E-2</v>
      </c>
      <c r="AS196" s="25"/>
      <c r="AT196" s="25"/>
      <c r="AU196" s="24"/>
      <c r="AV196" s="341">
        <f t="shared" si="150"/>
        <v>0.61007976176890022</v>
      </c>
      <c r="AW196" s="341"/>
      <c r="AX196" s="24">
        <f t="shared" si="151"/>
        <v>23241.229946524065</v>
      </c>
      <c r="AY196" s="351"/>
      <c r="AZ196" s="10"/>
      <c r="BA196" s="66">
        <f t="shared" si="152"/>
        <v>772198</v>
      </c>
      <c r="BB196" s="67"/>
      <c r="BC196" s="67">
        <v>99681973</v>
      </c>
      <c r="BD196" s="67"/>
      <c r="BE196" s="67">
        <f t="shared" si="153"/>
        <v>35696</v>
      </c>
      <c r="BF196" s="67"/>
      <c r="BG196" s="156">
        <f t="shared" si="154"/>
        <v>4.6226485953084574E-2</v>
      </c>
      <c r="BH196" s="67"/>
      <c r="BI196" s="183"/>
      <c r="BJ196" s="67"/>
      <c r="BK196" s="67">
        <f t="shared" si="155"/>
        <v>6050015</v>
      </c>
      <c r="BL196" s="67"/>
      <c r="BM196" s="156">
        <f t="shared" si="156"/>
        <v>4.7486328546292859E-2</v>
      </c>
      <c r="BN196" s="66">
        <f t="shared" si="157"/>
        <v>533058.67914438504</v>
      </c>
      <c r="BO196" s="67"/>
      <c r="BP196" s="67">
        <f t="shared" si="158"/>
        <v>6781192</v>
      </c>
      <c r="BQ196" s="67"/>
      <c r="BR196" s="478">
        <f t="shared" si="159"/>
        <v>6.8028268260701463E-2</v>
      </c>
      <c r="BS196" s="67"/>
      <c r="BT196" s="86"/>
      <c r="BU196" s="183"/>
      <c r="BV196" s="1"/>
      <c r="BW196" s="61">
        <f t="shared" si="164"/>
        <v>187</v>
      </c>
    </row>
    <row r="197" spans="2:75" x14ac:dyDescent="0.3">
      <c r="B197" s="171">
        <f t="shared" si="163"/>
        <v>44097</v>
      </c>
      <c r="C197" s="61"/>
      <c r="D197" s="17">
        <v>41616</v>
      </c>
      <c r="E197" s="16"/>
      <c r="F197" s="16"/>
      <c r="G197" s="16"/>
      <c r="H197" s="16">
        <f t="shared" si="139"/>
        <v>7165455</v>
      </c>
      <c r="I197" s="16"/>
      <c r="J197" s="479">
        <f t="shared" si="140"/>
        <v>5.8417940102239814E-3</v>
      </c>
      <c r="K197" s="16"/>
      <c r="L197" s="16"/>
      <c r="M197" s="16"/>
      <c r="N197" s="16">
        <f t="shared" si="141"/>
        <v>288755</v>
      </c>
      <c r="O197" s="16">
        <f t="shared" si="142"/>
        <v>38114.122340425529</v>
      </c>
      <c r="P197" s="41"/>
      <c r="Q197" s="17">
        <f t="shared" si="161"/>
        <v>288755</v>
      </c>
      <c r="R197" s="16"/>
      <c r="S197" s="60">
        <f t="shared" si="162"/>
        <v>6.4640535647787989E-2</v>
      </c>
      <c r="T197" s="16"/>
      <c r="U197" s="41"/>
      <c r="V197" s="10">
        <f t="shared" si="109"/>
        <v>89</v>
      </c>
      <c r="W197" s="34">
        <v>1115</v>
      </c>
      <c r="X197" s="33"/>
      <c r="Y197" s="33"/>
      <c r="Z197" s="33"/>
      <c r="AA197" s="33">
        <f t="shared" si="143"/>
        <v>206687</v>
      </c>
      <c r="AB197" s="33"/>
      <c r="AC197" s="46">
        <f t="shared" si="144"/>
        <v>2.8844923316104838E-2</v>
      </c>
      <c r="AD197" s="33"/>
      <c r="AE197" s="33">
        <f t="shared" si="145"/>
        <v>1099.3989361702127</v>
      </c>
      <c r="AF197" s="50"/>
      <c r="AG197" s="33">
        <f t="shared" si="165"/>
        <v>5267</v>
      </c>
      <c r="AH197" s="33">
        <f t="shared" si="160"/>
        <v>461071904.34662843</v>
      </c>
      <c r="AI197" s="231">
        <f t="shared" si="147"/>
        <v>-0.13797054009819967</v>
      </c>
      <c r="AJ197" s="50"/>
      <c r="AK197" s="10"/>
      <c r="AL197" s="23">
        <f t="shared" si="148"/>
        <v>52797</v>
      </c>
      <c r="AM197" s="24"/>
      <c r="AN197" s="24"/>
      <c r="AO197" s="24">
        <v>178263</v>
      </c>
      <c r="AP197" s="24">
        <v>4398907</v>
      </c>
      <c r="AQ197" s="24"/>
      <c r="AR197" s="504">
        <f t="shared" si="149"/>
        <v>1.2148104856987052E-2</v>
      </c>
      <c r="AS197" s="25"/>
      <c r="AT197" s="25"/>
      <c r="AU197" s="24"/>
      <c r="AV197" s="341">
        <f t="shared" si="150"/>
        <v>0.61390476948079364</v>
      </c>
      <c r="AW197" s="341"/>
      <c r="AX197" s="24">
        <f t="shared" si="151"/>
        <v>23398.441489361703</v>
      </c>
      <c r="AY197" s="351"/>
      <c r="AZ197" s="10"/>
      <c r="BA197" s="66">
        <f t="shared" si="152"/>
        <v>900117</v>
      </c>
      <c r="BB197" s="67"/>
      <c r="BC197" s="67">
        <v>100582090</v>
      </c>
      <c r="BD197" s="67"/>
      <c r="BE197" s="67">
        <f t="shared" si="153"/>
        <v>41616</v>
      </c>
      <c r="BF197" s="67"/>
      <c r="BG197" s="156">
        <f t="shared" si="154"/>
        <v>4.6233989581354426E-2</v>
      </c>
      <c r="BH197" s="67"/>
      <c r="BI197" s="183"/>
      <c r="BJ197" s="67"/>
      <c r="BK197" s="67">
        <f t="shared" si="155"/>
        <v>6213023</v>
      </c>
      <c r="BL197" s="67"/>
      <c r="BM197" s="156">
        <f t="shared" si="156"/>
        <v>4.647576550094857E-2</v>
      </c>
      <c r="BN197" s="66">
        <f t="shared" si="157"/>
        <v>535011.11702127662</v>
      </c>
      <c r="BO197" s="67"/>
      <c r="BP197" s="67">
        <f t="shared" si="158"/>
        <v>6822808</v>
      </c>
      <c r="BQ197" s="67"/>
      <c r="BR197" s="478">
        <f t="shared" si="159"/>
        <v>6.7833229554088603E-2</v>
      </c>
      <c r="BS197" s="67"/>
      <c r="BT197" s="86"/>
      <c r="BU197" s="183"/>
      <c r="BV197" s="1"/>
      <c r="BW197" s="61">
        <f t="shared" si="164"/>
        <v>188</v>
      </c>
    </row>
    <row r="198" spans="2:75" x14ac:dyDescent="0.3">
      <c r="B198" s="171">
        <f t="shared" si="163"/>
        <v>44098</v>
      </c>
      <c r="C198" s="61"/>
      <c r="D198" s="17">
        <v>45355</v>
      </c>
      <c r="E198" s="16"/>
      <c r="F198" s="16"/>
      <c r="G198" s="16"/>
      <c r="H198" s="16">
        <f t="shared" si="139"/>
        <v>7210810</v>
      </c>
      <c r="I198" s="16"/>
      <c r="J198" s="479">
        <f t="shared" si="140"/>
        <v>6.3296748078105298E-3</v>
      </c>
      <c r="K198" s="16"/>
      <c r="L198" s="16"/>
      <c r="M198" s="16"/>
      <c r="N198" s="16">
        <f t="shared" si="141"/>
        <v>287815</v>
      </c>
      <c r="O198" s="16">
        <f t="shared" si="142"/>
        <v>38152.433862433863</v>
      </c>
      <c r="P198" s="41"/>
      <c r="Q198" s="17">
        <f t="shared" si="161"/>
        <v>287815</v>
      </c>
      <c r="R198" s="16"/>
      <c r="S198" s="60">
        <f t="shared" si="162"/>
        <v>3.2679480601491888E-2</v>
      </c>
      <c r="T198" s="16"/>
      <c r="U198" s="41"/>
      <c r="V198" s="10">
        <f t="shared" si="109"/>
        <v>90</v>
      </c>
      <c r="W198" s="34">
        <v>942</v>
      </c>
      <c r="X198" s="33"/>
      <c r="Y198" s="33"/>
      <c r="Z198" s="33"/>
      <c r="AA198" s="33">
        <f t="shared" si="143"/>
        <v>207629</v>
      </c>
      <c r="AB198" s="33"/>
      <c r="AC198" s="46">
        <f t="shared" si="144"/>
        <v>2.8794129924377427E-2</v>
      </c>
      <c r="AD198" s="33"/>
      <c r="AE198" s="33">
        <f t="shared" si="145"/>
        <v>1098.5661375661375</v>
      </c>
      <c r="AF198" s="50"/>
      <c r="AG198" s="33">
        <f t="shared" si="165"/>
        <v>5330</v>
      </c>
      <c r="AH198" s="33">
        <f t="shared" si="160"/>
        <v>461031806.34662843</v>
      </c>
      <c r="AI198" s="231">
        <f t="shared" si="147"/>
        <v>-9.6610169491525427E-2</v>
      </c>
      <c r="AJ198" s="50"/>
      <c r="AK198" s="10"/>
      <c r="AL198" s="23">
        <f t="shared" si="148"/>
        <v>38643</v>
      </c>
      <c r="AM198" s="24"/>
      <c r="AN198" s="24"/>
      <c r="AO198" s="24">
        <v>178263</v>
      </c>
      <c r="AP198" s="24">
        <v>4437550</v>
      </c>
      <c r="AQ198" s="24"/>
      <c r="AR198" s="504">
        <f t="shared" si="149"/>
        <v>8.7846821949179657E-3</v>
      </c>
      <c r="AS198" s="25"/>
      <c r="AT198" s="25"/>
      <c r="AU198" s="24"/>
      <c r="AV198" s="341">
        <f t="shared" si="150"/>
        <v>0.61540243051751464</v>
      </c>
      <c r="AW198" s="341"/>
      <c r="AX198" s="24">
        <f t="shared" si="151"/>
        <v>23479.100529100528</v>
      </c>
      <c r="AY198" s="351"/>
      <c r="AZ198" s="10"/>
      <c r="BA198" s="66">
        <f t="shared" si="152"/>
        <v>990101</v>
      </c>
      <c r="BB198" s="67"/>
      <c r="BC198" s="67">
        <v>101572191</v>
      </c>
      <c r="BD198" s="67"/>
      <c r="BE198" s="67">
        <f t="shared" si="153"/>
        <v>45355</v>
      </c>
      <c r="BF198" s="67"/>
      <c r="BG198" s="156">
        <f t="shared" si="154"/>
        <v>4.5808457924999574E-2</v>
      </c>
      <c r="BH198" s="67"/>
      <c r="BI198" s="183"/>
      <c r="BJ198" s="67"/>
      <c r="BK198" s="67">
        <f t="shared" si="155"/>
        <v>6337169</v>
      </c>
      <c r="BL198" s="67"/>
      <c r="BM198" s="156">
        <f t="shared" si="156"/>
        <v>4.5416967734330585E-2</v>
      </c>
      <c r="BN198" s="66">
        <f t="shared" si="157"/>
        <v>537419</v>
      </c>
      <c r="BO198" s="67"/>
      <c r="BP198" s="67">
        <f t="shared" si="158"/>
        <v>6868163</v>
      </c>
      <c r="BQ198" s="67"/>
      <c r="BR198" s="478">
        <f t="shared" si="159"/>
        <v>6.7618537440036125E-2</v>
      </c>
      <c r="BS198" s="67"/>
      <c r="BT198" s="86"/>
      <c r="BU198" s="183"/>
      <c r="BV198" s="1"/>
      <c r="BW198" s="61">
        <f t="shared" si="164"/>
        <v>189</v>
      </c>
    </row>
    <row r="199" spans="2:75" x14ac:dyDescent="0.3">
      <c r="B199" s="171">
        <f t="shared" si="163"/>
        <v>44099</v>
      </c>
      <c r="C199" s="61"/>
      <c r="D199" s="17">
        <v>53629</v>
      </c>
      <c r="E199" s="16"/>
      <c r="F199" s="16"/>
      <c r="G199" s="16"/>
      <c r="H199" s="16">
        <f t="shared" si="139"/>
        <v>7264439</v>
      </c>
      <c r="I199" s="16"/>
      <c r="J199" s="479">
        <f t="shared" si="140"/>
        <v>7.4373059337300524E-3</v>
      </c>
      <c r="K199" s="16"/>
      <c r="L199" s="16"/>
      <c r="M199" s="16"/>
      <c r="N199" s="16">
        <f t="shared" si="141"/>
        <v>290099</v>
      </c>
      <c r="O199" s="16">
        <f t="shared" si="142"/>
        <v>38233.889473684212</v>
      </c>
      <c r="P199" s="41"/>
      <c r="Q199" s="17">
        <f t="shared" si="161"/>
        <v>290099</v>
      </c>
      <c r="R199" s="16"/>
      <c r="S199" s="60">
        <f t="shared" si="162"/>
        <v>2.3450178513469654E-2</v>
      </c>
      <c r="T199" s="16"/>
      <c r="U199" s="41"/>
      <c r="V199" s="10">
        <f t="shared" si="109"/>
        <v>91</v>
      </c>
      <c r="W199" s="34">
        <v>895</v>
      </c>
      <c r="X199" s="33"/>
      <c r="Y199" s="33"/>
      <c r="Z199" s="33"/>
      <c r="AA199" s="33">
        <f t="shared" si="143"/>
        <v>208524</v>
      </c>
      <c r="AB199" s="33"/>
      <c r="AC199" s="46">
        <f t="shared" si="144"/>
        <v>2.8704763024371187E-2</v>
      </c>
      <c r="AD199" s="33"/>
      <c r="AE199" s="33">
        <f t="shared" si="145"/>
        <v>1097.4947368421053</v>
      </c>
      <c r="AF199" s="50"/>
      <c r="AG199" s="33">
        <f t="shared" si="165"/>
        <v>5267</v>
      </c>
      <c r="AH199" s="33">
        <f t="shared" si="160"/>
        <v>460987169.34662843</v>
      </c>
      <c r="AI199" s="231">
        <f t="shared" si="147"/>
        <v>-8.6224843858431641E-2</v>
      </c>
      <c r="AJ199" s="50"/>
      <c r="AK199" s="10"/>
      <c r="AL199" s="23">
        <f t="shared" si="148"/>
        <v>43169</v>
      </c>
      <c r="AM199" s="24"/>
      <c r="AN199" s="24"/>
      <c r="AO199" s="24">
        <v>178263</v>
      </c>
      <c r="AP199" s="24">
        <v>4480719</v>
      </c>
      <c r="AQ199" s="24"/>
      <c r="AR199" s="504">
        <f t="shared" si="149"/>
        <v>9.7281157395409622E-3</v>
      </c>
      <c r="AS199" s="25"/>
      <c r="AT199" s="25"/>
      <c r="AU199" s="24"/>
      <c r="AV199" s="341">
        <f t="shared" si="150"/>
        <v>0.61680179295331683</v>
      </c>
      <c r="AW199" s="341"/>
      <c r="AX199" s="24">
        <f t="shared" si="151"/>
        <v>23582.731578947369</v>
      </c>
      <c r="AY199" s="351"/>
      <c r="AZ199" s="10"/>
      <c r="BA199" s="66">
        <f t="shared" si="152"/>
        <v>975164</v>
      </c>
      <c r="BB199" s="67"/>
      <c r="BC199" s="67">
        <v>102547355</v>
      </c>
      <c r="BD199" s="67"/>
      <c r="BE199" s="67">
        <f t="shared" si="153"/>
        <v>53629</v>
      </c>
      <c r="BF199" s="67"/>
      <c r="BG199" s="156">
        <f t="shared" si="154"/>
        <v>5.4994852147946395E-2</v>
      </c>
      <c r="BH199" s="67"/>
      <c r="BI199" s="183"/>
      <c r="BJ199" s="67"/>
      <c r="BK199" s="67">
        <f t="shared" si="155"/>
        <v>6323894</v>
      </c>
      <c r="BL199" s="67"/>
      <c r="BM199" s="156">
        <f t="shared" si="156"/>
        <v>4.5873476057631576E-2</v>
      </c>
      <c r="BN199" s="66">
        <f t="shared" si="157"/>
        <v>539722.92105263157</v>
      </c>
      <c r="BO199" s="67"/>
      <c r="BP199" s="67">
        <f t="shared" si="158"/>
        <v>6921792</v>
      </c>
      <c r="BQ199" s="67"/>
      <c r="BR199" s="478">
        <f t="shared" si="159"/>
        <v>6.7498493744670457E-2</v>
      </c>
      <c r="BS199" s="67"/>
      <c r="BT199" s="86"/>
      <c r="BU199" s="183"/>
      <c r="BV199" s="1"/>
      <c r="BW199" s="61">
        <f t="shared" si="164"/>
        <v>190</v>
      </c>
    </row>
    <row r="200" spans="2:75" x14ac:dyDescent="0.3">
      <c r="B200" s="171">
        <f t="shared" si="163"/>
        <v>44100</v>
      </c>
      <c r="C200" s="61"/>
      <c r="D200" s="17">
        <v>43206</v>
      </c>
      <c r="E200" s="16"/>
      <c r="F200" s="16"/>
      <c r="G200" s="16"/>
      <c r="H200" s="16">
        <f t="shared" si="139"/>
        <v>7307645</v>
      </c>
      <c r="I200" s="16"/>
      <c r="J200" s="479">
        <f t="shared" si="140"/>
        <v>5.9476031115410291E-3</v>
      </c>
      <c r="K200" s="16"/>
      <c r="L200" s="16"/>
      <c r="M200" s="16"/>
      <c r="N200" s="16">
        <f t="shared" si="141"/>
        <v>289692</v>
      </c>
      <c r="O200" s="16">
        <f t="shared" si="142"/>
        <v>38259.921465968589</v>
      </c>
      <c r="P200" s="41"/>
      <c r="Q200" s="17">
        <f t="shared" si="161"/>
        <v>289692</v>
      </c>
      <c r="R200" s="16"/>
      <c r="S200" s="60">
        <f t="shared" si="162"/>
        <v>6.6334703578738146E-3</v>
      </c>
      <c r="T200" s="16"/>
      <c r="U200" s="41"/>
      <c r="V200" s="10">
        <f t="shared" si="109"/>
        <v>92</v>
      </c>
      <c r="W200" s="34">
        <v>737</v>
      </c>
      <c r="X200" s="33"/>
      <c r="Y200" s="33"/>
      <c r="Z200" s="33"/>
      <c r="AA200" s="33">
        <f t="shared" si="143"/>
        <v>209261</v>
      </c>
      <c r="AB200" s="33"/>
      <c r="AC200" s="46">
        <f t="shared" si="144"/>
        <v>2.8635901169254938E-2</v>
      </c>
      <c r="AD200" s="33"/>
      <c r="AE200" s="33">
        <f t="shared" si="145"/>
        <v>1095.6073298429319</v>
      </c>
      <c r="AF200" s="50"/>
      <c r="AG200" s="33">
        <f t="shared" si="165"/>
        <v>5346</v>
      </c>
      <c r="AH200" s="33">
        <f t="shared" si="160"/>
        <v>460941163.34662843</v>
      </c>
      <c r="AI200" s="231">
        <f t="shared" si="147"/>
        <v>-6.4566929133858267E-2</v>
      </c>
      <c r="AJ200" s="50"/>
      <c r="AK200" s="10"/>
      <c r="AL200" s="23">
        <f t="shared" si="148"/>
        <v>43389</v>
      </c>
      <c r="AM200" s="24"/>
      <c r="AN200" s="24"/>
      <c r="AO200" s="24">
        <v>178263</v>
      </c>
      <c r="AP200" s="24">
        <v>4524108</v>
      </c>
      <c r="AQ200" s="24"/>
      <c r="AR200" s="504">
        <f t="shared" si="149"/>
        <v>9.6834905290869612E-3</v>
      </c>
      <c r="AS200" s="25"/>
      <c r="AT200" s="25"/>
      <c r="AU200" s="24"/>
      <c r="AV200" s="341">
        <f t="shared" si="150"/>
        <v>0.61909247096704889</v>
      </c>
      <c r="AW200" s="341"/>
      <c r="AX200" s="24">
        <f t="shared" si="151"/>
        <v>23686.429319371728</v>
      </c>
      <c r="AY200" s="351"/>
      <c r="AZ200" s="10"/>
      <c r="BA200" s="66">
        <f t="shared" si="152"/>
        <v>1028168</v>
      </c>
      <c r="BB200" s="67"/>
      <c r="BC200" s="67">
        <v>103575523</v>
      </c>
      <c r="BD200" s="67"/>
      <c r="BE200" s="67">
        <f t="shared" si="153"/>
        <v>43206</v>
      </c>
      <c r="BF200" s="67"/>
      <c r="BG200" s="156">
        <f t="shared" si="154"/>
        <v>4.2022315419270005E-2</v>
      </c>
      <c r="BH200" s="67"/>
      <c r="BI200" s="183"/>
      <c r="BJ200" s="67"/>
      <c r="BK200" s="67">
        <f t="shared" si="155"/>
        <v>6265211</v>
      </c>
      <c r="BL200" s="67"/>
      <c r="BM200" s="156">
        <f t="shared" si="156"/>
        <v>4.6238187349157113E-2</v>
      </c>
      <c r="BN200" s="66">
        <f t="shared" si="157"/>
        <v>542280.22513089003</v>
      </c>
      <c r="BO200" s="67"/>
      <c r="BP200" s="67">
        <f t="shared" si="158"/>
        <v>6964998</v>
      </c>
      <c r="BQ200" s="67"/>
      <c r="BR200" s="478">
        <f t="shared" si="159"/>
        <v>6.7245598170911483E-2</v>
      </c>
      <c r="BS200" s="67"/>
      <c r="BT200" s="86"/>
      <c r="BU200" s="183"/>
      <c r="BV200" s="1"/>
      <c r="BW200" s="61">
        <f t="shared" si="164"/>
        <v>191</v>
      </c>
    </row>
    <row r="201" spans="2:75" x14ac:dyDescent="0.3">
      <c r="B201" s="390">
        <f t="shared" si="163"/>
        <v>44101</v>
      </c>
      <c r="C201" s="61"/>
      <c r="D201" s="17">
        <v>33782</v>
      </c>
      <c r="E201" s="16"/>
      <c r="F201" s="16"/>
      <c r="G201" s="16"/>
      <c r="H201" s="16">
        <f t="shared" si="139"/>
        <v>7341427</v>
      </c>
      <c r="I201" s="16"/>
      <c r="J201" s="479">
        <f t="shared" si="140"/>
        <v>4.622829926741105E-3</v>
      </c>
      <c r="K201" s="16"/>
      <c r="L201" s="16"/>
      <c r="M201" s="16"/>
      <c r="N201" s="16">
        <f t="shared" si="141"/>
        <v>290088</v>
      </c>
      <c r="O201" s="16">
        <f t="shared" si="142"/>
        <v>38236.598958333336</v>
      </c>
      <c r="P201" s="41"/>
      <c r="Q201" s="17">
        <f t="shared" si="161"/>
        <v>290088</v>
      </c>
      <c r="R201" s="16"/>
      <c r="S201" s="60">
        <f t="shared" si="162"/>
        <v>2.6822254175423075E-3</v>
      </c>
      <c r="T201" s="16"/>
      <c r="U201" s="41"/>
      <c r="V201" s="391">
        <f t="shared" si="109"/>
        <v>93</v>
      </c>
      <c r="W201" s="34">
        <v>276</v>
      </c>
      <c r="X201" s="33"/>
      <c r="Y201" s="33"/>
      <c r="Z201" s="33"/>
      <c r="AA201" s="33">
        <f t="shared" si="143"/>
        <v>209537</v>
      </c>
      <c r="AB201" s="33"/>
      <c r="AC201" s="46">
        <f t="shared" si="144"/>
        <v>2.8541726288363285E-2</v>
      </c>
      <c r="AD201" s="33"/>
      <c r="AE201" s="33">
        <f t="shared" si="145"/>
        <v>1091.3385416666667</v>
      </c>
      <c r="AF201" s="50"/>
      <c r="AG201" s="33">
        <f t="shared" si="165"/>
        <v>5328</v>
      </c>
      <c r="AH201" s="33">
        <f t="shared" si="160"/>
        <v>460891562.34662843</v>
      </c>
      <c r="AI201" s="231">
        <f t="shared" si="147"/>
        <v>-5.145095246572904E-2</v>
      </c>
      <c r="AJ201" s="50"/>
      <c r="AK201" s="10"/>
      <c r="AL201" s="23">
        <f t="shared" si="148"/>
        <v>36348</v>
      </c>
      <c r="AM201" s="24"/>
      <c r="AN201" s="24"/>
      <c r="AO201" s="24">
        <v>178263</v>
      </c>
      <c r="AP201" s="24">
        <v>4560456</v>
      </c>
      <c r="AQ201" s="24"/>
      <c r="AR201" s="504">
        <f t="shared" si="149"/>
        <v>8.0342909585712809E-3</v>
      </c>
      <c r="AS201" s="25"/>
      <c r="AT201" s="25"/>
      <c r="AU201" s="24"/>
      <c r="AV201" s="341">
        <f t="shared" si="150"/>
        <v>0.62119476227169457</v>
      </c>
      <c r="AW201" s="341"/>
      <c r="AX201" s="24">
        <f t="shared" si="151"/>
        <v>23752.375</v>
      </c>
      <c r="AY201" s="351"/>
      <c r="AZ201" s="391"/>
      <c r="BA201" s="66">
        <f t="shared" si="152"/>
        <v>759639</v>
      </c>
      <c r="BB201" s="67"/>
      <c r="BC201" s="67">
        <v>104335162</v>
      </c>
      <c r="BD201" s="67"/>
      <c r="BE201" s="67">
        <f t="shared" si="153"/>
        <v>33782</v>
      </c>
      <c r="BF201" s="67"/>
      <c r="BG201" s="156">
        <f t="shared" si="154"/>
        <v>4.4471123783797306E-2</v>
      </c>
      <c r="BH201" s="67"/>
      <c r="BI201" s="183"/>
      <c r="BJ201" s="67"/>
      <c r="BK201" s="67">
        <f t="shared" si="155"/>
        <v>6168553</v>
      </c>
      <c r="BL201" s="67"/>
      <c r="BM201" s="156">
        <f t="shared" si="156"/>
        <v>4.7026912146171072E-2</v>
      </c>
      <c r="BN201" s="66">
        <f t="shared" si="157"/>
        <v>543412.30208333337</v>
      </c>
      <c r="BO201" s="67"/>
      <c r="BP201" s="67">
        <f t="shared" si="158"/>
        <v>6998780</v>
      </c>
      <c r="BQ201" s="67"/>
      <c r="BR201" s="478">
        <f t="shared" si="159"/>
        <v>6.7079782748600131E-2</v>
      </c>
      <c r="BS201" s="67"/>
      <c r="BT201" s="86"/>
      <c r="BU201" s="183"/>
      <c r="BV201" s="1"/>
      <c r="BW201" s="61">
        <f t="shared" si="164"/>
        <v>192</v>
      </c>
    </row>
    <row r="202" spans="2:75" x14ac:dyDescent="0.3">
      <c r="B202" s="171">
        <f t="shared" si="163"/>
        <v>44102</v>
      </c>
      <c r="C202" s="61"/>
      <c r="D202" s="17">
        <v>37418</v>
      </c>
      <c r="E202" s="16"/>
      <c r="F202" s="16"/>
      <c r="G202" s="16"/>
      <c r="H202" s="16">
        <f t="shared" si="139"/>
        <v>7378845</v>
      </c>
      <c r="I202" s="16"/>
      <c r="J202" s="479">
        <f t="shared" si="140"/>
        <v>5.0968292676614509E-3</v>
      </c>
      <c r="K202" s="16"/>
      <c r="L202" s="16"/>
      <c r="M202" s="16"/>
      <c r="N202" s="16">
        <f t="shared" si="141"/>
        <v>290702</v>
      </c>
      <c r="O202" s="16">
        <f t="shared" si="142"/>
        <v>38232.357512953371</v>
      </c>
      <c r="P202" s="41"/>
      <c r="Q202" s="17">
        <f t="shared" si="161"/>
        <v>290702</v>
      </c>
      <c r="R202" s="16"/>
      <c r="S202" s="60">
        <f t="shared" si="162"/>
        <v>9.227756870478122E-3</v>
      </c>
      <c r="T202" s="16"/>
      <c r="U202" s="41"/>
      <c r="V202" s="10">
        <f t="shared" si="109"/>
        <v>94</v>
      </c>
      <c r="W202" s="34">
        <v>355</v>
      </c>
      <c r="X202" s="33"/>
      <c r="Y202" s="33"/>
      <c r="Z202" s="33"/>
      <c r="AA202" s="33">
        <f t="shared" si="143"/>
        <v>209892</v>
      </c>
      <c r="AB202" s="33"/>
      <c r="AC202" s="46">
        <f t="shared" si="144"/>
        <v>2.844510218062583E-2</v>
      </c>
      <c r="AD202" s="33"/>
      <c r="AE202" s="33">
        <f t="shared" si="145"/>
        <v>1087.5233160621763</v>
      </c>
      <c r="AF202" s="50"/>
      <c r="AG202" s="33">
        <f t="shared" si="165"/>
        <v>5299</v>
      </c>
      <c r="AH202" s="33">
        <f t="shared" si="160"/>
        <v>460848902.34662843</v>
      </c>
      <c r="AI202" s="231">
        <f t="shared" si="147"/>
        <v>-4.0210106864698426E-2</v>
      </c>
      <c r="AJ202" s="50"/>
      <c r="AK202" s="10"/>
      <c r="AL202" s="23">
        <f t="shared" si="148"/>
        <v>49180</v>
      </c>
      <c r="AM202" s="24"/>
      <c r="AN202" s="24"/>
      <c r="AO202" s="24">
        <v>178263</v>
      </c>
      <c r="AP202" s="24">
        <v>4609636</v>
      </c>
      <c r="AQ202" s="24"/>
      <c r="AR202" s="504">
        <f t="shared" si="149"/>
        <v>1.0784009318366409E-2</v>
      </c>
      <c r="AS202" s="25"/>
      <c r="AT202" s="25"/>
      <c r="AU202" s="24"/>
      <c r="AV202" s="341">
        <f t="shared" si="150"/>
        <v>0.62470969372577956</v>
      </c>
      <c r="AW202" s="341"/>
      <c r="AX202" s="24">
        <f t="shared" si="151"/>
        <v>23884.124352331608</v>
      </c>
      <c r="AY202" s="351"/>
      <c r="AZ202" s="10"/>
      <c r="BA202" s="66">
        <f t="shared" si="152"/>
        <v>1066544</v>
      </c>
      <c r="BB202" s="67"/>
      <c r="BC202" s="67">
        <v>105401706</v>
      </c>
      <c r="BD202" s="67"/>
      <c r="BE202" s="67">
        <f t="shared" si="153"/>
        <v>37418</v>
      </c>
      <c r="BF202" s="67"/>
      <c r="BG202" s="156">
        <f t="shared" si="154"/>
        <v>3.5083409592103092E-2</v>
      </c>
      <c r="BH202" s="67"/>
      <c r="BI202" s="183"/>
      <c r="BJ202" s="67"/>
      <c r="BK202" s="67">
        <f t="shared" si="155"/>
        <v>6491931</v>
      </c>
      <c r="BL202" s="67"/>
      <c r="BM202" s="156">
        <f t="shared" si="156"/>
        <v>4.4778972542992214E-2</v>
      </c>
      <c r="BN202" s="66">
        <f t="shared" si="157"/>
        <v>546122.82901554403</v>
      </c>
      <c r="BO202" s="67"/>
      <c r="BP202" s="67">
        <f t="shared" si="158"/>
        <v>7036198</v>
      </c>
      <c r="BQ202" s="67"/>
      <c r="BR202" s="478">
        <f t="shared" si="159"/>
        <v>6.6756016264101076E-2</v>
      </c>
      <c r="BS202" s="67"/>
      <c r="BT202" s="86"/>
      <c r="BU202" s="183"/>
      <c r="BV202" s="1"/>
      <c r="BW202" s="61">
        <f t="shared" si="164"/>
        <v>193</v>
      </c>
    </row>
    <row r="203" spans="2:75" x14ac:dyDescent="0.3">
      <c r="B203" s="171">
        <f t="shared" si="163"/>
        <v>44103</v>
      </c>
      <c r="C203" s="61"/>
      <c r="D203" s="17">
        <v>44227</v>
      </c>
      <c r="E203" s="16"/>
      <c r="F203" s="16"/>
      <c r="G203" s="16"/>
      <c r="H203" s="16">
        <f t="shared" si="139"/>
        <v>7423072</v>
      </c>
      <c r="I203" s="16"/>
      <c r="J203" s="479">
        <f t="shared" si="140"/>
        <v>5.9937564754375516E-3</v>
      </c>
      <c r="K203" s="16"/>
      <c r="L203" s="16"/>
      <c r="M203" s="16"/>
      <c r="N203" s="16">
        <f t="shared" si="141"/>
        <v>299233</v>
      </c>
      <c r="O203" s="16">
        <f t="shared" si="142"/>
        <v>38263.257731958765</v>
      </c>
      <c r="P203" s="41"/>
      <c r="Q203" s="17">
        <f t="shared" si="161"/>
        <v>299233</v>
      </c>
      <c r="R203" s="16"/>
      <c r="S203" s="60">
        <f t="shared" si="162"/>
        <v>4.1560358240541884E-2</v>
      </c>
      <c r="T203" s="16"/>
      <c r="U203" s="41"/>
      <c r="V203" s="10">
        <f t="shared" si="109"/>
        <v>95</v>
      </c>
      <c r="W203" s="34">
        <v>977</v>
      </c>
      <c r="X203" s="33"/>
      <c r="Y203" s="33"/>
      <c r="Z203" s="33"/>
      <c r="AA203" s="33">
        <f t="shared" si="143"/>
        <v>210869</v>
      </c>
      <c r="AB203" s="33"/>
      <c r="AC203" s="46">
        <f t="shared" si="144"/>
        <v>2.8407241637963366E-2</v>
      </c>
      <c r="AD203" s="33"/>
      <c r="AE203" s="33">
        <f t="shared" si="145"/>
        <v>1086.9536082474226</v>
      </c>
      <c r="AF203" s="50"/>
      <c r="AG203" s="33">
        <f t="shared" si="165"/>
        <v>5297</v>
      </c>
      <c r="AH203" s="33">
        <f t="shared" si="160"/>
        <v>460814921.34662843</v>
      </c>
      <c r="AI203" s="231">
        <f t="shared" si="147"/>
        <v>-1.1314350367716388E-3</v>
      </c>
      <c r="AJ203" s="50"/>
      <c r="AK203" s="10"/>
      <c r="AL203" s="23">
        <f t="shared" si="148"/>
        <v>39047</v>
      </c>
      <c r="AM203" s="24"/>
      <c r="AN203" s="24"/>
      <c r="AO203" s="24">
        <v>178263</v>
      </c>
      <c r="AP203" s="24">
        <v>4648683</v>
      </c>
      <c r="AQ203" s="24"/>
      <c r="AR203" s="504">
        <f t="shared" si="149"/>
        <v>8.4707339147819909E-3</v>
      </c>
      <c r="AS203" s="25"/>
      <c r="AT203" s="25"/>
      <c r="AU203" s="24"/>
      <c r="AV203" s="341">
        <f t="shared" si="150"/>
        <v>0.62624786611257444</v>
      </c>
      <c r="AW203" s="341"/>
      <c r="AX203" s="24">
        <f t="shared" si="151"/>
        <v>23962.283505154639</v>
      </c>
      <c r="AY203" s="351"/>
      <c r="AZ203" s="10"/>
      <c r="BA203" s="66">
        <f t="shared" si="152"/>
        <v>771516</v>
      </c>
      <c r="BB203" s="67"/>
      <c r="BC203" s="67">
        <v>106173222</v>
      </c>
      <c r="BD203" s="67"/>
      <c r="BE203" s="67">
        <f t="shared" si="153"/>
        <v>44227</v>
      </c>
      <c r="BF203" s="67"/>
      <c r="BG203" s="156">
        <f t="shared" si="154"/>
        <v>5.7324799485687916E-2</v>
      </c>
      <c r="BH203" s="67"/>
      <c r="BI203" s="183"/>
      <c r="BJ203" s="67"/>
      <c r="BK203" s="67">
        <f t="shared" si="155"/>
        <v>6491249</v>
      </c>
      <c r="BL203" s="67"/>
      <c r="BM203" s="156">
        <f t="shared" si="156"/>
        <v>4.6097908122150297E-2</v>
      </c>
      <c r="BN203" s="66">
        <f t="shared" si="157"/>
        <v>547284.64948453603</v>
      </c>
      <c r="BO203" s="67"/>
      <c r="BP203" s="67">
        <f t="shared" si="158"/>
        <v>7080425</v>
      </c>
      <c r="BQ203" s="67"/>
      <c r="BR203" s="478">
        <f t="shared" si="159"/>
        <v>6.6687483591672481E-2</v>
      </c>
      <c r="BS203" s="67"/>
      <c r="BT203" s="86"/>
      <c r="BU203" s="183"/>
      <c r="BV203" s="1"/>
      <c r="BW203" s="61">
        <f t="shared" si="164"/>
        <v>194</v>
      </c>
    </row>
    <row r="204" spans="2:75" x14ac:dyDescent="0.3">
      <c r="B204" s="171">
        <f t="shared" si="163"/>
        <v>44104</v>
      </c>
      <c r="C204" s="61"/>
      <c r="D204" s="17">
        <v>40929</v>
      </c>
      <c r="E204" s="16"/>
      <c r="F204" s="16"/>
      <c r="G204" s="16"/>
      <c r="H204" s="16">
        <f t="shared" si="139"/>
        <v>7464001</v>
      </c>
      <c r="I204" s="16"/>
      <c r="J204" s="479">
        <f t="shared" si="140"/>
        <v>5.5137549521276363E-3</v>
      </c>
      <c r="K204" s="16"/>
      <c r="L204" s="16"/>
      <c r="M204" s="16"/>
      <c r="N204" s="469">
        <f>SUM(D175:D204)</f>
        <v>1202331</v>
      </c>
      <c r="O204" s="16">
        <f t="shared" si="142"/>
        <v>38276.928205128206</v>
      </c>
      <c r="P204" s="41"/>
      <c r="Q204" s="17">
        <f t="shared" si="161"/>
        <v>298546</v>
      </c>
      <c r="R204" s="16"/>
      <c r="S204" s="60">
        <f t="shared" si="162"/>
        <v>3.3907637962978993E-2</v>
      </c>
      <c r="T204" s="16"/>
      <c r="U204" s="41"/>
      <c r="V204" s="10">
        <f t="shared" si="109"/>
        <v>96</v>
      </c>
      <c r="W204" s="34">
        <v>955</v>
      </c>
      <c r="X204" s="33"/>
      <c r="Y204" s="33"/>
      <c r="Z204" s="33"/>
      <c r="AA204" s="33">
        <f t="shared" si="143"/>
        <v>211824</v>
      </c>
      <c r="AB204" s="33"/>
      <c r="AC204" s="46">
        <f t="shared" si="144"/>
        <v>2.8379417419692202E-2</v>
      </c>
      <c r="AD204" s="33"/>
      <c r="AE204" s="33">
        <f t="shared" si="145"/>
        <v>1086.2769230769231</v>
      </c>
      <c r="AF204" s="50"/>
      <c r="AG204" s="33">
        <f t="shared" si="165"/>
        <v>5137</v>
      </c>
      <c r="AH204" s="33">
        <f t="shared" si="160"/>
        <v>460776361.34662843</v>
      </c>
      <c r="AI204" s="231">
        <f t="shared" si="147"/>
        <v>-2.468198215302829E-2</v>
      </c>
      <c r="AJ204" s="50"/>
      <c r="AK204" s="10"/>
      <c r="AL204" s="23">
        <f t="shared" si="148"/>
        <v>51023</v>
      </c>
      <c r="AM204" s="24"/>
      <c r="AN204" s="24"/>
      <c r="AO204" s="24">
        <v>178263</v>
      </c>
      <c r="AP204" s="24">
        <v>4699706</v>
      </c>
      <c r="AQ204" s="24"/>
      <c r="AR204" s="504">
        <f t="shared" si="149"/>
        <v>1.0975796800943407E-2</v>
      </c>
      <c r="AS204" s="25"/>
      <c r="AT204" s="25"/>
      <c r="AU204" s="24"/>
      <c r="AV204" s="341">
        <f t="shared" si="150"/>
        <v>0.62964970127951481</v>
      </c>
      <c r="AW204" s="341"/>
      <c r="AX204" s="24">
        <f t="shared" si="151"/>
        <v>24101.056410256409</v>
      </c>
      <c r="AY204" s="351"/>
      <c r="AZ204" s="10"/>
      <c r="BA204" s="66">
        <f t="shared" si="152"/>
        <v>1363003</v>
      </c>
      <c r="BB204" s="67"/>
      <c r="BC204" s="67">
        <v>107536225</v>
      </c>
      <c r="BD204" s="67"/>
      <c r="BE204" s="67">
        <f t="shared" si="153"/>
        <v>40929</v>
      </c>
      <c r="BF204" s="67"/>
      <c r="BG204" s="156">
        <f t="shared" si="154"/>
        <v>3.0028547259250346E-2</v>
      </c>
      <c r="BH204" s="67"/>
      <c r="BI204" s="183"/>
      <c r="BJ204" s="67"/>
      <c r="BK204" s="67">
        <f t="shared" si="155"/>
        <v>6954135</v>
      </c>
      <c r="BL204" s="67"/>
      <c r="BM204" s="156">
        <f t="shared" si="156"/>
        <v>4.2930716760603581E-2</v>
      </c>
      <c r="BN204" s="66">
        <f t="shared" si="157"/>
        <v>551467.8205128205</v>
      </c>
      <c r="BO204" s="67"/>
      <c r="BP204" s="67">
        <f t="shared" si="158"/>
        <v>7121354</v>
      </c>
      <c r="BQ204" s="67"/>
      <c r="BR204" s="478">
        <f t="shared" si="159"/>
        <v>6.6222837932054995E-2</v>
      </c>
      <c r="BS204" s="67"/>
      <c r="BT204" s="86"/>
      <c r="BU204" s="183"/>
      <c r="BV204" s="1"/>
      <c r="BW204" s="61">
        <f t="shared" si="164"/>
        <v>195</v>
      </c>
    </row>
    <row r="205" spans="2:75" x14ac:dyDescent="0.3">
      <c r="B205" s="171">
        <f t="shared" si="163"/>
        <v>44105</v>
      </c>
      <c r="C205" s="61"/>
      <c r="D205" s="17">
        <v>47389</v>
      </c>
      <c r="E205" s="16"/>
      <c r="F205" s="16"/>
      <c r="G205" s="16"/>
      <c r="H205" s="16">
        <f t="shared" si="139"/>
        <v>7511390</v>
      </c>
      <c r="I205" s="16"/>
      <c r="J205" s="479">
        <f t="shared" si="140"/>
        <v>6.3490077238735629E-3</v>
      </c>
      <c r="K205" s="16"/>
      <c r="L205" s="16"/>
      <c r="M205" s="16"/>
      <c r="N205" s="16">
        <f t="shared" si="141"/>
        <v>300580</v>
      </c>
      <c r="O205" s="16">
        <f t="shared" si="142"/>
        <v>38323.418367346938</v>
      </c>
      <c r="P205" s="41"/>
      <c r="Q205" s="17">
        <f t="shared" si="161"/>
        <v>300580</v>
      </c>
      <c r="R205" s="16"/>
      <c r="S205" s="60">
        <f t="shared" si="162"/>
        <v>4.4351406285287422E-2</v>
      </c>
      <c r="T205" s="16"/>
      <c r="U205" s="41"/>
      <c r="V205" s="10">
        <f t="shared" si="109"/>
        <v>97</v>
      </c>
      <c r="W205" s="34">
        <v>920</v>
      </c>
      <c r="X205" s="33"/>
      <c r="Y205" s="33"/>
      <c r="Z205" s="33"/>
      <c r="AA205" s="33">
        <f t="shared" si="143"/>
        <v>212744</v>
      </c>
      <c r="AB205" s="33"/>
      <c r="AC205" s="46">
        <f t="shared" si="144"/>
        <v>2.8322853692858446E-2</v>
      </c>
      <c r="AD205" s="33"/>
      <c r="AE205" s="33">
        <f t="shared" si="145"/>
        <v>1085.4285714285713</v>
      </c>
      <c r="AF205" s="50"/>
      <c r="AG205" s="33">
        <f t="shared" ref="AG205:AG212" si="166">SUM(W199:W205)</f>
        <v>5115</v>
      </c>
      <c r="AH205" s="33">
        <f t="shared" si="160"/>
        <v>460734382.34662843</v>
      </c>
      <c r="AI205" s="231">
        <f t="shared" si="147"/>
        <v>-4.0337711069418386E-2</v>
      </c>
      <c r="AJ205" s="50"/>
      <c r="AK205" s="10"/>
      <c r="AL205" s="23">
        <f t="shared" si="148"/>
        <v>36915</v>
      </c>
      <c r="AM205" s="24"/>
      <c r="AN205" s="24"/>
      <c r="AO205" s="24">
        <v>178263</v>
      </c>
      <c r="AP205" s="24">
        <v>4736621</v>
      </c>
      <c r="AQ205" s="24"/>
      <c r="AR205" s="504">
        <f t="shared" si="149"/>
        <v>7.8547466586207735E-3</v>
      </c>
      <c r="AS205" s="25"/>
      <c r="AT205" s="25"/>
      <c r="AU205" s="24"/>
      <c r="AV205" s="341">
        <f t="shared" si="150"/>
        <v>0.63059180790772418</v>
      </c>
      <c r="AW205" s="341"/>
      <c r="AX205" s="24">
        <f t="shared" si="151"/>
        <v>24166.433673469386</v>
      </c>
      <c r="AY205" s="351"/>
      <c r="AZ205" s="10"/>
      <c r="BA205" s="66">
        <f t="shared" si="152"/>
        <v>895735</v>
      </c>
      <c r="BB205" s="67"/>
      <c r="BC205" s="67">
        <v>108431960</v>
      </c>
      <c r="BD205" s="67"/>
      <c r="BE205" s="67">
        <f t="shared" si="153"/>
        <v>47389</v>
      </c>
      <c r="BF205" s="67"/>
      <c r="BG205" s="156">
        <f t="shared" si="154"/>
        <v>5.2905156100855721E-2</v>
      </c>
      <c r="BH205" s="67"/>
      <c r="BI205" s="183"/>
      <c r="BJ205" s="67"/>
      <c r="BK205" s="67">
        <f t="shared" si="155"/>
        <v>6859769</v>
      </c>
      <c r="BL205" s="67"/>
      <c r="BM205" s="156">
        <f t="shared" si="156"/>
        <v>4.3817802028027472E-2</v>
      </c>
      <c r="BN205" s="66">
        <f t="shared" si="157"/>
        <v>553224.28571428568</v>
      </c>
      <c r="BO205" s="67"/>
      <c r="BP205" s="67">
        <f t="shared" si="158"/>
        <v>7168743</v>
      </c>
      <c r="BQ205" s="67"/>
      <c r="BR205" s="478">
        <f t="shared" si="159"/>
        <v>6.6112823193456988E-2</v>
      </c>
      <c r="BS205" s="67"/>
      <c r="BT205" s="86"/>
      <c r="BU205" s="183"/>
      <c r="BV205" s="1"/>
      <c r="BW205" s="61">
        <f t="shared" si="164"/>
        <v>196</v>
      </c>
    </row>
    <row r="206" spans="2:75" x14ac:dyDescent="0.3">
      <c r="B206" s="171">
        <f t="shared" si="163"/>
        <v>44106</v>
      </c>
      <c r="C206" s="61"/>
      <c r="D206" s="17">
        <v>51403</v>
      </c>
      <c r="E206" s="16"/>
      <c r="F206" s="16"/>
      <c r="G206" s="16"/>
      <c r="H206" s="16">
        <f t="shared" si="139"/>
        <v>7562793</v>
      </c>
      <c r="I206" s="16"/>
      <c r="J206" s="479">
        <f t="shared" si="140"/>
        <v>6.8433405801056795E-3</v>
      </c>
      <c r="K206" s="16"/>
      <c r="L206" s="16"/>
      <c r="M206" s="16"/>
      <c r="N206" s="16">
        <f t="shared" si="141"/>
        <v>298354</v>
      </c>
      <c r="O206" s="16">
        <f t="shared" si="142"/>
        <v>38389.812182741116</v>
      </c>
      <c r="P206" s="41"/>
      <c r="Q206" s="17">
        <f t="shared" si="161"/>
        <v>298354</v>
      </c>
      <c r="R206" s="16"/>
      <c r="S206" s="60">
        <f t="shared" si="162"/>
        <v>2.8455803018969387E-2</v>
      </c>
      <c r="T206" s="16"/>
      <c r="U206" s="41"/>
      <c r="V206" s="10">
        <f t="shared" si="109"/>
        <v>98</v>
      </c>
      <c r="W206" s="34">
        <v>864</v>
      </c>
      <c r="X206" s="33"/>
      <c r="Y206" s="33"/>
      <c r="Z206" s="33"/>
      <c r="AA206" s="33">
        <f t="shared" si="143"/>
        <v>213608</v>
      </c>
      <c r="AB206" s="33"/>
      <c r="AC206" s="46">
        <f t="shared" si="144"/>
        <v>2.8244591647556664E-2</v>
      </c>
      <c r="AD206" s="33"/>
      <c r="AE206" s="33">
        <f t="shared" si="145"/>
        <v>1084.3045685279187</v>
      </c>
      <c r="AF206" s="50"/>
      <c r="AG206" s="33">
        <f t="shared" si="166"/>
        <v>5084</v>
      </c>
      <c r="AH206" s="33">
        <f t="shared" si="160"/>
        <v>460693171.34662843</v>
      </c>
      <c r="AI206" s="231">
        <f t="shared" si="147"/>
        <v>-3.4744636415416745E-2</v>
      </c>
      <c r="AJ206" s="50"/>
      <c r="AK206" s="10"/>
      <c r="AL206" s="23">
        <f t="shared" si="148"/>
        <v>40203</v>
      </c>
      <c r="AM206" s="24"/>
      <c r="AN206" s="24"/>
      <c r="AO206" s="24">
        <v>178263</v>
      </c>
      <c r="AP206" s="24">
        <v>4776824</v>
      </c>
      <c r="AQ206" s="24"/>
      <c r="AR206" s="504">
        <f t="shared" si="149"/>
        <v>8.4876961867964527E-3</v>
      </c>
      <c r="AS206" s="25"/>
      <c r="AT206" s="25"/>
      <c r="AU206" s="24"/>
      <c r="AV206" s="341">
        <f t="shared" si="150"/>
        <v>0.63162167733534424</v>
      </c>
      <c r="AW206" s="341"/>
      <c r="AX206" s="24">
        <f t="shared" si="151"/>
        <v>24247.837563451776</v>
      </c>
      <c r="AY206" s="351"/>
      <c r="AZ206" s="10"/>
      <c r="BA206" s="66">
        <f t="shared" si="152"/>
        <v>1138486</v>
      </c>
      <c r="BB206" s="67"/>
      <c r="BC206" s="67">
        <v>109570446</v>
      </c>
      <c r="BD206" s="67"/>
      <c r="BE206" s="67">
        <f t="shared" si="153"/>
        <v>51403</v>
      </c>
      <c r="BF206" s="67"/>
      <c r="BG206" s="156">
        <f t="shared" si="154"/>
        <v>4.515031366217942E-2</v>
      </c>
      <c r="BH206" s="67"/>
      <c r="BI206" s="183"/>
      <c r="BJ206" s="67"/>
      <c r="BK206" s="67">
        <f t="shared" si="155"/>
        <v>7023091</v>
      </c>
      <c r="BL206" s="67"/>
      <c r="BM206" s="156">
        <f t="shared" si="156"/>
        <v>4.2481864466799593E-2</v>
      </c>
      <c r="BN206" s="66">
        <f t="shared" si="157"/>
        <v>556195.15736040613</v>
      </c>
      <c r="BO206" s="67"/>
      <c r="BP206" s="67">
        <f t="shared" si="158"/>
        <v>7220146</v>
      </c>
      <c r="BQ206" s="67"/>
      <c r="BR206" s="478">
        <f t="shared" si="159"/>
        <v>6.589501333233598E-2</v>
      </c>
      <c r="BS206" s="67"/>
      <c r="BT206" s="86"/>
      <c r="BU206" s="183"/>
      <c r="BV206" s="1"/>
      <c r="BW206" s="61">
        <f t="shared" si="164"/>
        <v>197</v>
      </c>
    </row>
    <row r="207" spans="2:75" x14ac:dyDescent="0.3">
      <c r="B207" s="171">
        <f t="shared" si="163"/>
        <v>44107</v>
      </c>
      <c r="C207" s="61"/>
      <c r="D207" s="17">
        <v>48925</v>
      </c>
      <c r="E207" s="16"/>
      <c r="F207" s="16"/>
      <c r="G207" s="16"/>
      <c r="H207" s="16">
        <f t="shared" si="139"/>
        <v>7611718</v>
      </c>
      <c r="I207" s="16"/>
      <c r="J207" s="479">
        <f t="shared" si="140"/>
        <v>6.4691708473311382E-3</v>
      </c>
      <c r="K207" s="16"/>
      <c r="L207" s="16"/>
      <c r="M207" s="16"/>
      <c r="N207" s="16">
        <f t="shared" si="141"/>
        <v>304073</v>
      </c>
      <c r="O207" s="16">
        <f t="shared" si="142"/>
        <v>38443.020202020205</v>
      </c>
      <c r="P207" s="41"/>
      <c r="Q207" s="17">
        <f t="shared" si="161"/>
        <v>304073</v>
      </c>
      <c r="R207" s="16"/>
      <c r="S207" s="60">
        <f t="shared" si="162"/>
        <v>4.9642378802314181E-2</v>
      </c>
      <c r="T207" s="16"/>
      <c r="U207" s="41"/>
      <c r="V207" s="10">
        <f t="shared" si="109"/>
        <v>99</v>
      </c>
      <c r="W207" s="34">
        <v>755</v>
      </c>
      <c r="X207" s="33"/>
      <c r="Y207" s="33"/>
      <c r="Z207" s="33"/>
      <c r="AA207" s="33">
        <f t="shared" si="143"/>
        <v>214363</v>
      </c>
      <c r="AB207" s="33"/>
      <c r="AC207" s="46">
        <f t="shared" si="144"/>
        <v>2.8162236173226596E-2</v>
      </c>
      <c r="AD207" s="33"/>
      <c r="AE207" s="33">
        <f t="shared" si="145"/>
        <v>1082.6414141414141</v>
      </c>
      <c r="AF207" s="50"/>
      <c r="AG207" s="33">
        <f t="shared" si="166"/>
        <v>5102</v>
      </c>
      <c r="AH207" s="33">
        <f t="shared" si="160"/>
        <v>460647707.34662843</v>
      </c>
      <c r="AI207" s="231">
        <f t="shared" si="147"/>
        <v>-4.5641601197156753E-2</v>
      </c>
      <c r="AJ207" s="50"/>
      <c r="AK207" s="10"/>
      <c r="AL207" s="23">
        <f t="shared" si="148"/>
        <v>41685</v>
      </c>
      <c r="AM207" s="24"/>
      <c r="AN207" s="24"/>
      <c r="AO207" s="24">
        <v>178263</v>
      </c>
      <c r="AP207" s="24">
        <v>4818509</v>
      </c>
      <c r="AQ207" s="24"/>
      <c r="AR207" s="504">
        <f t="shared" si="149"/>
        <v>8.7265094966865013E-3</v>
      </c>
      <c r="AS207" s="25"/>
      <c r="AT207" s="25"/>
      <c r="AU207" s="24"/>
      <c r="AV207" s="341">
        <f t="shared" si="150"/>
        <v>0.63303829700469727</v>
      </c>
      <c r="AW207" s="341"/>
      <c r="AX207" s="24">
        <f t="shared" si="151"/>
        <v>24335.904040404039</v>
      </c>
      <c r="AY207" s="351"/>
      <c r="AZ207" s="10"/>
      <c r="BA207" s="66">
        <f t="shared" si="152"/>
        <v>955837</v>
      </c>
      <c r="BB207" s="67"/>
      <c r="BC207" s="67">
        <v>110526283</v>
      </c>
      <c r="BD207" s="67"/>
      <c r="BE207" s="67">
        <f t="shared" si="153"/>
        <v>48925</v>
      </c>
      <c r="BF207" s="67"/>
      <c r="BG207" s="156">
        <f t="shared" si="154"/>
        <v>5.1185505478444547E-2</v>
      </c>
      <c r="BH207" s="67"/>
      <c r="BI207" s="183"/>
      <c r="BJ207" s="67"/>
      <c r="BK207" s="67">
        <f t="shared" si="155"/>
        <v>6950760</v>
      </c>
      <c r="BL207" s="67"/>
      <c r="BM207" s="156">
        <f t="shared" si="156"/>
        <v>4.3746726976618383E-2</v>
      </c>
      <c r="BN207" s="66">
        <f t="shared" si="157"/>
        <v>558213.55050505046</v>
      </c>
      <c r="BO207" s="67"/>
      <c r="BP207" s="67">
        <f t="shared" si="158"/>
        <v>7269071</v>
      </c>
      <c r="BQ207" s="67"/>
      <c r="BR207" s="478">
        <f t="shared" si="159"/>
        <v>6.5767804749210651E-2</v>
      </c>
      <c r="BS207" s="67"/>
      <c r="BT207" s="86"/>
      <c r="BU207" s="183"/>
      <c r="BV207" s="1"/>
      <c r="BW207" s="61">
        <f t="shared" si="164"/>
        <v>198</v>
      </c>
    </row>
    <row r="208" spans="2:75" x14ac:dyDescent="0.3">
      <c r="B208" s="390">
        <f t="shared" si="163"/>
        <v>44108</v>
      </c>
      <c r="C208" s="61"/>
      <c r="D208" s="17">
        <v>34066</v>
      </c>
      <c r="E208" s="16"/>
      <c r="F208" s="16"/>
      <c r="G208" s="16"/>
      <c r="H208" s="16">
        <f t="shared" si="139"/>
        <v>7645784</v>
      </c>
      <c r="I208" s="16"/>
      <c r="J208" s="479">
        <f t="shared" si="140"/>
        <v>4.4754679561171337E-3</v>
      </c>
      <c r="K208" s="16"/>
      <c r="L208" s="16"/>
      <c r="M208" s="16"/>
      <c r="N208" s="16">
        <f t="shared" si="141"/>
        <v>304357</v>
      </c>
      <c r="O208" s="16">
        <f t="shared" si="142"/>
        <v>38421.025125628141</v>
      </c>
      <c r="P208" s="41"/>
      <c r="Q208" s="17">
        <f t="shared" si="161"/>
        <v>304357</v>
      </c>
      <c r="R208" s="16"/>
      <c r="S208" s="60">
        <f t="shared" si="162"/>
        <v>4.9188522103637514E-2</v>
      </c>
      <c r="T208" s="16"/>
      <c r="U208" s="41"/>
      <c r="V208" s="391">
        <f t="shared" si="109"/>
        <v>100</v>
      </c>
      <c r="W208" s="34">
        <v>332</v>
      </c>
      <c r="X208" s="33"/>
      <c r="Y208" s="33"/>
      <c r="Z208" s="33"/>
      <c r="AA208" s="33">
        <f t="shared" si="143"/>
        <v>214695</v>
      </c>
      <c r="AB208" s="33"/>
      <c r="AC208" s="46">
        <f t="shared" si="144"/>
        <v>2.8080181182204466E-2</v>
      </c>
      <c r="AD208" s="33"/>
      <c r="AE208" s="33">
        <f t="shared" si="145"/>
        <v>1078.8693467336684</v>
      </c>
      <c r="AF208" s="50"/>
      <c r="AG208" s="33">
        <f t="shared" si="166"/>
        <v>5158</v>
      </c>
      <c r="AH208" s="33">
        <f t="shared" si="160"/>
        <v>460594858.34662843</v>
      </c>
      <c r="AI208" s="231">
        <f t="shared" si="147"/>
        <v>-3.1906906906906909E-2</v>
      </c>
      <c r="AJ208" s="50"/>
      <c r="AK208" s="10"/>
      <c r="AL208" s="23">
        <f t="shared" si="148"/>
        <v>30529</v>
      </c>
      <c r="AM208" s="24"/>
      <c r="AN208" s="24"/>
      <c r="AO208" s="24">
        <v>178263</v>
      </c>
      <c r="AP208" s="24">
        <v>4849038</v>
      </c>
      <c r="AQ208" s="24"/>
      <c r="AR208" s="504">
        <f t="shared" si="149"/>
        <v>6.3357773120274342E-3</v>
      </c>
      <c r="AS208" s="25"/>
      <c r="AT208" s="25"/>
      <c r="AU208" s="24"/>
      <c r="AV208" s="341">
        <f t="shared" si="150"/>
        <v>0.63421069703250832</v>
      </c>
      <c r="AW208" s="341"/>
      <c r="AX208" s="24">
        <f t="shared" si="151"/>
        <v>24367.025125628141</v>
      </c>
      <c r="AY208" s="351"/>
      <c r="AZ208" s="391"/>
      <c r="BA208" s="66">
        <f t="shared" si="152"/>
        <v>943983</v>
      </c>
      <c r="BB208" s="67"/>
      <c r="BC208" s="67">
        <v>111470266</v>
      </c>
      <c r="BD208" s="67"/>
      <c r="BE208" s="67">
        <f t="shared" si="153"/>
        <v>34066</v>
      </c>
      <c r="BF208" s="67"/>
      <c r="BG208" s="156">
        <f t="shared" si="154"/>
        <v>3.6087514287863234E-2</v>
      </c>
      <c r="BH208" s="67"/>
      <c r="BI208" s="183"/>
      <c r="BJ208" s="67"/>
      <c r="BK208" s="67">
        <f t="shared" si="155"/>
        <v>7135104</v>
      </c>
      <c r="BL208" s="67"/>
      <c r="BM208" s="156">
        <f t="shared" si="156"/>
        <v>4.2656280833467883E-2</v>
      </c>
      <c r="BN208" s="66">
        <f t="shared" si="157"/>
        <v>560152.09045226127</v>
      </c>
      <c r="BO208" s="67"/>
      <c r="BP208" s="67">
        <f t="shared" si="158"/>
        <v>7303137</v>
      </c>
      <c r="BQ208" s="67"/>
      <c r="BR208" s="478">
        <f t="shared" si="159"/>
        <v>6.5516457994278049E-2</v>
      </c>
      <c r="BS208" s="67"/>
      <c r="BT208" s="86"/>
      <c r="BU208" s="183"/>
      <c r="BV208" s="1"/>
      <c r="BW208" s="61">
        <f t="shared" si="164"/>
        <v>199</v>
      </c>
    </row>
    <row r="209" spans="2:75" x14ac:dyDescent="0.3">
      <c r="B209" s="171">
        <f t="shared" si="163"/>
        <v>44109</v>
      </c>
      <c r="C209" s="61"/>
      <c r="D209" s="17">
        <v>37717</v>
      </c>
      <c r="E209" s="16"/>
      <c r="F209" s="16"/>
      <c r="G209" s="16"/>
      <c r="H209" s="16">
        <f t="shared" si="139"/>
        <v>7683501</v>
      </c>
      <c r="I209" s="16"/>
      <c r="J209" s="479">
        <f t="shared" si="140"/>
        <v>4.9330454535466868E-3</v>
      </c>
      <c r="K209" s="16"/>
      <c r="L209" s="16"/>
      <c r="M209" s="16"/>
      <c r="N209" s="16">
        <f t="shared" si="141"/>
        <v>304656</v>
      </c>
      <c r="O209" s="16">
        <f t="shared" si="142"/>
        <v>38417.504999999997</v>
      </c>
      <c r="P209" s="41"/>
      <c r="Q209" s="17">
        <f t="shared" si="161"/>
        <v>304656</v>
      </c>
      <c r="R209" s="16"/>
      <c r="S209" s="60">
        <f t="shared" si="162"/>
        <v>4.8001045744439322E-2</v>
      </c>
      <c r="T209" s="16"/>
      <c r="U209" s="41"/>
      <c r="V209" s="10">
        <f t="shared" si="109"/>
        <v>101</v>
      </c>
      <c r="W209" s="34">
        <v>348</v>
      </c>
      <c r="X209" s="33"/>
      <c r="Y209" s="33"/>
      <c r="Z209" s="33"/>
      <c r="AA209" s="33">
        <f t="shared" si="143"/>
        <v>215043</v>
      </c>
      <c r="AB209" s="33"/>
      <c r="AC209" s="46">
        <f t="shared" si="144"/>
        <v>2.7987632200477359E-2</v>
      </c>
      <c r="AD209" s="33"/>
      <c r="AE209" s="33">
        <f t="shared" si="145"/>
        <v>1075.2149999999999</v>
      </c>
      <c r="AF209" s="50"/>
      <c r="AG209" s="33">
        <f t="shared" si="166"/>
        <v>5151</v>
      </c>
      <c r="AH209" s="33">
        <f t="shared" si="160"/>
        <v>460552766.34662843</v>
      </c>
      <c r="AI209" s="231">
        <f t="shared" si="147"/>
        <v>-2.7929798075108512E-2</v>
      </c>
      <c r="AJ209" s="50"/>
      <c r="AK209" s="10"/>
      <c r="AL209" s="23">
        <f t="shared" si="148"/>
        <v>38801</v>
      </c>
      <c r="AM209" s="24"/>
      <c r="AN209" s="24"/>
      <c r="AO209" s="24">
        <v>178263</v>
      </c>
      <c r="AP209" s="24">
        <v>4887839</v>
      </c>
      <c r="AQ209" s="24"/>
      <c r="AR209" s="504">
        <f t="shared" si="149"/>
        <v>8.0017933454017073E-3</v>
      </c>
      <c r="AS209" s="25"/>
      <c r="AT209" s="25"/>
      <c r="AU209" s="24"/>
      <c r="AV209" s="341">
        <f t="shared" si="150"/>
        <v>0.63614737604641425</v>
      </c>
      <c r="AW209" s="341"/>
      <c r="AX209" s="24">
        <f t="shared" si="151"/>
        <v>24439.195</v>
      </c>
      <c r="AY209" s="351"/>
      <c r="AZ209" s="10"/>
      <c r="BA209" s="66">
        <f t="shared" si="152"/>
        <v>901908</v>
      </c>
      <c r="BB209" s="67"/>
      <c r="BC209" s="67">
        <v>112372174</v>
      </c>
      <c r="BD209" s="67"/>
      <c r="BE209" s="67">
        <f t="shared" si="153"/>
        <v>37717</v>
      </c>
      <c r="BF209" s="67"/>
      <c r="BG209" s="156">
        <f t="shared" si="154"/>
        <v>4.1819121240747395E-2</v>
      </c>
      <c r="BH209" s="67"/>
      <c r="BI209" s="183"/>
      <c r="BJ209" s="67"/>
      <c r="BK209" s="67">
        <f t="shared" si="155"/>
        <v>6970468</v>
      </c>
      <c r="BL209" s="67"/>
      <c r="BM209" s="156">
        <f t="shared" si="156"/>
        <v>4.3706677944723368E-2</v>
      </c>
      <c r="BN209" s="66">
        <f t="shared" si="157"/>
        <v>561860.87</v>
      </c>
      <c r="BO209" s="67"/>
      <c r="BP209" s="67">
        <f t="shared" si="158"/>
        <v>7340854</v>
      </c>
      <c r="BQ209" s="67"/>
      <c r="BR209" s="478">
        <f t="shared" si="159"/>
        <v>6.5326261286001289E-2</v>
      </c>
      <c r="BS209" s="67"/>
      <c r="BT209" s="86"/>
      <c r="BU209" s="183"/>
      <c r="BV209" s="1"/>
      <c r="BW209" s="61">
        <f t="shared" si="164"/>
        <v>200</v>
      </c>
    </row>
    <row r="210" spans="2:75" x14ac:dyDescent="0.3">
      <c r="B210" s="171">
        <f t="shared" si="163"/>
        <v>44110</v>
      </c>
      <c r="C210" s="61"/>
      <c r="D210" s="17">
        <v>44668</v>
      </c>
      <c r="E210" s="16"/>
      <c r="F210" s="16"/>
      <c r="G210" s="16"/>
      <c r="H210" s="16">
        <f t="shared" si="139"/>
        <v>7728169</v>
      </c>
      <c r="I210" s="16"/>
      <c r="J210" s="479">
        <f t="shared" si="140"/>
        <v>5.8134956968184165E-3</v>
      </c>
      <c r="K210" s="16"/>
      <c r="L210" s="16"/>
      <c r="M210" s="16"/>
      <c r="N210" s="16">
        <f t="shared" si="141"/>
        <v>305097</v>
      </c>
      <c r="O210" s="16">
        <f t="shared" si="142"/>
        <v>38448.601990049749</v>
      </c>
      <c r="P210" s="41"/>
      <c r="Q210" s="17">
        <f t="shared" si="161"/>
        <v>305097</v>
      </c>
      <c r="R210" s="16"/>
      <c r="S210" s="60">
        <f t="shared" si="162"/>
        <v>1.9596769072929791E-2</v>
      </c>
      <c r="T210" s="16"/>
      <c r="U210" s="41"/>
      <c r="V210" s="10">
        <f t="shared" si="109"/>
        <v>102</v>
      </c>
      <c r="W210" s="34">
        <v>808</v>
      </c>
      <c r="X210" s="33"/>
      <c r="Y210" s="33"/>
      <c r="Z210" s="33"/>
      <c r="AA210" s="33">
        <f t="shared" si="143"/>
        <v>215851</v>
      </c>
      <c r="AB210" s="33"/>
      <c r="AC210" s="46">
        <f t="shared" si="144"/>
        <v>2.7930419223492653E-2</v>
      </c>
      <c r="AD210" s="33"/>
      <c r="AE210" s="33">
        <f t="shared" si="145"/>
        <v>1073.8855721393036</v>
      </c>
      <c r="AF210" s="50"/>
      <c r="AG210" s="33">
        <f t="shared" si="166"/>
        <v>4982</v>
      </c>
      <c r="AH210" s="33">
        <f t="shared" si="160"/>
        <v>460521656.34662843</v>
      </c>
      <c r="AI210" s="231">
        <f t="shared" si="147"/>
        <v>-5.9467623182933735E-2</v>
      </c>
      <c r="AJ210" s="50"/>
      <c r="AK210" s="10"/>
      <c r="AL210" s="23">
        <f t="shared" si="148"/>
        <v>47706</v>
      </c>
      <c r="AM210" s="24"/>
      <c r="AN210" s="24"/>
      <c r="AO210" s="24">
        <v>178263</v>
      </c>
      <c r="AP210" s="24">
        <v>4935545</v>
      </c>
      <c r="AQ210" s="24"/>
      <c r="AR210" s="504">
        <f t="shared" si="149"/>
        <v>9.7601414449207512E-3</v>
      </c>
      <c r="AS210" s="25"/>
      <c r="AT210" s="25"/>
      <c r="AU210" s="24"/>
      <c r="AV210" s="341">
        <f t="shared" si="150"/>
        <v>0.63864351310122747</v>
      </c>
      <c r="AW210" s="341"/>
      <c r="AX210" s="24">
        <f t="shared" si="151"/>
        <v>24554.95024875622</v>
      </c>
      <c r="AY210" s="351"/>
      <c r="AZ210" s="10"/>
      <c r="BA210" s="66">
        <f t="shared" si="152"/>
        <v>947144</v>
      </c>
      <c r="BB210" s="67"/>
      <c r="BC210" s="67">
        <v>113319318</v>
      </c>
      <c r="BD210" s="67"/>
      <c r="BE210" s="67">
        <f t="shared" si="153"/>
        <v>44668</v>
      </c>
      <c r="BF210" s="67"/>
      <c r="BG210" s="156">
        <f t="shared" si="154"/>
        <v>4.7160727407870397E-2</v>
      </c>
      <c r="BH210" s="67"/>
      <c r="BI210" s="183"/>
      <c r="BJ210" s="67"/>
      <c r="BK210" s="67">
        <f t="shared" si="155"/>
        <v>7146096</v>
      </c>
      <c r="BL210" s="67"/>
      <c r="BM210" s="156">
        <f t="shared" si="156"/>
        <v>4.2694220732551032E-2</v>
      </c>
      <c r="BN210" s="66">
        <f t="shared" si="157"/>
        <v>563777.70149253728</v>
      </c>
      <c r="BO210" s="67"/>
      <c r="BP210" s="67">
        <f t="shared" si="158"/>
        <v>7385522</v>
      </c>
      <c r="BQ210" s="67"/>
      <c r="BR210" s="478">
        <f t="shared" si="159"/>
        <v>6.5174430364997427E-2</v>
      </c>
      <c r="BS210" s="67"/>
      <c r="BT210" s="86"/>
      <c r="BU210" s="183"/>
      <c r="BV210" s="1"/>
      <c r="BW210" s="61">
        <f t="shared" si="164"/>
        <v>201</v>
      </c>
    </row>
    <row r="211" spans="2:75" x14ac:dyDescent="0.3">
      <c r="B211" s="171">
        <f t="shared" si="163"/>
        <v>44111</v>
      </c>
      <c r="C211" s="61"/>
      <c r="D211" s="17">
        <v>49358</v>
      </c>
      <c r="E211" s="16"/>
      <c r="F211" s="16"/>
      <c r="G211" s="16"/>
      <c r="H211" s="16">
        <f t="shared" si="139"/>
        <v>7777527</v>
      </c>
      <c r="I211" s="16"/>
      <c r="J211" s="479">
        <f t="shared" si="140"/>
        <v>6.3867650927405964E-3</v>
      </c>
      <c r="K211" s="16"/>
      <c r="L211" s="16"/>
      <c r="M211" s="16"/>
      <c r="N211" s="16">
        <f t="shared" si="141"/>
        <v>313526</v>
      </c>
      <c r="O211" s="16">
        <f t="shared" si="142"/>
        <v>38502.608910891089</v>
      </c>
      <c r="P211" s="41"/>
      <c r="Q211" s="17">
        <f t="shared" si="161"/>
        <v>313526</v>
      </c>
      <c r="R211" s="16"/>
      <c r="S211" s="60">
        <f t="shared" si="162"/>
        <v>5.0176522210982559E-2</v>
      </c>
      <c r="T211" s="16"/>
      <c r="U211" s="41"/>
      <c r="V211" s="10">
        <f t="shared" si="109"/>
        <v>103</v>
      </c>
      <c r="W211" s="34">
        <v>930</v>
      </c>
      <c r="X211" s="33"/>
      <c r="Y211" s="33"/>
      <c r="Z211" s="33"/>
      <c r="AA211" s="33">
        <f t="shared" si="143"/>
        <v>216781</v>
      </c>
      <c r="AB211" s="33"/>
      <c r="AC211" s="46">
        <f t="shared" si="144"/>
        <v>2.7872741553966962E-2</v>
      </c>
      <c r="AD211" s="33"/>
      <c r="AE211" s="33">
        <f t="shared" si="145"/>
        <v>1073.1732673267327</v>
      </c>
      <c r="AF211" s="50"/>
      <c r="AG211" s="33">
        <f t="shared" si="166"/>
        <v>4957</v>
      </c>
      <c r="AH211" s="33">
        <f t="shared" si="160"/>
        <v>460496236.34662843</v>
      </c>
      <c r="AI211" s="231">
        <f t="shared" si="147"/>
        <v>-3.5039906560249176E-2</v>
      </c>
      <c r="AJ211" s="50"/>
      <c r="AK211" s="10"/>
      <c r="AL211" s="23">
        <f t="shared" si="148"/>
        <v>47835</v>
      </c>
      <c r="AM211" s="24"/>
      <c r="AN211" s="24"/>
      <c r="AO211" s="24">
        <v>178263</v>
      </c>
      <c r="AP211" s="24">
        <v>4983380</v>
      </c>
      <c r="AQ211" s="24"/>
      <c r="AR211" s="504">
        <f t="shared" si="149"/>
        <v>9.6919387828497162E-3</v>
      </c>
      <c r="AS211" s="25"/>
      <c r="AT211" s="25"/>
      <c r="AU211" s="24"/>
      <c r="AV211" s="341">
        <f t="shared" si="150"/>
        <v>0.64074094503304202</v>
      </c>
      <c r="AW211" s="341"/>
      <c r="AX211" s="24">
        <f t="shared" si="151"/>
        <v>24670.198019801981</v>
      </c>
      <c r="AY211" s="351"/>
      <c r="AZ211" s="10"/>
      <c r="BA211" s="66">
        <f t="shared" si="152"/>
        <v>839531</v>
      </c>
      <c r="BB211" s="67"/>
      <c r="BC211" s="67">
        <v>114158849</v>
      </c>
      <c r="BD211" s="67"/>
      <c r="BE211" s="67">
        <f t="shared" si="153"/>
        <v>49358</v>
      </c>
      <c r="BF211" s="67"/>
      <c r="BG211" s="156">
        <f t="shared" si="154"/>
        <v>5.8792349538015869E-2</v>
      </c>
      <c r="BH211" s="67"/>
      <c r="BI211" s="183"/>
      <c r="BJ211" s="67"/>
      <c r="BK211" s="67">
        <f t="shared" si="155"/>
        <v>6622624</v>
      </c>
      <c r="BL211" s="67"/>
      <c r="BM211" s="156">
        <f t="shared" si="156"/>
        <v>4.7341657928941759E-2</v>
      </c>
      <c r="BN211" s="66">
        <f t="shared" si="157"/>
        <v>565142.81683168316</v>
      </c>
      <c r="BO211" s="67"/>
      <c r="BP211" s="67">
        <f t="shared" si="158"/>
        <v>7434880</v>
      </c>
      <c r="BQ211" s="67"/>
      <c r="BR211" s="478">
        <f t="shared" si="159"/>
        <v>6.5127496161072898E-2</v>
      </c>
      <c r="BS211" s="67"/>
      <c r="BT211" s="86"/>
      <c r="BU211" s="183"/>
      <c r="BV211" s="1"/>
      <c r="BW211" s="61">
        <f t="shared" si="164"/>
        <v>202</v>
      </c>
    </row>
    <row r="212" spans="2:75" x14ac:dyDescent="0.3">
      <c r="B212" s="171">
        <f t="shared" si="163"/>
        <v>44112</v>
      </c>
      <c r="C212" s="61"/>
      <c r="D212" s="17">
        <v>57318</v>
      </c>
      <c r="E212" s="16"/>
      <c r="F212" s="16"/>
      <c r="G212" s="16"/>
      <c r="H212" s="16">
        <f t="shared" si="139"/>
        <v>7834845</v>
      </c>
      <c r="I212" s="16"/>
      <c r="J212" s="479">
        <f t="shared" si="140"/>
        <v>7.3696947628725685E-3</v>
      </c>
      <c r="K212" s="16"/>
      <c r="L212" s="16"/>
      <c r="M212" s="16"/>
      <c r="N212" s="16">
        <f t="shared" si="141"/>
        <v>323455</v>
      </c>
      <c r="O212" s="16">
        <f t="shared" si="142"/>
        <v>38595.295566502464</v>
      </c>
      <c r="P212" s="41"/>
      <c r="Q212" s="17">
        <f t="shared" si="161"/>
        <v>323455</v>
      </c>
      <c r="R212" s="16"/>
      <c r="S212" s="60">
        <f t="shared" si="162"/>
        <v>7.6102867788941375E-2</v>
      </c>
      <c r="T212" s="16"/>
      <c r="U212" s="41"/>
      <c r="V212" s="10">
        <f t="shared" si="109"/>
        <v>104</v>
      </c>
      <c r="W212" s="34">
        <v>957</v>
      </c>
      <c r="X212" s="33"/>
      <c r="Y212" s="33"/>
      <c r="Z212" s="33"/>
      <c r="AA212" s="33">
        <f t="shared" si="143"/>
        <v>217738</v>
      </c>
      <c r="AB212" s="33"/>
      <c r="AC212" s="46">
        <f t="shared" si="144"/>
        <v>2.7790977358199173E-2</v>
      </c>
      <c r="AD212" s="33"/>
      <c r="AE212" s="33">
        <f t="shared" si="145"/>
        <v>1072.6009852216748</v>
      </c>
      <c r="AF212" s="50"/>
      <c r="AG212" s="33">
        <f t="shared" si="166"/>
        <v>4994</v>
      </c>
      <c r="AH212" s="33">
        <f t="shared" si="160"/>
        <v>460467797.34662843</v>
      </c>
      <c r="AI212" s="231">
        <f t="shared" si="147"/>
        <v>-2.3655913978494623E-2</v>
      </c>
      <c r="AJ212" s="50"/>
      <c r="AK212" s="10"/>
      <c r="AL212" s="23">
        <f t="shared" si="148"/>
        <v>41813</v>
      </c>
      <c r="AM212" s="24"/>
      <c r="AN212" s="24"/>
      <c r="AO212" s="24">
        <v>178263</v>
      </c>
      <c r="AP212" s="24">
        <v>5025193</v>
      </c>
      <c r="AQ212" s="24"/>
      <c r="AR212" s="504">
        <f t="shared" si="149"/>
        <v>8.3904899887225128E-3</v>
      </c>
      <c r="AS212" s="25"/>
      <c r="AT212" s="25"/>
      <c r="AU212" s="24"/>
      <c r="AV212" s="341">
        <f t="shared" si="150"/>
        <v>0.6413902253331113</v>
      </c>
      <c r="AW212" s="341"/>
      <c r="AX212" s="24">
        <f t="shared" si="151"/>
        <v>24754.645320197043</v>
      </c>
      <c r="AY212" s="351"/>
      <c r="AZ212" s="10"/>
      <c r="BA212" s="66">
        <f t="shared" si="152"/>
        <v>1184966</v>
      </c>
      <c r="BB212" s="67"/>
      <c r="BC212" s="67">
        <v>115343815</v>
      </c>
      <c r="BD212" s="67"/>
      <c r="BE212" s="67">
        <f t="shared" si="153"/>
        <v>57318</v>
      </c>
      <c r="BF212" s="67"/>
      <c r="BG212" s="156">
        <f t="shared" si="154"/>
        <v>4.8371008113312956E-2</v>
      </c>
      <c r="BH212" s="67"/>
      <c r="BI212" s="183"/>
      <c r="BJ212" s="67"/>
      <c r="BK212" s="67">
        <f t="shared" si="155"/>
        <v>6911855</v>
      </c>
      <c r="BL212" s="67"/>
      <c r="BM212" s="156">
        <f t="shared" si="156"/>
        <v>4.67971333310667E-2</v>
      </c>
      <c r="BN212" s="66">
        <f t="shared" si="157"/>
        <v>568196.13300492615</v>
      </c>
      <c r="BO212" s="67"/>
      <c r="BP212" s="67">
        <f t="shared" si="158"/>
        <v>7492198</v>
      </c>
      <c r="BQ212" s="67"/>
      <c r="BR212" s="478">
        <f t="shared" si="159"/>
        <v>6.4955351095331806E-2</v>
      </c>
      <c r="BS212" s="67"/>
      <c r="BT212" s="86"/>
      <c r="BU212" s="183"/>
      <c r="BV212" s="1"/>
      <c r="BW212" s="61">
        <f t="shared" si="164"/>
        <v>203</v>
      </c>
    </row>
    <row r="213" spans="2:75" x14ac:dyDescent="0.3">
      <c r="B213" s="171">
        <f t="shared" si="163"/>
        <v>44113</v>
      </c>
      <c r="C213" s="61"/>
      <c r="D213" s="17">
        <v>60983</v>
      </c>
      <c r="E213" s="16"/>
      <c r="F213" s="16"/>
      <c r="G213" s="16"/>
      <c r="H213" s="16">
        <f t="shared" ref="H213:H222" si="167">+H212+D213</f>
        <v>7895828</v>
      </c>
      <c r="I213" s="16"/>
      <c r="J213" s="479">
        <f t="shared" ref="J213:J222" si="168">+D213/H212</f>
        <v>7.783561767973712E-3</v>
      </c>
      <c r="K213" s="16"/>
      <c r="L213" s="16"/>
      <c r="M213" s="16"/>
      <c r="N213" s="16">
        <f>SUM(D207:D213)</f>
        <v>333035</v>
      </c>
      <c r="O213" s="16">
        <f t="shared" ref="O213:O222" si="169">+H213/BW213</f>
        <v>38705.039215686273</v>
      </c>
      <c r="P213" s="41"/>
      <c r="Q213" s="17">
        <f t="shared" si="161"/>
        <v>333035</v>
      </c>
      <c r="R213" s="16"/>
      <c r="S213" s="60">
        <f t="shared" si="162"/>
        <v>0.11624110955442193</v>
      </c>
      <c r="T213" s="16"/>
      <c r="U213" s="41"/>
      <c r="V213" s="10">
        <f t="shared" si="109"/>
        <v>105</v>
      </c>
      <c r="W213" s="34">
        <v>909</v>
      </c>
      <c r="X213" s="33"/>
      <c r="Y213" s="33"/>
      <c r="Z213" s="33"/>
      <c r="AA213" s="33">
        <f t="shared" ref="AA213:AA222" si="170">+AA212+W213</f>
        <v>218647</v>
      </c>
      <c r="AB213" s="33"/>
      <c r="AC213" s="46">
        <f t="shared" ref="AC213:AC222" si="171">+AA213/H213</f>
        <v>2.7691459337766729E-2</v>
      </c>
      <c r="AD213" s="33"/>
      <c r="AE213" s="33">
        <f t="shared" ref="AE213:AE222" si="172">+AA213/BW213</f>
        <v>1071.7990196078431</v>
      </c>
      <c r="AF213" s="50"/>
      <c r="AG213" s="33">
        <f t="shared" ref="AG213:AG222" si="173">SUM(W207:W213)</f>
        <v>5039</v>
      </c>
      <c r="AH213" s="33">
        <f t="shared" si="160"/>
        <v>460432554.34662843</v>
      </c>
      <c r="AI213" s="231">
        <f t="shared" ref="AI213:AI222" si="174">+(AG213-AG206)/AG206</f>
        <v>-8.8512981904012595E-3</v>
      </c>
      <c r="AJ213" s="50"/>
      <c r="AK213" s="10"/>
      <c r="AL213" s="23">
        <f t="shared" ref="AL213:AL222" si="175">+AP213-AP212</f>
        <v>39107</v>
      </c>
      <c r="AM213" s="24"/>
      <c r="AN213" s="24"/>
      <c r="AO213" s="24">
        <v>178263</v>
      </c>
      <c r="AP213" s="24">
        <v>5064300</v>
      </c>
      <c r="AQ213" s="24"/>
      <c r="AR213" s="504">
        <f t="shared" ref="AR213:AR222" si="176">+AL213/AP212</f>
        <v>7.7821886641965795E-3</v>
      </c>
      <c r="AS213" s="25"/>
      <c r="AT213" s="25"/>
      <c r="AU213" s="24"/>
      <c r="AV213" s="341">
        <f t="shared" ref="AV213:AV222" si="177">+AP213/H213</f>
        <v>0.64138935143977305</v>
      </c>
      <c r="AW213" s="341"/>
      <c r="AX213" s="24">
        <f t="shared" ref="AX213:AX222" si="178">+AP213/BW213</f>
        <v>24825</v>
      </c>
      <c r="AY213" s="351"/>
      <c r="AZ213" s="10"/>
      <c r="BA213" s="66">
        <f t="shared" ref="BA213:BA222" si="179">+BC213-BC212</f>
        <v>1154320</v>
      </c>
      <c r="BB213" s="67"/>
      <c r="BC213" s="67">
        <v>116498135</v>
      </c>
      <c r="BD213" s="67"/>
      <c r="BE213" s="67">
        <f t="shared" ref="BE213:BE222" si="180">+D213</f>
        <v>60983</v>
      </c>
      <c r="BF213" s="67"/>
      <c r="BG213" s="156">
        <f t="shared" ref="BG213:BG222" si="181">+BE213/BA213</f>
        <v>5.2830237715711416E-2</v>
      </c>
      <c r="BH213" s="67"/>
      <c r="BI213" s="183"/>
      <c r="BJ213" s="67"/>
      <c r="BK213" s="67">
        <f t="shared" ref="BK213:BK222" si="182">SUM(BA207:BA213)</f>
        <v>6927689</v>
      </c>
      <c r="BL213" s="67"/>
      <c r="BM213" s="156">
        <f t="shared" ref="BM213:BM222" si="183">+Q213/BK213</f>
        <v>4.8073029837222774E-2</v>
      </c>
      <c r="BN213" s="66">
        <f t="shared" ref="BN213:BN222" si="184">+BC213/BW213</f>
        <v>571069.28921568627</v>
      </c>
      <c r="BO213" s="67"/>
      <c r="BP213" s="67">
        <f t="shared" ref="BP213:BP222" si="185">+BP212+BE213</f>
        <v>7553181</v>
      </c>
      <c r="BQ213" s="67"/>
      <c r="BR213" s="478">
        <f t="shared" ref="BR213:BR222" si="186">+BP213/BC213</f>
        <v>6.4835209593698651E-2</v>
      </c>
      <c r="BS213" s="67"/>
      <c r="BT213" s="86"/>
      <c r="BU213" s="183"/>
      <c r="BV213" s="1"/>
      <c r="BW213" s="61">
        <f t="shared" si="164"/>
        <v>204</v>
      </c>
    </row>
    <row r="214" spans="2:75" x14ac:dyDescent="0.3">
      <c r="B214" s="171">
        <f t="shared" si="163"/>
        <v>44114</v>
      </c>
      <c r="C214" s="61"/>
      <c r="D214" s="17">
        <v>54235</v>
      </c>
      <c r="E214" s="16"/>
      <c r="F214" s="16"/>
      <c r="G214" s="16"/>
      <c r="H214" s="16">
        <f t="shared" si="167"/>
        <v>7950063</v>
      </c>
      <c r="I214" s="16"/>
      <c r="J214" s="479">
        <f t="shared" si="168"/>
        <v>6.8688173045309501E-3</v>
      </c>
      <c r="K214" s="16"/>
      <c r="L214" s="16"/>
      <c r="M214" s="16"/>
      <c r="N214" s="16">
        <f>SUM(D205:D214)</f>
        <v>486062</v>
      </c>
      <c r="O214" s="16">
        <f t="shared" si="169"/>
        <v>38780.795121951218</v>
      </c>
      <c r="P214" s="41"/>
      <c r="Q214" s="17">
        <f t="shared" si="161"/>
        <v>338345</v>
      </c>
      <c r="R214" s="16"/>
      <c r="S214" s="60">
        <f t="shared" si="162"/>
        <v>0.1127097769285665</v>
      </c>
      <c r="T214" s="16"/>
      <c r="U214" s="41"/>
      <c r="V214" s="10">
        <f t="shared" si="109"/>
        <v>106</v>
      </c>
      <c r="W214" s="34">
        <v>723</v>
      </c>
      <c r="X214" s="33"/>
      <c r="Y214" s="33"/>
      <c r="Z214" s="33"/>
      <c r="AA214" s="33">
        <f t="shared" si="170"/>
        <v>219370</v>
      </c>
      <c r="AB214" s="33"/>
      <c r="AC214" s="46">
        <f t="shared" si="171"/>
        <v>2.7593492026415388E-2</v>
      </c>
      <c r="AD214" s="33"/>
      <c r="AE214" s="33">
        <f t="shared" si="172"/>
        <v>1070.0975609756097</v>
      </c>
      <c r="AF214" s="50"/>
      <c r="AG214" s="33">
        <f t="shared" si="173"/>
        <v>5007</v>
      </c>
      <c r="AH214" s="33">
        <f t="shared" si="160"/>
        <v>460393743.34662843</v>
      </c>
      <c r="AI214" s="231">
        <f t="shared" si="174"/>
        <v>-1.8620148961191688E-2</v>
      </c>
      <c r="AJ214" s="50"/>
      <c r="AK214" s="10"/>
      <c r="AL214" s="23">
        <f t="shared" si="175"/>
        <v>25542</v>
      </c>
      <c r="AM214" s="24"/>
      <c r="AN214" s="24"/>
      <c r="AO214" s="24">
        <v>178263</v>
      </c>
      <c r="AP214" s="24">
        <v>5089842</v>
      </c>
      <c r="AQ214" s="24"/>
      <c r="AR214" s="504">
        <f t="shared" si="176"/>
        <v>5.0435400746401283E-3</v>
      </c>
      <c r="AS214" s="25"/>
      <c r="AT214" s="25"/>
      <c r="AU214" s="24"/>
      <c r="AV214" s="341">
        <f t="shared" si="177"/>
        <v>0.6402266246192011</v>
      </c>
      <c r="AW214" s="341"/>
      <c r="AX214" s="24">
        <f t="shared" si="178"/>
        <v>24828.497560975611</v>
      </c>
      <c r="AY214" s="351"/>
      <c r="AZ214" s="10"/>
      <c r="BA214" s="66">
        <f t="shared" si="179"/>
        <v>1103287</v>
      </c>
      <c r="BB214" s="67"/>
      <c r="BC214" s="67">
        <v>117601422</v>
      </c>
      <c r="BD214" s="67"/>
      <c r="BE214" s="67">
        <f t="shared" si="180"/>
        <v>54235</v>
      </c>
      <c r="BF214" s="67"/>
      <c r="BG214" s="156">
        <f t="shared" si="181"/>
        <v>4.9157653448286799E-2</v>
      </c>
      <c r="BH214" s="67"/>
      <c r="BI214" s="183"/>
      <c r="BJ214" s="67"/>
      <c r="BK214" s="67">
        <f t="shared" si="182"/>
        <v>7075139</v>
      </c>
      <c r="BL214" s="67"/>
      <c r="BM214" s="156">
        <f t="shared" si="183"/>
        <v>4.7821675305601767E-2</v>
      </c>
      <c r="BN214" s="66">
        <f t="shared" si="184"/>
        <v>573665.47317073168</v>
      </c>
      <c r="BO214" s="67"/>
      <c r="BP214" s="67">
        <f t="shared" si="185"/>
        <v>7607416</v>
      </c>
      <c r="BQ214" s="67"/>
      <c r="BR214" s="478">
        <f t="shared" si="186"/>
        <v>6.4688129366326882E-2</v>
      </c>
      <c r="BS214" s="67"/>
      <c r="BT214" s="86"/>
      <c r="BU214" s="183"/>
      <c r="BV214" s="1"/>
      <c r="BW214" s="61">
        <f t="shared" si="164"/>
        <v>205</v>
      </c>
    </row>
    <row r="215" spans="2:75" x14ac:dyDescent="0.3">
      <c r="B215" s="390">
        <f t="shared" si="163"/>
        <v>44115</v>
      </c>
      <c r="C215" s="61"/>
      <c r="D215" s="17">
        <v>41935</v>
      </c>
      <c r="E215" s="16"/>
      <c r="F215" s="16"/>
      <c r="G215" s="16"/>
      <c r="H215" s="16">
        <f t="shared" si="167"/>
        <v>7991998</v>
      </c>
      <c r="I215" s="16"/>
      <c r="J215" s="479">
        <f t="shared" si="168"/>
        <v>5.2748009669860482E-3</v>
      </c>
      <c r="K215" s="16"/>
      <c r="L215" s="16"/>
      <c r="M215" s="16"/>
      <c r="N215" s="469">
        <f t="shared" ref="N215:N222" si="187">SUM(D209:D215)</f>
        <v>346214</v>
      </c>
      <c r="O215" s="16">
        <f t="shared" si="169"/>
        <v>38796.106796116503</v>
      </c>
      <c r="P215" s="41"/>
      <c r="Q215" s="17">
        <f t="shared" si="161"/>
        <v>346214</v>
      </c>
      <c r="R215" s="16"/>
      <c r="S215" s="60">
        <f t="shared" si="162"/>
        <v>0.13752599743064889</v>
      </c>
      <c r="T215" s="16"/>
      <c r="U215" s="41"/>
      <c r="V215" s="391">
        <f t="shared" si="109"/>
        <v>107</v>
      </c>
      <c r="W215" s="34">
        <v>325</v>
      </c>
      <c r="X215" s="33"/>
      <c r="Y215" s="33"/>
      <c r="Z215" s="33"/>
      <c r="AA215" s="33">
        <f t="shared" si="170"/>
        <v>219695</v>
      </c>
      <c r="AB215" s="33"/>
      <c r="AC215" s="46">
        <f t="shared" si="171"/>
        <v>2.7489371243586396E-2</v>
      </c>
      <c r="AD215" s="33"/>
      <c r="AE215" s="33">
        <f t="shared" si="172"/>
        <v>1066.4805825242718</v>
      </c>
      <c r="AF215" s="50"/>
      <c r="AG215" s="33">
        <f t="shared" si="173"/>
        <v>5000</v>
      </c>
      <c r="AH215" s="33">
        <f t="shared" si="160"/>
        <v>460347143.34662843</v>
      </c>
      <c r="AI215" s="231">
        <f t="shared" si="174"/>
        <v>-3.0632027917797598E-2</v>
      </c>
      <c r="AJ215" s="50"/>
      <c r="AK215" s="10"/>
      <c r="AL215" s="23">
        <f t="shared" si="175"/>
        <v>38320</v>
      </c>
      <c r="AM215" s="24"/>
      <c r="AN215" s="24"/>
      <c r="AO215" s="24">
        <v>178263</v>
      </c>
      <c r="AP215" s="24">
        <v>5128162</v>
      </c>
      <c r="AQ215" s="24"/>
      <c r="AR215" s="504">
        <f t="shared" si="176"/>
        <v>7.5287209308265365E-3</v>
      </c>
      <c r="AS215" s="25"/>
      <c r="AT215" s="25"/>
      <c r="AU215" s="24"/>
      <c r="AV215" s="341">
        <f t="shared" si="177"/>
        <v>0.64166207248800611</v>
      </c>
      <c r="AW215" s="341"/>
      <c r="AX215" s="24">
        <f t="shared" si="178"/>
        <v>24893.990291262136</v>
      </c>
      <c r="AY215" s="351"/>
      <c r="AZ215" s="391"/>
      <c r="BA215" s="66">
        <f t="shared" si="179"/>
        <v>885476</v>
      </c>
      <c r="BB215" s="67"/>
      <c r="BC215" s="67">
        <v>118486898</v>
      </c>
      <c r="BD215" s="67"/>
      <c r="BE215" s="67">
        <f t="shared" si="180"/>
        <v>41935</v>
      </c>
      <c r="BF215" s="67"/>
      <c r="BG215" s="156">
        <f t="shared" si="181"/>
        <v>4.7358708762292825E-2</v>
      </c>
      <c r="BH215" s="67"/>
      <c r="BI215" s="183"/>
      <c r="BJ215" s="67"/>
      <c r="BK215" s="67">
        <f t="shared" si="182"/>
        <v>7016632</v>
      </c>
      <c r="BL215" s="67"/>
      <c r="BM215" s="156">
        <f t="shared" si="183"/>
        <v>4.9341906487328967E-2</v>
      </c>
      <c r="BN215" s="66">
        <f t="shared" si="184"/>
        <v>575179.11650485441</v>
      </c>
      <c r="BO215" s="67"/>
      <c r="BP215" s="67">
        <f t="shared" si="185"/>
        <v>7649351</v>
      </c>
      <c r="BQ215" s="67"/>
      <c r="BR215" s="478">
        <f t="shared" si="186"/>
        <v>6.4558623182117567E-2</v>
      </c>
      <c r="BS215" s="67"/>
      <c r="BT215" s="86"/>
      <c r="BU215" s="183"/>
      <c r="BV215" s="1"/>
      <c r="BW215" s="61">
        <f t="shared" si="164"/>
        <v>206</v>
      </c>
    </row>
    <row r="216" spans="2:75" x14ac:dyDescent="0.3">
      <c r="B216" s="171">
        <f t="shared" si="163"/>
        <v>44116</v>
      </c>
      <c r="C216" s="61"/>
      <c r="D216" s="17">
        <v>45791</v>
      </c>
      <c r="E216" s="16"/>
      <c r="F216" s="16"/>
      <c r="G216" s="16"/>
      <c r="H216" s="16">
        <f t="shared" si="167"/>
        <v>8037789</v>
      </c>
      <c r="I216" s="16"/>
      <c r="J216" s="479">
        <f t="shared" si="168"/>
        <v>5.7296060384399499E-3</v>
      </c>
      <c r="K216" s="16"/>
      <c r="L216" s="16"/>
      <c r="M216" s="16"/>
      <c r="N216" s="16">
        <f t="shared" si="187"/>
        <v>354288</v>
      </c>
      <c r="O216" s="16">
        <f t="shared" si="169"/>
        <v>38829.89855072464</v>
      </c>
      <c r="P216" s="41"/>
      <c r="Q216" s="17">
        <f t="shared" si="161"/>
        <v>354288</v>
      </c>
      <c r="R216" s="16"/>
      <c r="S216" s="60">
        <f t="shared" si="162"/>
        <v>0.16291161178509533</v>
      </c>
      <c r="T216" s="16"/>
      <c r="U216" s="41"/>
      <c r="V216" s="10">
        <f t="shared" si="109"/>
        <v>108</v>
      </c>
      <c r="W216" s="34">
        <v>316</v>
      </c>
      <c r="X216" s="33"/>
      <c r="Y216" s="33"/>
      <c r="Z216" s="33"/>
      <c r="AA216" s="33">
        <f t="shared" si="170"/>
        <v>220011</v>
      </c>
      <c r="AB216" s="33"/>
      <c r="AC216" s="46">
        <f t="shared" si="171"/>
        <v>2.7372079560685159E-2</v>
      </c>
      <c r="AD216" s="33"/>
      <c r="AE216" s="33">
        <f t="shared" si="172"/>
        <v>1062.855072463768</v>
      </c>
      <c r="AF216" s="50"/>
      <c r="AG216" s="33">
        <f t="shared" si="173"/>
        <v>4968</v>
      </c>
      <c r="AH216" s="33">
        <f t="shared" ref="AH216:AH247" si="188">SUM(D187:D361)</f>
        <v>460307861.34662843</v>
      </c>
      <c r="AI216" s="231">
        <f t="shared" si="174"/>
        <v>-3.5527082119976704E-2</v>
      </c>
      <c r="AJ216" s="50"/>
      <c r="AK216" s="10"/>
      <c r="AL216" s="23">
        <f t="shared" si="175"/>
        <v>56453</v>
      </c>
      <c r="AM216" s="24"/>
      <c r="AN216" s="24"/>
      <c r="AO216" s="24">
        <v>178263</v>
      </c>
      <c r="AP216" s="24">
        <v>5184615</v>
      </c>
      <c r="AQ216" s="24"/>
      <c r="AR216" s="504">
        <f t="shared" si="176"/>
        <v>1.1008427580875954E-2</v>
      </c>
      <c r="AS216" s="25"/>
      <c r="AT216" s="25"/>
      <c r="AU216" s="24"/>
      <c r="AV216" s="341">
        <f t="shared" si="177"/>
        <v>0.64502999518897552</v>
      </c>
      <c r="AW216" s="341"/>
      <c r="AX216" s="24">
        <f t="shared" si="178"/>
        <v>25046.44927536232</v>
      </c>
      <c r="AY216" s="351"/>
      <c r="AZ216" s="10"/>
      <c r="BA216" s="66">
        <f t="shared" si="179"/>
        <v>1010726</v>
      </c>
      <c r="BB216" s="67"/>
      <c r="BC216" s="67">
        <v>119497624</v>
      </c>
      <c r="BD216" s="67"/>
      <c r="BE216" s="67">
        <f t="shared" si="180"/>
        <v>45791</v>
      </c>
      <c r="BF216" s="67"/>
      <c r="BG216" s="156">
        <f t="shared" si="181"/>
        <v>4.5305057948444978E-2</v>
      </c>
      <c r="BH216" s="67"/>
      <c r="BI216" s="183"/>
      <c r="BJ216" s="67"/>
      <c r="BK216" s="67">
        <f t="shared" si="182"/>
        <v>7125450</v>
      </c>
      <c r="BL216" s="67"/>
      <c r="BM216" s="156">
        <f t="shared" si="183"/>
        <v>4.9721491274235315E-2</v>
      </c>
      <c r="BN216" s="66">
        <f t="shared" si="184"/>
        <v>577283.20772946859</v>
      </c>
      <c r="BO216" s="67"/>
      <c r="BP216" s="67">
        <f t="shared" si="185"/>
        <v>7695142</v>
      </c>
      <c r="BQ216" s="67"/>
      <c r="BR216" s="478">
        <f t="shared" si="186"/>
        <v>6.4395774095056479E-2</v>
      </c>
      <c r="BS216" s="67"/>
      <c r="BT216" s="86"/>
      <c r="BU216" s="183"/>
      <c r="BV216" s="1"/>
      <c r="BW216" s="61">
        <f t="shared" ref="BW216:BW272" si="189">+BW215+1</f>
        <v>207</v>
      </c>
    </row>
    <row r="217" spans="2:75" x14ac:dyDescent="0.3">
      <c r="B217" s="171">
        <f t="shared" si="163"/>
        <v>44117</v>
      </c>
      <c r="C217" s="61"/>
      <c r="D217" s="17">
        <v>51534</v>
      </c>
      <c r="E217" s="16"/>
      <c r="F217" s="16"/>
      <c r="G217" s="16"/>
      <c r="H217" s="16">
        <f t="shared" si="167"/>
        <v>8089323</v>
      </c>
      <c r="I217" s="16"/>
      <c r="J217" s="479">
        <f t="shared" si="168"/>
        <v>6.4114646453147751E-3</v>
      </c>
      <c r="K217" s="16"/>
      <c r="L217" s="16"/>
      <c r="M217" s="16"/>
      <c r="N217" s="16">
        <f t="shared" si="187"/>
        <v>361154</v>
      </c>
      <c r="O217" s="16">
        <f t="shared" si="169"/>
        <v>38890.975961538461</v>
      </c>
      <c r="P217" s="41"/>
      <c r="Q217" s="17">
        <f t="shared" si="161"/>
        <v>361154</v>
      </c>
      <c r="R217" s="16"/>
      <c r="S217" s="60">
        <f t="shared" si="162"/>
        <v>0.18373500886603278</v>
      </c>
      <c r="T217" s="16"/>
      <c r="U217" s="41"/>
      <c r="V217" s="10">
        <f t="shared" si="109"/>
        <v>109</v>
      </c>
      <c r="W217" s="34">
        <v>843</v>
      </c>
      <c r="X217" s="33"/>
      <c r="Y217" s="33"/>
      <c r="Z217" s="33"/>
      <c r="AA217" s="33">
        <f t="shared" si="170"/>
        <v>220854</v>
      </c>
      <c r="AB217" s="33"/>
      <c r="AC217" s="46">
        <f t="shared" si="171"/>
        <v>2.7301913893165101E-2</v>
      </c>
      <c r="AD217" s="33"/>
      <c r="AE217" s="33">
        <f t="shared" si="172"/>
        <v>1061.7980769230769</v>
      </c>
      <c r="AF217" s="50"/>
      <c r="AG217" s="33">
        <f t="shared" si="173"/>
        <v>5003</v>
      </c>
      <c r="AH217" s="33">
        <f t="shared" si="188"/>
        <v>460276004.34662843</v>
      </c>
      <c r="AI217" s="231">
        <f t="shared" si="174"/>
        <v>4.2151746286631878E-3</v>
      </c>
      <c r="AJ217" s="50"/>
      <c r="AK217" s="10"/>
      <c r="AL217" s="23">
        <f t="shared" si="175"/>
        <v>41812</v>
      </c>
      <c r="AM217" s="24"/>
      <c r="AN217" s="24"/>
      <c r="AO217" s="24">
        <v>178263</v>
      </c>
      <c r="AP217" s="24">
        <v>5226427</v>
      </c>
      <c r="AQ217" s="24"/>
      <c r="AR217" s="504">
        <f t="shared" si="176"/>
        <v>8.0646296783849908E-3</v>
      </c>
      <c r="AS217" s="25"/>
      <c r="AT217" s="25"/>
      <c r="AU217" s="24"/>
      <c r="AV217" s="341">
        <f t="shared" si="177"/>
        <v>0.64608954296917065</v>
      </c>
      <c r="AW217" s="341"/>
      <c r="AX217" s="24">
        <f t="shared" si="178"/>
        <v>25127.052884615383</v>
      </c>
      <c r="AY217" s="351"/>
      <c r="AZ217" s="10"/>
      <c r="BA217" s="66">
        <f t="shared" si="179"/>
        <v>1025948</v>
      </c>
      <c r="BB217" s="67"/>
      <c r="BC217" s="67">
        <v>120523572</v>
      </c>
      <c r="BD217" s="67"/>
      <c r="BE217" s="67">
        <f t="shared" si="180"/>
        <v>51534</v>
      </c>
      <c r="BF217" s="67"/>
      <c r="BG217" s="156">
        <f t="shared" si="181"/>
        <v>5.0230615976638193E-2</v>
      </c>
      <c r="BH217" s="67"/>
      <c r="BI217" s="183"/>
      <c r="BJ217" s="67"/>
      <c r="BK217" s="67">
        <f t="shared" si="182"/>
        <v>7204254</v>
      </c>
      <c r="BL217" s="67"/>
      <c r="BM217" s="156">
        <f t="shared" si="183"/>
        <v>5.0130658913469739E-2</v>
      </c>
      <c r="BN217" s="66">
        <f t="shared" si="184"/>
        <v>579440.25</v>
      </c>
      <c r="BO217" s="67"/>
      <c r="BP217" s="67">
        <f t="shared" si="185"/>
        <v>7746676</v>
      </c>
      <c r="BQ217" s="67"/>
      <c r="BR217" s="478">
        <f t="shared" si="186"/>
        <v>6.4275194233373703E-2</v>
      </c>
      <c r="BS217" s="67"/>
      <c r="BT217" s="86"/>
      <c r="BU217" s="183"/>
      <c r="BV217" s="1"/>
      <c r="BW217" s="61">
        <f t="shared" si="189"/>
        <v>208</v>
      </c>
    </row>
    <row r="218" spans="2:75" x14ac:dyDescent="0.3">
      <c r="B218" s="171">
        <f t="shared" si="163"/>
        <v>44118</v>
      </c>
      <c r="C218" s="61"/>
      <c r="D218" s="17">
        <v>59693</v>
      </c>
      <c r="E218" s="16"/>
      <c r="F218" s="16"/>
      <c r="G218" s="16"/>
      <c r="H218" s="16">
        <f t="shared" si="167"/>
        <v>8149016</v>
      </c>
      <c r="I218" s="16"/>
      <c r="J218" s="479">
        <f t="shared" si="168"/>
        <v>7.3792330952788011E-3</v>
      </c>
      <c r="K218" s="16"/>
      <c r="L218" s="16"/>
      <c r="M218" s="16"/>
      <c r="N218" s="16">
        <f t="shared" si="187"/>
        <v>371489</v>
      </c>
      <c r="O218" s="16">
        <f t="shared" si="169"/>
        <v>38990.507177033491</v>
      </c>
      <c r="P218" s="41"/>
      <c r="Q218" s="17">
        <f t="shared" si="161"/>
        <v>371489</v>
      </c>
      <c r="R218" s="16"/>
      <c r="S218" s="60">
        <f t="shared" si="162"/>
        <v>0.18487461964876917</v>
      </c>
      <c r="T218" s="16"/>
      <c r="U218" s="41"/>
      <c r="V218" s="10">
        <f t="shared" si="109"/>
        <v>110</v>
      </c>
      <c r="W218" s="34">
        <v>970</v>
      </c>
      <c r="X218" s="33"/>
      <c r="Y218" s="33"/>
      <c r="Z218" s="33"/>
      <c r="AA218" s="33">
        <f t="shared" si="170"/>
        <v>221824</v>
      </c>
      <c r="AB218" s="33"/>
      <c r="AC218" s="46">
        <f t="shared" si="171"/>
        <v>2.722095526625546E-2</v>
      </c>
      <c r="AD218" s="33"/>
      <c r="AE218" s="33">
        <f t="shared" si="172"/>
        <v>1061.3588516746411</v>
      </c>
      <c r="AF218" s="50"/>
      <c r="AG218" s="33">
        <f t="shared" si="173"/>
        <v>5043</v>
      </c>
      <c r="AH218" s="33">
        <f t="shared" si="188"/>
        <v>460237932.34662843</v>
      </c>
      <c r="AI218" s="231">
        <f t="shared" si="174"/>
        <v>1.7349203147064757E-2</v>
      </c>
      <c r="AJ218" s="50"/>
      <c r="AK218" s="10"/>
      <c r="AL218" s="23">
        <f t="shared" si="175"/>
        <v>52326</v>
      </c>
      <c r="AM218" s="24"/>
      <c r="AN218" s="24"/>
      <c r="AO218" s="24">
        <v>178263</v>
      </c>
      <c r="AP218" s="24">
        <v>5278753</v>
      </c>
      <c r="AQ218" s="24"/>
      <c r="AR218" s="504">
        <f t="shared" si="176"/>
        <v>1.0011811128329162E-2</v>
      </c>
      <c r="AS218" s="25"/>
      <c r="AT218" s="25"/>
      <c r="AU218" s="24"/>
      <c r="AV218" s="341">
        <f t="shared" si="177"/>
        <v>0.64777796484876216</v>
      </c>
      <c r="AW218" s="341"/>
      <c r="AX218" s="24">
        <f t="shared" si="178"/>
        <v>25257.191387559807</v>
      </c>
      <c r="AY218" s="351"/>
      <c r="AZ218" s="10"/>
      <c r="BA218" s="66">
        <f t="shared" si="179"/>
        <v>1043566</v>
      </c>
      <c r="BB218" s="67"/>
      <c r="BC218" s="67">
        <v>121567138</v>
      </c>
      <c r="BD218" s="67"/>
      <c r="BE218" s="67">
        <f t="shared" si="180"/>
        <v>59693</v>
      </c>
      <c r="BF218" s="67"/>
      <c r="BG218" s="156">
        <f t="shared" si="181"/>
        <v>5.7200982017428702E-2</v>
      </c>
      <c r="BH218" s="67"/>
      <c r="BI218" s="183"/>
      <c r="BJ218" s="67"/>
      <c r="BK218" s="67">
        <f t="shared" si="182"/>
        <v>7408289</v>
      </c>
      <c r="BL218" s="67"/>
      <c r="BM218" s="156">
        <f t="shared" si="183"/>
        <v>5.0145046987232815E-2</v>
      </c>
      <c r="BN218" s="66">
        <f t="shared" si="184"/>
        <v>581660.94736842101</v>
      </c>
      <c r="BO218" s="67"/>
      <c r="BP218" s="67">
        <f t="shared" si="185"/>
        <v>7806369</v>
      </c>
      <c r="BQ218" s="67"/>
      <c r="BR218" s="478">
        <f t="shared" si="186"/>
        <v>6.4214467235380671E-2</v>
      </c>
      <c r="BS218" s="67"/>
      <c r="BT218" s="86"/>
      <c r="BU218" s="183"/>
      <c r="BV218" s="1"/>
      <c r="BW218" s="61">
        <f t="shared" si="189"/>
        <v>209</v>
      </c>
    </row>
    <row r="219" spans="2:75" x14ac:dyDescent="0.3">
      <c r="B219" s="171">
        <f t="shared" si="163"/>
        <v>44119</v>
      </c>
      <c r="C219" s="61"/>
      <c r="D219" s="17">
        <v>66129</v>
      </c>
      <c r="E219" s="16"/>
      <c r="F219" s="16"/>
      <c r="G219" s="16"/>
      <c r="H219" s="16">
        <f t="shared" si="167"/>
        <v>8215145</v>
      </c>
      <c r="I219" s="16"/>
      <c r="J219" s="479">
        <f t="shared" si="168"/>
        <v>8.1149675003705964E-3</v>
      </c>
      <c r="K219" s="16"/>
      <c r="L219" s="16"/>
      <c r="M219" s="16"/>
      <c r="N219" s="16">
        <f t="shared" si="187"/>
        <v>380300</v>
      </c>
      <c r="O219" s="16">
        <f t="shared" si="169"/>
        <v>39119.738095238092</v>
      </c>
      <c r="P219" s="41"/>
      <c r="Q219" s="17">
        <f t="shared" si="161"/>
        <v>380300</v>
      </c>
      <c r="R219" s="16"/>
      <c r="S219" s="60">
        <f t="shared" si="162"/>
        <v>0.17574314819681253</v>
      </c>
      <c r="T219" s="16"/>
      <c r="U219" s="41"/>
      <c r="V219" s="10">
        <f t="shared" si="109"/>
        <v>111</v>
      </c>
      <c r="W219" s="34">
        <v>874</v>
      </c>
      <c r="X219" s="33"/>
      <c r="Y219" s="33"/>
      <c r="Z219" s="33"/>
      <c r="AA219" s="33">
        <f t="shared" si="170"/>
        <v>222698</v>
      </c>
      <c r="AB219" s="33"/>
      <c r="AC219" s="46">
        <f t="shared" si="171"/>
        <v>2.7108225113494651E-2</v>
      </c>
      <c r="AD219" s="33"/>
      <c r="AE219" s="33">
        <f t="shared" si="172"/>
        <v>1060.4666666666667</v>
      </c>
      <c r="AF219" s="50"/>
      <c r="AG219" s="33">
        <f t="shared" si="173"/>
        <v>4960</v>
      </c>
      <c r="AH219" s="33">
        <f t="shared" si="188"/>
        <v>460201485.34662843</v>
      </c>
      <c r="AI219" s="231">
        <f t="shared" si="174"/>
        <v>-6.8081698037645178E-3</v>
      </c>
      <c r="AJ219" s="50"/>
      <c r="AK219" s="10"/>
      <c r="AL219" s="23">
        <f t="shared" si="175"/>
        <v>41386</v>
      </c>
      <c r="AM219" s="24"/>
      <c r="AN219" s="24"/>
      <c r="AO219" s="24">
        <v>178263</v>
      </c>
      <c r="AP219" s="24">
        <v>5320139</v>
      </c>
      <c r="AQ219" s="24"/>
      <c r="AR219" s="504">
        <f t="shared" si="176"/>
        <v>7.8401092076102064E-3</v>
      </c>
      <c r="AS219" s="25"/>
      <c r="AT219" s="25"/>
      <c r="AU219" s="24"/>
      <c r="AV219" s="341">
        <f t="shared" si="177"/>
        <v>0.64760135091955162</v>
      </c>
      <c r="AW219" s="341"/>
      <c r="AX219" s="24">
        <f t="shared" si="178"/>
        <v>25333.995238095238</v>
      </c>
      <c r="AY219" s="351"/>
      <c r="AZ219" s="10"/>
      <c r="BA219" s="66">
        <f t="shared" si="179"/>
        <v>1128210</v>
      </c>
      <c r="BB219" s="67"/>
      <c r="BC219" s="67">
        <v>122695348</v>
      </c>
      <c r="BD219" s="67"/>
      <c r="BE219" s="67">
        <f t="shared" si="180"/>
        <v>66129</v>
      </c>
      <c r="BF219" s="67"/>
      <c r="BG219" s="156">
        <f t="shared" si="181"/>
        <v>5.8614087802802667E-2</v>
      </c>
      <c r="BH219" s="67"/>
      <c r="BI219" s="183"/>
      <c r="BJ219" s="67"/>
      <c r="BK219" s="67">
        <f t="shared" si="182"/>
        <v>7351533</v>
      </c>
      <c r="BL219" s="67"/>
      <c r="BM219" s="156">
        <f t="shared" si="183"/>
        <v>5.1730707051168785E-2</v>
      </c>
      <c r="BN219" s="66">
        <f t="shared" si="184"/>
        <v>584263.56190476194</v>
      </c>
      <c r="BO219" s="67"/>
      <c r="BP219" s="67">
        <f t="shared" si="185"/>
        <v>7872498</v>
      </c>
      <c r="BQ219" s="67"/>
      <c r="BR219" s="478">
        <f t="shared" si="186"/>
        <v>6.4162970547179995E-2</v>
      </c>
      <c r="BS219" s="67"/>
      <c r="BT219" s="86"/>
      <c r="BU219" s="183"/>
      <c r="BV219" s="1"/>
      <c r="BW219" s="61">
        <f t="shared" si="189"/>
        <v>210</v>
      </c>
    </row>
    <row r="220" spans="2:75" x14ac:dyDescent="0.3">
      <c r="B220" s="171">
        <f t="shared" si="163"/>
        <v>44120</v>
      </c>
      <c r="C220" s="61"/>
      <c r="D220" s="17">
        <v>71687</v>
      </c>
      <c r="E220" s="16"/>
      <c r="F220" s="16"/>
      <c r="G220" s="16"/>
      <c r="H220" s="16">
        <f t="shared" si="167"/>
        <v>8286832</v>
      </c>
      <c r="I220" s="16"/>
      <c r="J220" s="479">
        <f t="shared" si="168"/>
        <v>8.726200207056601E-3</v>
      </c>
      <c r="K220" s="16"/>
      <c r="L220" s="16"/>
      <c r="M220" s="16"/>
      <c r="N220" s="16">
        <f t="shared" si="187"/>
        <v>391004</v>
      </c>
      <c r="O220" s="16">
        <f t="shared" si="169"/>
        <v>39274.08530805687</v>
      </c>
      <c r="P220" s="41"/>
      <c r="Q220" s="17">
        <f t="shared" si="161"/>
        <v>391004</v>
      </c>
      <c r="R220" s="16"/>
      <c r="S220" s="60">
        <f t="shared" si="162"/>
        <v>0.17406278619364332</v>
      </c>
      <c r="T220" s="16"/>
      <c r="U220" s="41"/>
      <c r="V220" s="10">
        <f t="shared" si="109"/>
        <v>112</v>
      </c>
      <c r="W220" s="34">
        <v>928</v>
      </c>
      <c r="X220" s="33"/>
      <c r="Y220" s="33"/>
      <c r="Z220" s="33"/>
      <c r="AA220" s="33">
        <f t="shared" si="170"/>
        <v>223626</v>
      </c>
      <c r="AB220" s="33"/>
      <c r="AC220" s="46">
        <f t="shared" si="171"/>
        <v>2.6985704549096688E-2</v>
      </c>
      <c r="AD220" s="33"/>
      <c r="AE220" s="33">
        <f t="shared" si="172"/>
        <v>1059.8388625592418</v>
      </c>
      <c r="AF220" s="50"/>
      <c r="AG220" s="33">
        <f t="shared" si="173"/>
        <v>4979</v>
      </c>
      <c r="AH220" s="33">
        <f t="shared" si="188"/>
        <v>460161331.34662843</v>
      </c>
      <c r="AI220" s="231">
        <f t="shared" si="174"/>
        <v>-1.1907124429450288E-2</v>
      </c>
      <c r="AJ220" s="50"/>
      <c r="AK220" s="10"/>
      <c r="AL220" s="23">
        <f t="shared" si="175"/>
        <v>75262</v>
      </c>
      <c r="AM220" s="24"/>
      <c r="AN220" s="24"/>
      <c r="AO220" s="24">
        <v>178263</v>
      </c>
      <c r="AP220" s="24">
        <v>5395401</v>
      </c>
      <c r="AQ220" s="24"/>
      <c r="AR220" s="504">
        <f t="shared" si="176"/>
        <v>1.4146622860793675E-2</v>
      </c>
      <c r="AS220" s="25"/>
      <c r="AT220" s="25"/>
      <c r="AU220" s="24"/>
      <c r="AV220" s="341">
        <f t="shared" si="177"/>
        <v>0.6510812575903554</v>
      </c>
      <c r="AW220" s="341"/>
      <c r="AX220" s="24">
        <f t="shared" si="178"/>
        <v>25570.620853080567</v>
      </c>
      <c r="AY220" s="351"/>
      <c r="AZ220" s="10"/>
      <c r="BA220" s="66">
        <f t="shared" si="179"/>
        <v>1041099</v>
      </c>
      <c r="BB220" s="67"/>
      <c r="BC220" s="67">
        <v>123736447</v>
      </c>
      <c r="BD220" s="67"/>
      <c r="BE220" s="67">
        <f t="shared" si="180"/>
        <v>71687</v>
      </c>
      <c r="BF220" s="67"/>
      <c r="BG220" s="156">
        <f t="shared" si="181"/>
        <v>6.885704433488074E-2</v>
      </c>
      <c r="BH220" s="67"/>
      <c r="BI220" s="183"/>
      <c r="BJ220" s="67"/>
      <c r="BK220" s="67">
        <f t="shared" si="182"/>
        <v>7238312</v>
      </c>
      <c r="BL220" s="67"/>
      <c r="BM220" s="156">
        <f t="shared" si="183"/>
        <v>5.40186717566195E-2</v>
      </c>
      <c r="BN220" s="66">
        <f t="shared" si="184"/>
        <v>586428.65876777249</v>
      </c>
      <c r="BO220" s="67"/>
      <c r="BP220" s="67">
        <f t="shared" si="185"/>
        <v>7944185</v>
      </c>
      <c r="BQ220" s="67"/>
      <c r="BR220" s="478">
        <f t="shared" si="186"/>
        <v>6.4202465745602025E-2</v>
      </c>
      <c r="BS220" s="67"/>
      <c r="BT220" s="86"/>
      <c r="BU220" s="183"/>
      <c r="BV220" s="1"/>
      <c r="BW220" s="61">
        <f t="shared" si="189"/>
        <v>211</v>
      </c>
    </row>
    <row r="221" spans="2:75" x14ac:dyDescent="0.3">
      <c r="B221" s="171">
        <f t="shared" si="163"/>
        <v>44121</v>
      </c>
      <c r="C221" s="61"/>
      <c r="D221" s="17">
        <v>54232</v>
      </c>
      <c r="E221" s="16"/>
      <c r="F221" s="16"/>
      <c r="G221" s="16"/>
      <c r="H221" s="16">
        <f t="shared" si="167"/>
        <v>8341064</v>
      </c>
      <c r="I221" s="16"/>
      <c r="J221" s="479">
        <f t="shared" si="168"/>
        <v>6.5443585679062881E-3</v>
      </c>
      <c r="K221" s="16"/>
      <c r="L221" s="16"/>
      <c r="M221" s="16"/>
      <c r="N221" s="16">
        <f t="shared" si="187"/>
        <v>391001</v>
      </c>
      <c r="O221" s="16">
        <f t="shared" si="169"/>
        <v>39344.641509433961</v>
      </c>
      <c r="P221" s="41"/>
      <c r="Q221" s="17">
        <f t="shared" si="161"/>
        <v>391001</v>
      </c>
      <c r="R221" s="16"/>
      <c r="S221" s="60">
        <f t="shared" si="162"/>
        <v>0.15562813104966824</v>
      </c>
      <c r="T221" s="16"/>
      <c r="U221" s="41"/>
      <c r="V221" s="10">
        <f t="shared" si="109"/>
        <v>113</v>
      </c>
      <c r="W221" s="34">
        <v>638</v>
      </c>
      <c r="X221" s="33"/>
      <c r="Y221" s="33"/>
      <c r="Z221" s="33"/>
      <c r="AA221" s="33">
        <f t="shared" si="170"/>
        <v>224264</v>
      </c>
      <c r="AB221" s="33"/>
      <c r="AC221" s="46">
        <f t="shared" si="171"/>
        <v>2.6886737711160111E-2</v>
      </c>
      <c r="AD221" s="33"/>
      <c r="AE221" s="33">
        <f t="shared" si="172"/>
        <v>1057.8490566037735</v>
      </c>
      <c r="AF221" s="50"/>
      <c r="AG221" s="33">
        <f t="shared" si="173"/>
        <v>4894</v>
      </c>
      <c r="AH221" s="33">
        <f t="shared" si="188"/>
        <v>460115036.34662843</v>
      </c>
      <c r="AI221" s="231">
        <f t="shared" si="174"/>
        <v>-2.25684042340723E-2</v>
      </c>
      <c r="AJ221" s="50"/>
      <c r="AK221" s="10"/>
      <c r="AL221" s="23">
        <f t="shared" si="175"/>
        <v>36791</v>
      </c>
      <c r="AM221" s="24"/>
      <c r="AN221" s="24"/>
      <c r="AO221" s="24">
        <v>178263</v>
      </c>
      <c r="AP221" s="24">
        <v>5432192</v>
      </c>
      <c r="AQ221" s="24"/>
      <c r="AR221" s="504">
        <f t="shared" si="176"/>
        <v>6.8189556253557427E-3</v>
      </c>
      <c r="AS221" s="25"/>
      <c r="AT221" s="25"/>
      <c r="AU221" s="24"/>
      <c r="AV221" s="341">
        <f t="shared" si="177"/>
        <v>0.65125888016205125</v>
      </c>
      <c r="AW221" s="341"/>
      <c r="AX221" s="24">
        <f t="shared" si="178"/>
        <v>25623.547169811322</v>
      </c>
      <c r="AY221" s="351"/>
      <c r="AZ221" s="10"/>
      <c r="BA221" s="66">
        <f t="shared" si="179"/>
        <v>1056221</v>
      </c>
      <c r="BB221" s="67"/>
      <c r="BC221" s="67">
        <v>124792668</v>
      </c>
      <c r="BD221" s="67"/>
      <c r="BE221" s="67">
        <f t="shared" si="180"/>
        <v>54232</v>
      </c>
      <c r="BF221" s="67"/>
      <c r="BG221" s="156">
        <f t="shared" si="181"/>
        <v>5.1345315042969228E-2</v>
      </c>
      <c r="BH221" s="67"/>
      <c r="BI221" s="183"/>
      <c r="BJ221" s="67"/>
      <c r="BK221" s="67">
        <f t="shared" si="182"/>
        <v>7191246</v>
      </c>
      <c r="BL221" s="67"/>
      <c r="BM221" s="156">
        <f t="shared" si="183"/>
        <v>5.4371801493093133E-2</v>
      </c>
      <c r="BN221" s="66">
        <f t="shared" si="184"/>
        <v>588644.66037735844</v>
      </c>
      <c r="BO221" s="67"/>
      <c r="BP221" s="67">
        <f t="shared" si="185"/>
        <v>7998417</v>
      </c>
      <c r="BQ221" s="67"/>
      <c r="BR221" s="478">
        <f t="shared" si="186"/>
        <v>6.4093645309354227E-2</v>
      </c>
      <c r="BS221" s="67"/>
      <c r="BT221" s="86"/>
      <c r="BU221" s="183"/>
      <c r="BV221" s="1"/>
      <c r="BW221" s="61">
        <f t="shared" si="189"/>
        <v>212</v>
      </c>
    </row>
    <row r="222" spans="2:75" x14ac:dyDescent="0.3">
      <c r="B222" s="390">
        <f t="shared" si="163"/>
        <v>44122</v>
      </c>
      <c r="C222" s="61"/>
      <c r="D222" s="17">
        <v>44941</v>
      </c>
      <c r="E222" s="16"/>
      <c r="F222" s="16"/>
      <c r="G222" s="16"/>
      <c r="H222" s="16">
        <f t="shared" si="167"/>
        <v>8386005</v>
      </c>
      <c r="I222" s="16"/>
      <c r="J222" s="479">
        <f t="shared" si="168"/>
        <v>5.3879217327669465E-3</v>
      </c>
      <c r="K222" s="16"/>
      <c r="L222" s="16"/>
      <c r="M222" s="16"/>
      <c r="N222" s="16">
        <f t="shared" si="187"/>
        <v>394007</v>
      </c>
      <c r="O222" s="16">
        <f t="shared" si="169"/>
        <v>39370.915492957749</v>
      </c>
      <c r="P222" s="41"/>
      <c r="Q222" s="17">
        <f t="shared" si="161"/>
        <v>394007</v>
      </c>
      <c r="R222" s="16"/>
      <c r="S222" s="60">
        <f t="shared" si="162"/>
        <v>0.13804467756936462</v>
      </c>
      <c r="T222" s="16"/>
      <c r="U222" s="41"/>
      <c r="V222" s="391">
        <f t="shared" si="109"/>
        <v>114</v>
      </c>
      <c r="W222" s="34">
        <v>448</v>
      </c>
      <c r="X222" s="33"/>
      <c r="Y222" s="33"/>
      <c r="Z222" s="33"/>
      <c r="AA222" s="33">
        <f t="shared" si="170"/>
        <v>224712</v>
      </c>
      <c r="AB222" s="33"/>
      <c r="AC222" s="46">
        <f t="shared" si="171"/>
        <v>2.6796072742622978E-2</v>
      </c>
      <c r="AD222" s="33"/>
      <c r="AE222" s="33">
        <f t="shared" si="172"/>
        <v>1054.9859154929577</v>
      </c>
      <c r="AF222" s="50"/>
      <c r="AG222" s="33">
        <f t="shared" si="173"/>
        <v>5017</v>
      </c>
      <c r="AH222" s="33">
        <f t="shared" si="188"/>
        <v>460063691.34662843</v>
      </c>
      <c r="AI222" s="231">
        <f t="shared" si="174"/>
        <v>3.3999999999999998E-3</v>
      </c>
      <c r="AJ222" s="50"/>
      <c r="AK222" s="10"/>
      <c r="AL222" s="23">
        <f t="shared" si="175"/>
        <v>25492</v>
      </c>
      <c r="AM222" s="24"/>
      <c r="AN222" s="24"/>
      <c r="AO222" s="24">
        <v>178263</v>
      </c>
      <c r="AP222" s="24">
        <v>5457684</v>
      </c>
      <c r="AQ222" s="24"/>
      <c r="AR222" s="504">
        <f t="shared" si="176"/>
        <v>4.6927649096350057E-3</v>
      </c>
      <c r="AS222" s="25"/>
      <c r="AT222" s="25"/>
      <c r="AU222" s="24"/>
      <c r="AV222" s="341">
        <f t="shared" si="177"/>
        <v>0.65080857929371616</v>
      </c>
      <c r="AW222" s="341"/>
      <c r="AX222" s="24">
        <f t="shared" si="178"/>
        <v>25622.929577464787</v>
      </c>
      <c r="AY222" s="351"/>
      <c r="AZ222" s="391"/>
      <c r="BA222" s="66">
        <f t="shared" si="179"/>
        <v>891213</v>
      </c>
      <c r="BB222" s="67"/>
      <c r="BC222" s="67">
        <v>125683881</v>
      </c>
      <c r="BD222" s="67"/>
      <c r="BE222" s="67">
        <f t="shared" si="180"/>
        <v>44941</v>
      </c>
      <c r="BF222" s="67"/>
      <c r="BG222" s="156">
        <f t="shared" si="181"/>
        <v>5.0426777885870154E-2</v>
      </c>
      <c r="BH222" s="67"/>
      <c r="BI222" s="183"/>
      <c r="BJ222" s="67"/>
      <c r="BK222" s="67">
        <f t="shared" si="182"/>
        <v>7196983</v>
      </c>
      <c r="BL222" s="67"/>
      <c r="BM222" s="156">
        <f t="shared" si="183"/>
        <v>5.4746134595565946E-2</v>
      </c>
      <c r="BN222" s="66">
        <f t="shared" si="184"/>
        <v>590065.1690140845</v>
      </c>
      <c r="BO222" s="67"/>
      <c r="BP222" s="67">
        <f t="shared" si="185"/>
        <v>8043358</v>
      </c>
      <c r="BQ222" s="67"/>
      <c r="BR222" s="478">
        <f t="shared" si="186"/>
        <v>6.39967347921091E-2</v>
      </c>
      <c r="BS222" s="67"/>
      <c r="BT222" s="86"/>
      <c r="BU222" s="183"/>
      <c r="BV222" s="1"/>
      <c r="BW222" s="61">
        <f t="shared" si="189"/>
        <v>213</v>
      </c>
    </row>
    <row r="223" spans="2:75" x14ac:dyDescent="0.3">
      <c r="B223" s="171">
        <f t="shared" si="163"/>
        <v>44123</v>
      </c>
      <c r="C223" s="61"/>
      <c r="D223" s="17">
        <v>57327</v>
      </c>
      <c r="E223" s="16"/>
      <c r="F223" s="16"/>
      <c r="G223" s="16"/>
      <c r="H223" s="16">
        <f t="shared" ref="H223:H229" si="190">+H222+D223</f>
        <v>8443332</v>
      </c>
      <c r="I223" s="16"/>
      <c r="J223" s="479">
        <f t="shared" ref="J223:J229" si="191">+D223/H222</f>
        <v>6.8360321750344771E-3</v>
      </c>
      <c r="K223" s="16"/>
      <c r="L223" s="16"/>
      <c r="M223" s="16"/>
      <c r="N223" s="16">
        <f t="shared" ref="N223:N229" si="192">SUM(D217:D223)</f>
        <v>405543</v>
      </c>
      <c r="O223" s="16">
        <f t="shared" ref="O223:O229" si="193">+H223/BW223</f>
        <v>39454.82242990654</v>
      </c>
      <c r="P223" s="41"/>
      <c r="Q223" s="17">
        <f t="shared" si="161"/>
        <v>405543</v>
      </c>
      <c r="R223" s="16"/>
      <c r="S223" s="60">
        <f t="shared" si="162"/>
        <v>0.14467043761007994</v>
      </c>
      <c r="T223" s="16"/>
      <c r="U223" s="41"/>
      <c r="V223" s="10">
        <f t="shared" si="109"/>
        <v>115</v>
      </c>
      <c r="W223" s="34">
        <v>442</v>
      </c>
      <c r="X223" s="33"/>
      <c r="Y223" s="33"/>
      <c r="Z223" s="33"/>
      <c r="AA223" s="33">
        <f t="shared" ref="AA223:AA229" si="194">+AA222+W223</f>
        <v>225154</v>
      </c>
      <c r="AB223" s="33"/>
      <c r="AC223" s="46">
        <f t="shared" ref="AC223:AC229" si="195">+AA223/H223</f>
        <v>2.6666486642950911E-2</v>
      </c>
      <c r="AD223" s="33"/>
      <c r="AE223" s="33">
        <f t="shared" ref="AE223:AE229" si="196">+AA223/BW223</f>
        <v>1052.1214953271028</v>
      </c>
      <c r="AF223" s="50"/>
      <c r="AG223" s="33">
        <f t="shared" ref="AG223:AG229" si="197">SUM(W217:W223)</f>
        <v>5143</v>
      </c>
      <c r="AH223" s="33">
        <f t="shared" si="188"/>
        <v>460020078.34662843</v>
      </c>
      <c r="AI223" s="231">
        <f t="shared" ref="AI223:AI229" si="198">+(AG223-AG216)/AG216</f>
        <v>3.5225442834138483E-2</v>
      </c>
      <c r="AJ223" s="50"/>
      <c r="AK223" s="10"/>
      <c r="AL223" s="23">
        <f t="shared" ref="AL223:AL229" si="199">+AP223-AP222</f>
        <v>45584</v>
      </c>
      <c r="AM223" s="24"/>
      <c r="AN223" s="24"/>
      <c r="AO223" s="24">
        <v>178263</v>
      </c>
      <c r="AP223" s="24">
        <v>5503268</v>
      </c>
      <c r="AQ223" s="24"/>
      <c r="AR223" s="504">
        <f t="shared" ref="AR223:AR229" si="200">+AL223/AP222</f>
        <v>8.3522607758162622E-3</v>
      </c>
      <c r="AS223" s="25"/>
      <c r="AT223" s="25"/>
      <c r="AU223" s="24"/>
      <c r="AV223" s="341">
        <f t="shared" ref="AV223:AV229" si="201">+AP223/H223</f>
        <v>0.65178865405268915</v>
      </c>
      <c r="AW223" s="341"/>
      <c r="AX223" s="24">
        <f t="shared" ref="AX223:AX229" si="202">+AP223/BW223</f>
        <v>25716.205607476637</v>
      </c>
      <c r="AY223" s="351"/>
      <c r="AZ223" s="10"/>
      <c r="BA223" s="66">
        <f t="shared" ref="BA223:BA229" si="203">+BC223-BC222</f>
        <v>1373226</v>
      </c>
      <c r="BB223" s="67"/>
      <c r="BC223" s="67">
        <v>127057107</v>
      </c>
      <c r="BD223" s="67"/>
      <c r="BE223" s="67">
        <f t="shared" ref="BE223:BE229" si="204">+D223</f>
        <v>57327</v>
      </c>
      <c r="BF223" s="67"/>
      <c r="BG223" s="156">
        <f t="shared" ref="BG223:BG229" si="205">+BE223/BA223</f>
        <v>4.1746223855359567E-2</v>
      </c>
      <c r="BH223" s="67"/>
      <c r="BI223" s="183"/>
      <c r="BJ223" s="67"/>
      <c r="BK223" s="67">
        <f t="shared" ref="BK223:BK229" si="206">SUM(BA217:BA223)</f>
        <v>7559483</v>
      </c>
      <c r="BL223" s="67"/>
      <c r="BM223" s="156">
        <f t="shared" ref="BM223:BM229" si="207">+Q223/BK223</f>
        <v>5.3646922679765272E-2</v>
      </c>
      <c r="BN223" s="66">
        <f t="shared" ref="BN223:BN229" si="208">+BC223/BW223</f>
        <v>593724.79906542052</v>
      </c>
      <c r="BO223" s="67"/>
      <c r="BP223" s="67">
        <f t="shared" ref="BP223:BP229" si="209">+BP222+BE223</f>
        <v>8100685</v>
      </c>
      <c r="BQ223" s="67"/>
      <c r="BR223" s="478">
        <f t="shared" ref="BR223:BR229" si="210">+BP223/BC223</f>
        <v>6.3756252532965352E-2</v>
      </c>
      <c r="BS223" s="67"/>
      <c r="BT223" s="86"/>
      <c r="BU223" s="183"/>
      <c r="BV223" s="1"/>
      <c r="BW223" s="61">
        <f t="shared" si="189"/>
        <v>214</v>
      </c>
    </row>
    <row r="224" spans="2:75" x14ac:dyDescent="0.3">
      <c r="B224" s="171">
        <f t="shared" si="163"/>
        <v>44124</v>
      </c>
      <c r="C224" s="61"/>
      <c r="D224" s="17">
        <v>62072</v>
      </c>
      <c r="E224" s="16"/>
      <c r="F224" s="16"/>
      <c r="G224" s="16"/>
      <c r="H224" s="16">
        <f t="shared" si="190"/>
        <v>8505404</v>
      </c>
      <c r="I224" s="16"/>
      <c r="J224" s="479">
        <f t="shared" si="191"/>
        <v>7.3516000555231041E-3</v>
      </c>
      <c r="K224" s="16"/>
      <c r="L224" s="16"/>
      <c r="M224" s="16"/>
      <c r="N224" s="16">
        <f t="shared" si="192"/>
        <v>416081</v>
      </c>
      <c r="O224" s="16">
        <f t="shared" si="193"/>
        <v>39560.018604651166</v>
      </c>
      <c r="P224" s="41"/>
      <c r="Q224" s="17">
        <f t="shared" si="161"/>
        <v>416081</v>
      </c>
      <c r="R224" s="16"/>
      <c r="S224" s="60">
        <f t="shared" si="162"/>
        <v>0.15208747514910537</v>
      </c>
      <c r="T224" s="16"/>
      <c r="U224" s="41"/>
      <c r="V224" s="10">
        <f t="shared" si="109"/>
        <v>116</v>
      </c>
      <c r="W224" s="34">
        <v>952</v>
      </c>
      <c r="X224" s="33"/>
      <c r="Y224" s="33"/>
      <c r="Z224" s="33"/>
      <c r="AA224" s="33">
        <f t="shared" si="194"/>
        <v>226106</v>
      </c>
      <c r="AB224" s="33"/>
      <c r="AC224" s="46">
        <f t="shared" si="195"/>
        <v>2.6583804837489202E-2</v>
      </c>
      <c r="AD224" s="33"/>
      <c r="AE224" s="33">
        <f t="shared" si="196"/>
        <v>1051.6558139534884</v>
      </c>
      <c r="AF224" s="50"/>
      <c r="AG224" s="33">
        <f t="shared" si="197"/>
        <v>5252</v>
      </c>
      <c r="AH224" s="33">
        <f t="shared" si="188"/>
        <v>459986692.34662843</v>
      </c>
      <c r="AI224" s="231">
        <f t="shared" si="198"/>
        <v>4.977013791724965E-2</v>
      </c>
      <c r="AJ224" s="50"/>
      <c r="AK224" s="10"/>
      <c r="AL224" s="23">
        <f t="shared" si="199"/>
        <v>42351</v>
      </c>
      <c r="AM224" s="24"/>
      <c r="AN224" s="24"/>
      <c r="AO224" s="24">
        <v>178263</v>
      </c>
      <c r="AP224" s="24">
        <v>5545619</v>
      </c>
      <c r="AQ224" s="24"/>
      <c r="AR224" s="504">
        <f t="shared" si="200"/>
        <v>7.6956092270992439E-3</v>
      </c>
      <c r="AS224" s="25"/>
      <c r="AT224" s="25"/>
      <c r="AU224" s="24"/>
      <c r="AV224" s="341">
        <f t="shared" si="201"/>
        <v>0.65201123897230517</v>
      </c>
      <c r="AW224" s="341"/>
      <c r="AX224" s="24">
        <f t="shared" si="202"/>
        <v>25793.576744186048</v>
      </c>
      <c r="AY224" s="351"/>
      <c r="AZ224" s="10"/>
      <c r="BA224" s="66">
        <f t="shared" si="203"/>
        <v>777769</v>
      </c>
      <c r="BB224" s="67"/>
      <c r="BC224" s="67">
        <v>127834876</v>
      </c>
      <c r="BD224" s="67"/>
      <c r="BE224" s="67">
        <f t="shared" si="204"/>
        <v>62072</v>
      </c>
      <c r="BF224" s="67"/>
      <c r="BG224" s="156">
        <f t="shared" si="205"/>
        <v>7.9807757830409803E-2</v>
      </c>
      <c r="BH224" s="67"/>
      <c r="BI224" s="183"/>
      <c r="BJ224" s="67"/>
      <c r="BK224" s="67">
        <f t="shared" si="206"/>
        <v>7311304</v>
      </c>
      <c r="BL224" s="67"/>
      <c r="BM224" s="156">
        <f t="shared" si="207"/>
        <v>5.6909273639832239E-2</v>
      </c>
      <c r="BN224" s="66">
        <f t="shared" si="208"/>
        <v>594580.81860465114</v>
      </c>
      <c r="BO224" s="67"/>
      <c r="BP224" s="67">
        <f t="shared" si="209"/>
        <v>8162757</v>
      </c>
      <c r="BQ224" s="67"/>
      <c r="BR224" s="478">
        <f t="shared" si="210"/>
        <v>6.3853912605195476E-2</v>
      </c>
      <c r="BS224" s="67"/>
      <c r="BT224" s="86"/>
      <c r="BU224" s="183"/>
      <c r="BV224" s="1"/>
      <c r="BW224" s="61">
        <f t="shared" si="189"/>
        <v>215</v>
      </c>
    </row>
    <row r="225" spans="2:75" x14ac:dyDescent="0.3">
      <c r="B225" s="171">
        <f t="shared" si="163"/>
        <v>44125</v>
      </c>
      <c r="C225" s="61"/>
      <c r="D225" s="17">
        <v>63663</v>
      </c>
      <c r="E225" s="16"/>
      <c r="F225" s="16"/>
      <c r="G225" s="16"/>
      <c r="H225" s="16">
        <f t="shared" si="190"/>
        <v>8569067</v>
      </c>
      <c r="I225" s="16"/>
      <c r="J225" s="479">
        <f t="shared" si="191"/>
        <v>7.4850060032421737E-3</v>
      </c>
      <c r="K225" s="16"/>
      <c r="L225" s="16"/>
      <c r="M225" s="16"/>
      <c r="N225" s="16">
        <f t="shared" si="192"/>
        <v>420051</v>
      </c>
      <c r="O225" s="16">
        <f t="shared" si="193"/>
        <v>39671.606481481482</v>
      </c>
      <c r="P225" s="41"/>
      <c r="Q225" s="17">
        <f t="shared" si="161"/>
        <v>420051</v>
      </c>
      <c r="R225" s="16"/>
      <c r="S225" s="60">
        <f t="shared" si="162"/>
        <v>0.13072257859586689</v>
      </c>
      <c r="T225" s="16"/>
      <c r="U225" s="41"/>
      <c r="V225" s="10">
        <f t="shared" si="109"/>
        <v>117</v>
      </c>
      <c r="W225" s="34">
        <v>1225</v>
      </c>
      <c r="X225" s="33"/>
      <c r="Y225" s="33"/>
      <c r="Z225" s="33"/>
      <c r="AA225" s="33">
        <f t="shared" si="194"/>
        <v>227331</v>
      </c>
      <c r="AB225" s="33"/>
      <c r="AC225" s="46">
        <f t="shared" si="195"/>
        <v>2.6529259253078544E-2</v>
      </c>
      <c r="AD225" s="33"/>
      <c r="AE225" s="33">
        <f t="shared" si="196"/>
        <v>1052.4583333333333</v>
      </c>
      <c r="AF225" s="50"/>
      <c r="AG225" s="33">
        <f t="shared" si="197"/>
        <v>5507</v>
      </c>
      <c r="AH225" s="33">
        <f t="shared" si="188"/>
        <v>459949888.34662843</v>
      </c>
      <c r="AI225" s="231">
        <f t="shared" si="198"/>
        <v>9.2008724965298438E-2</v>
      </c>
      <c r="AJ225" s="50"/>
      <c r="AK225" s="10"/>
      <c r="AL225" s="23">
        <f t="shared" si="199"/>
        <v>56497</v>
      </c>
      <c r="AM225" s="24"/>
      <c r="AN225" s="24"/>
      <c r="AO225" s="24">
        <v>178263</v>
      </c>
      <c r="AP225" s="24">
        <v>5602116</v>
      </c>
      <c r="AQ225" s="24"/>
      <c r="AR225" s="504">
        <f t="shared" si="200"/>
        <v>1.0187681483347486E-2</v>
      </c>
      <c r="AS225" s="25"/>
      <c r="AT225" s="25"/>
      <c r="AU225" s="24"/>
      <c r="AV225" s="341">
        <f t="shared" si="201"/>
        <v>0.65376032186467903</v>
      </c>
      <c r="AW225" s="341"/>
      <c r="AX225" s="24">
        <f t="shared" si="202"/>
        <v>25935.722222222223</v>
      </c>
      <c r="AY225" s="351"/>
      <c r="AZ225" s="10"/>
      <c r="BA225" s="66">
        <f t="shared" si="203"/>
        <v>815281</v>
      </c>
      <c r="BB225" s="67"/>
      <c r="BC225" s="67">
        <v>128650157</v>
      </c>
      <c r="BD225" s="67"/>
      <c r="BE225" s="67">
        <f t="shared" si="204"/>
        <v>63663</v>
      </c>
      <c r="BF225" s="67"/>
      <c r="BG225" s="156">
        <f t="shared" si="205"/>
        <v>7.8087187117079876E-2</v>
      </c>
      <c r="BH225" s="67"/>
      <c r="BI225" s="183"/>
      <c r="BJ225" s="67"/>
      <c r="BK225" s="67">
        <f t="shared" si="206"/>
        <v>7083019</v>
      </c>
      <c r="BL225" s="67"/>
      <c r="BM225" s="156">
        <f t="shared" si="207"/>
        <v>5.9303949347022787E-2</v>
      </c>
      <c r="BN225" s="66">
        <f t="shared" si="208"/>
        <v>595602.57870370371</v>
      </c>
      <c r="BO225" s="67"/>
      <c r="BP225" s="67">
        <f t="shared" si="209"/>
        <v>8226420</v>
      </c>
      <c r="BQ225" s="67"/>
      <c r="BR225" s="478">
        <f t="shared" si="210"/>
        <v>6.3944111626696262E-2</v>
      </c>
      <c r="BS225" s="67"/>
      <c r="BT225" s="86"/>
      <c r="BU225" s="183"/>
      <c r="BV225" s="1"/>
      <c r="BW225" s="61">
        <f t="shared" si="189"/>
        <v>216</v>
      </c>
    </row>
    <row r="226" spans="2:75" x14ac:dyDescent="0.3">
      <c r="B226" s="171">
        <f t="shared" si="163"/>
        <v>44126</v>
      </c>
      <c r="C226" s="61"/>
      <c r="D226" s="17">
        <v>74301</v>
      </c>
      <c r="E226" s="16"/>
      <c r="F226" s="16"/>
      <c r="G226" s="16"/>
      <c r="H226" s="16">
        <f t="shared" si="190"/>
        <v>8643368</v>
      </c>
      <c r="I226" s="16"/>
      <c r="J226" s="479">
        <f t="shared" si="191"/>
        <v>8.6708389606476415E-3</v>
      </c>
      <c r="K226" s="16"/>
      <c r="L226" s="16"/>
      <c r="M226" s="16"/>
      <c r="N226" s="16">
        <f t="shared" si="192"/>
        <v>428223</v>
      </c>
      <c r="O226" s="16">
        <f t="shared" si="193"/>
        <v>39831.188940092165</v>
      </c>
      <c r="P226" s="41"/>
      <c r="Q226" s="17">
        <f t="shared" si="161"/>
        <v>428223</v>
      </c>
      <c r="R226" s="16"/>
      <c r="S226" s="60">
        <f t="shared" si="162"/>
        <v>0.12601367341572442</v>
      </c>
      <c r="T226" s="16"/>
      <c r="U226" s="41"/>
      <c r="V226" s="10">
        <f t="shared" si="109"/>
        <v>118</v>
      </c>
      <c r="W226" s="34">
        <v>973</v>
      </c>
      <c r="X226" s="33"/>
      <c r="Y226" s="33"/>
      <c r="Z226" s="33"/>
      <c r="AA226" s="33">
        <f t="shared" si="194"/>
        <v>228304</v>
      </c>
      <c r="AB226" s="33"/>
      <c r="AC226" s="46">
        <f t="shared" si="195"/>
        <v>2.6413777592253392E-2</v>
      </c>
      <c r="AD226" s="33"/>
      <c r="AE226" s="33">
        <f t="shared" si="196"/>
        <v>1052.0921658986176</v>
      </c>
      <c r="AF226" s="50"/>
      <c r="AG226" s="33">
        <f t="shared" si="197"/>
        <v>5606</v>
      </c>
      <c r="AH226" s="33">
        <f t="shared" si="188"/>
        <v>459914192.34662843</v>
      </c>
      <c r="AI226" s="231">
        <f t="shared" si="198"/>
        <v>0.13024193548387097</v>
      </c>
      <c r="AJ226" s="50"/>
      <c r="AK226" s="10"/>
      <c r="AL226" s="23">
        <f t="shared" si="199"/>
        <v>53185</v>
      </c>
      <c r="AM226" s="24"/>
      <c r="AN226" s="24"/>
      <c r="AO226" s="24">
        <v>178263</v>
      </c>
      <c r="AP226" s="24">
        <v>5655301</v>
      </c>
      <c r="AQ226" s="24"/>
      <c r="AR226" s="504">
        <f t="shared" si="200"/>
        <v>9.4937341533092145E-3</v>
      </c>
      <c r="AS226" s="25"/>
      <c r="AT226" s="25"/>
      <c r="AU226" s="24"/>
      <c r="AV226" s="341">
        <f t="shared" si="201"/>
        <v>0.65429367348468792</v>
      </c>
      <c r="AW226" s="341"/>
      <c r="AX226" s="24">
        <f t="shared" si="202"/>
        <v>26061.294930875578</v>
      </c>
      <c r="AY226" s="351"/>
      <c r="AZ226" s="10"/>
      <c r="BA226" s="66">
        <f t="shared" si="203"/>
        <v>1154411</v>
      </c>
      <c r="BB226" s="67"/>
      <c r="BC226" s="67">
        <v>129804568</v>
      </c>
      <c r="BD226" s="67"/>
      <c r="BE226" s="67">
        <f t="shared" si="204"/>
        <v>74301</v>
      </c>
      <c r="BF226" s="67"/>
      <c r="BG226" s="156">
        <f t="shared" si="205"/>
        <v>6.4362692316687897E-2</v>
      </c>
      <c r="BH226" s="67"/>
      <c r="BI226" s="183"/>
      <c r="BJ226" s="67"/>
      <c r="BK226" s="67">
        <f t="shared" si="206"/>
        <v>7109220</v>
      </c>
      <c r="BL226" s="67"/>
      <c r="BM226" s="156">
        <f t="shared" si="207"/>
        <v>6.0234878087891498E-2</v>
      </c>
      <c r="BN226" s="66">
        <f t="shared" si="208"/>
        <v>598177.73271889403</v>
      </c>
      <c r="BO226" s="67"/>
      <c r="BP226" s="67">
        <f t="shared" si="209"/>
        <v>8300721</v>
      </c>
      <c r="BQ226" s="67"/>
      <c r="BR226" s="478">
        <f t="shared" si="210"/>
        <v>6.3947834254954719E-2</v>
      </c>
      <c r="BS226" s="67"/>
      <c r="BT226" s="86"/>
      <c r="BU226" s="183"/>
      <c r="BV226" s="1"/>
      <c r="BW226" s="61">
        <f t="shared" si="189"/>
        <v>217</v>
      </c>
    </row>
    <row r="227" spans="2:75" x14ac:dyDescent="0.3">
      <c r="B227" s="171">
        <f t="shared" si="163"/>
        <v>44127</v>
      </c>
      <c r="C227" s="61"/>
      <c r="D227" s="17">
        <v>81414</v>
      </c>
      <c r="E227" s="16"/>
      <c r="F227" s="16"/>
      <c r="G227" s="16"/>
      <c r="H227" s="16">
        <f t="shared" si="190"/>
        <v>8724782</v>
      </c>
      <c r="I227" s="16"/>
      <c r="J227" s="479">
        <f t="shared" si="191"/>
        <v>9.4192449054581497E-3</v>
      </c>
      <c r="K227" s="16"/>
      <c r="L227" s="16"/>
      <c r="M227" s="16"/>
      <c r="N227" s="16">
        <f t="shared" si="192"/>
        <v>437950</v>
      </c>
      <c r="O227" s="16">
        <f t="shared" si="193"/>
        <v>40021.935779816515</v>
      </c>
      <c r="P227" s="41"/>
      <c r="Q227" s="17">
        <f t="shared" si="161"/>
        <v>437950</v>
      </c>
      <c r="R227" s="16"/>
      <c r="S227" s="60">
        <f t="shared" si="162"/>
        <v>0.12006526787449745</v>
      </c>
      <c r="T227" s="16"/>
      <c r="U227" s="41"/>
      <c r="V227" s="10">
        <f t="shared" si="109"/>
        <v>119</v>
      </c>
      <c r="W227" s="34">
        <v>903</v>
      </c>
      <c r="X227" s="33"/>
      <c r="Y227" s="33"/>
      <c r="Z227" s="33"/>
      <c r="AA227" s="33">
        <f t="shared" si="194"/>
        <v>229207</v>
      </c>
      <c r="AB227" s="33"/>
      <c r="AC227" s="46">
        <f t="shared" si="195"/>
        <v>2.627079966009466E-2</v>
      </c>
      <c r="AD227" s="33"/>
      <c r="AE227" s="33">
        <f t="shared" si="196"/>
        <v>1051.4082568807339</v>
      </c>
      <c r="AF227" s="50"/>
      <c r="AG227" s="33">
        <f t="shared" si="197"/>
        <v>5581</v>
      </c>
      <c r="AH227" s="33">
        <f t="shared" si="188"/>
        <v>459872576.34662843</v>
      </c>
      <c r="AI227" s="231">
        <f t="shared" si="198"/>
        <v>0.12090781281381803</v>
      </c>
      <c r="AJ227" s="50"/>
      <c r="AK227" s="10"/>
      <c r="AL227" s="23">
        <f t="shared" si="199"/>
        <v>42860</v>
      </c>
      <c r="AM227" s="24"/>
      <c r="AN227" s="24"/>
      <c r="AO227" s="24">
        <v>178263</v>
      </c>
      <c r="AP227" s="24">
        <v>5698161</v>
      </c>
      <c r="AQ227" s="24"/>
      <c r="AR227" s="504">
        <f t="shared" si="200"/>
        <v>7.5787301153378041E-3</v>
      </c>
      <c r="AS227" s="25"/>
      <c r="AT227" s="25"/>
      <c r="AU227" s="24"/>
      <c r="AV227" s="341">
        <f t="shared" si="201"/>
        <v>0.65310067346095291</v>
      </c>
      <c r="AW227" s="341"/>
      <c r="AX227" s="24">
        <f t="shared" si="202"/>
        <v>26138.353211009173</v>
      </c>
      <c r="AY227" s="351"/>
      <c r="AZ227" s="10"/>
      <c r="BA227" s="66">
        <f t="shared" si="203"/>
        <v>1252145</v>
      </c>
      <c r="BB227" s="67"/>
      <c r="BC227" s="67">
        <v>131056713</v>
      </c>
      <c r="BD227" s="67"/>
      <c r="BE227" s="67">
        <f t="shared" si="204"/>
        <v>81414</v>
      </c>
      <c r="BF227" s="67"/>
      <c r="BG227" s="156">
        <f t="shared" si="205"/>
        <v>6.501962632123276E-2</v>
      </c>
      <c r="BH227" s="67"/>
      <c r="BI227" s="183"/>
      <c r="BJ227" s="67"/>
      <c r="BK227" s="67">
        <f t="shared" si="206"/>
        <v>7320266</v>
      </c>
      <c r="BL227" s="67"/>
      <c r="BM227" s="156">
        <f t="shared" si="207"/>
        <v>5.9827060929206671E-2</v>
      </c>
      <c r="BN227" s="66">
        <f t="shared" si="208"/>
        <v>601177.58256880729</v>
      </c>
      <c r="BO227" s="67"/>
      <c r="BP227" s="67">
        <f t="shared" si="209"/>
        <v>8382135</v>
      </c>
      <c r="BQ227" s="67"/>
      <c r="BR227" s="478">
        <f t="shared" si="210"/>
        <v>6.3958074394861411E-2</v>
      </c>
      <c r="BS227" s="67"/>
      <c r="BT227" s="86"/>
      <c r="BU227" s="183"/>
      <c r="BV227" s="1"/>
      <c r="BW227" s="61">
        <f t="shared" si="189"/>
        <v>218</v>
      </c>
    </row>
    <row r="228" spans="2:75" x14ac:dyDescent="0.3">
      <c r="B228" s="171">
        <f t="shared" si="163"/>
        <v>44128</v>
      </c>
      <c r="C228" s="61"/>
      <c r="D228" s="17">
        <v>79449</v>
      </c>
      <c r="E228" s="16"/>
      <c r="F228" s="16"/>
      <c r="G228" s="16"/>
      <c r="H228" s="16">
        <f t="shared" si="190"/>
        <v>8804231</v>
      </c>
      <c r="I228" s="16"/>
      <c r="J228" s="479">
        <f t="shared" si="191"/>
        <v>9.1061301015887847E-3</v>
      </c>
      <c r="K228" s="16"/>
      <c r="L228" s="16"/>
      <c r="M228" s="16"/>
      <c r="N228" s="16">
        <f t="shared" si="192"/>
        <v>463167</v>
      </c>
      <c r="O228" s="16">
        <f t="shared" si="193"/>
        <v>40201.968036529681</v>
      </c>
      <c r="P228" s="41"/>
      <c r="Q228" s="17">
        <f t="shared" si="161"/>
        <v>463167</v>
      </c>
      <c r="R228" s="16"/>
      <c r="S228" s="60">
        <f t="shared" si="162"/>
        <v>0.18456730289692352</v>
      </c>
      <c r="T228" s="16"/>
      <c r="U228" s="41"/>
      <c r="V228" s="10">
        <f t="shared" si="109"/>
        <v>120</v>
      </c>
      <c r="W228" s="34">
        <v>784</v>
      </c>
      <c r="X228" s="33"/>
      <c r="Y228" s="33"/>
      <c r="Z228" s="33"/>
      <c r="AA228" s="33">
        <f t="shared" si="194"/>
        <v>229991</v>
      </c>
      <c r="AB228" s="33"/>
      <c r="AC228" s="46">
        <f t="shared" si="195"/>
        <v>2.6122781194632443E-2</v>
      </c>
      <c r="AD228" s="33"/>
      <c r="AE228" s="33">
        <f t="shared" si="196"/>
        <v>1050.1872146118722</v>
      </c>
      <c r="AF228" s="50"/>
      <c r="AG228" s="33">
        <f t="shared" si="197"/>
        <v>5727</v>
      </c>
      <c r="AH228" s="33">
        <f t="shared" si="188"/>
        <v>459827221.34662843</v>
      </c>
      <c r="AI228" s="231">
        <f t="shared" si="198"/>
        <v>0.17020841847159787</v>
      </c>
      <c r="AJ228" s="50"/>
      <c r="AK228" s="10"/>
      <c r="AL228" s="23">
        <f t="shared" si="199"/>
        <v>43450</v>
      </c>
      <c r="AM228" s="24"/>
      <c r="AN228" s="24"/>
      <c r="AO228" s="24">
        <v>178263</v>
      </c>
      <c r="AP228" s="24">
        <v>5741611</v>
      </c>
      <c r="AQ228" s="24"/>
      <c r="AR228" s="504">
        <f t="shared" si="200"/>
        <v>7.625267169530661E-3</v>
      </c>
      <c r="AS228" s="25"/>
      <c r="AT228" s="25"/>
      <c r="AU228" s="24"/>
      <c r="AV228" s="341">
        <f t="shared" si="201"/>
        <v>0.65214224842578528</v>
      </c>
      <c r="AW228" s="341"/>
      <c r="AX228" s="24">
        <f t="shared" si="202"/>
        <v>26217.40182648402</v>
      </c>
      <c r="AY228" s="351"/>
      <c r="AZ228" s="10"/>
      <c r="BA228" s="66">
        <f t="shared" si="203"/>
        <v>1151780</v>
      </c>
      <c r="BB228" s="67"/>
      <c r="BC228" s="67">
        <v>132208493</v>
      </c>
      <c r="BD228" s="67"/>
      <c r="BE228" s="67">
        <f t="shared" si="204"/>
        <v>79449</v>
      </c>
      <c r="BF228" s="67"/>
      <c r="BG228" s="156">
        <f t="shared" si="205"/>
        <v>6.8979318967163875E-2</v>
      </c>
      <c r="BH228" s="67"/>
      <c r="BI228" s="183"/>
      <c r="BJ228" s="67"/>
      <c r="BK228" s="67">
        <f t="shared" si="206"/>
        <v>7415825</v>
      </c>
      <c r="BL228" s="67"/>
      <c r="BM228" s="156">
        <f t="shared" si="207"/>
        <v>6.2456570914227343E-2</v>
      </c>
      <c r="BN228" s="66">
        <f t="shared" si="208"/>
        <v>603691.74885844754</v>
      </c>
      <c r="BO228" s="67"/>
      <c r="BP228" s="67">
        <f t="shared" si="209"/>
        <v>8461584</v>
      </c>
      <c r="BQ228" s="67"/>
      <c r="BR228" s="478">
        <f t="shared" si="210"/>
        <v>6.4001818703129765E-2</v>
      </c>
      <c r="BS228" s="67"/>
      <c r="BT228" s="86"/>
      <c r="BU228" s="183"/>
      <c r="BV228" s="1"/>
      <c r="BW228" s="61">
        <f t="shared" si="189"/>
        <v>219</v>
      </c>
    </row>
    <row r="229" spans="2:75" x14ac:dyDescent="0.3">
      <c r="B229" s="390">
        <f t="shared" si="163"/>
        <v>44129</v>
      </c>
      <c r="C229" s="61"/>
      <c r="D229" s="17">
        <v>60889</v>
      </c>
      <c r="E229" s="16"/>
      <c r="F229" s="16"/>
      <c r="G229" s="16"/>
      <c r="H229" s="16">
        <f t="shared" si="190"/>
        <v>8865120</v>
      </c>
      <c r="I229" s="16"/>
      <c r="J229" s="479">
        <f t="shared" si="191"/>
        <v>6.9158794220642323E-3</v>
      </c>
      <c r="K229" s="16"/>
      <c r="L229" s="16"/>
      <c r="M229" s="16"/>
      <c r="N229" s="16">
        <f t="shared" si="192"/>
        <v>479115</v>
      </c>
      <c r="O229" s="16">
        <f t="shared" si="193"/>
        <v>40296</v>
      </c>
      <c r="P229" s="41"/>
      <c r="Q229" s="17">
        <f t="shared" si="161"/>
        <v>479115</v>
      </c>
      <c r="R229" s="16"/>
      <c r="S229" s="60">
        <f t="shared" si="162"/>
        <v>0.21600631460862371</v>
      </c>
      <c r="T229" s="16"/>
      <c r="U229" s="41"/>
      <c r="V229" s="391">
        <f t="shared" si="109"/>
        <v>121</v>
      </c>
      <c r="W229" s="34">
        <v>442</v>
      </c>
      <c r="X229" s="33"/>
      <c r="Y229" s="33"/>
      <c r="Z229" s="33"/>
      <c r="AA229" s="33">
        <f t="shared" si="194"/>
        <v>230433</v>
      </c>
      <c r="AB229" s="33"/>
      <c r="AC229" s="46">
        <f t="shared" si="195"/>
        <v>2.5993218365910443E-2</v>
      </c>
      <c r="AD229" s="33"/>
      <c r="AE229" s="33">
        <f t="shared" si="196"/>
        <v>1047.4227272727273</v>
      </c>
      <c r="AF229" s="50"/>
      <c r="AG229" s="33">
        <f t="shared" si="197"/>
        <v>5721</v>
      </c>
      <c r="AH229" s="33">
        <f t="shared" si="188"/>
        <v>459773592.34662843</v>
      </c>
      <c r="AI229" s="231">
        <f t="shared" si="198"/>
        <v>0.14032290213274864</v>
      </c>
      <c r="AJ229" s="50"/>
      <c r="AK229" s="10"/>
      <c r="AL229" s="23">
        <f t="shared" si="199"/>
        <v>30887</v>
      </c>
      <c r="AM229" s="24"/>
      <c r="AN229" s="24"/>
      <c r="AO229" s="24">
        <v>178263</v>
      </c>
      <c r="AP229" s="24">
        <v>5772498</v>
      </c>
      <c r="AQ229" s="24"/>
      <c r="AR229" s="504">
        <f t="shared" si="200"/>
        <v>5.379500631442987E-3</v>
      </c>
      <c r="AS229" s="25"/>
      <c r="AT229" s="25"/>
      <c r="AU229" s="24"/>
      <c r="AV229" s="341">
        <f t="shared" si="201"/>
        <v>0.6511471925929937</v>
      </c>
      <c r="AW229" s="341"/>
      <c r="AX229" s="24">
        <f t="shared" si="202"/>
        <v>26238.627272727274</v>
      </c>
      <c r="AY229" s="351"/>
      <c r="AZ229" s="391"/>
      <c r="BA229" s="66">
        <f t="shared" si="203"/>
        <v>1020835</v>
      </c>
      <c r="BB229" s="67"/>
      <c r="BC229" s="67">
        <v>133229328</v>
      </c>
      <c r="BD229" s="67"/>
      <c r="BE229" s="67">
        <f t="shared" si="204"/>
        <v>60889</v>
      </c>
      <c r="BF229" s="67"/>
      <c r="BG229" s="156">
        <f t="shared" si="205"/>
        <v>5.964626996527353E-2</v>
      </c>
      <c r="BH229" s="67"/>
      <c r="BI229" s="183"/>
      <c r="BJ229" s="67"/>
      <c r="BK229" s="67">
        <f t="shared" si="206"/>
        <v>7545447</v>
      </c>
      <c r="BL229" s="67"/>
      <c r="BM229" s="156">
        <f t="shared" si="207"/>
        <v>6.349723217193097E-2</v>
      </c>
      <c r="BN229" s="66">
        <f t="shared" si="208"/>
        <v>605587.85454545449</v>
      </c>
      <c r="BO229" s="67"/>
      <c r="BP229" s="67">
        <f t="shared" si="209"/>
        <v>8522473</v>
      </c>
      <c r="BQ229" s="67"/>
      <c r="BR229" s="478">
        <f t="shared" si="210"/>
        <v>6.3968445446185837E-2</v>
      </c>
      <c r="BS229" s="67"/>
      <c r="BT229" s="86"/>
      <c r="BU229" s="183"/>
      <c r="BV229" s="1"/>
      <c r="BW229" s="61">
        <f t="shared" si="189"/>
        <v>220</v>
      </c>
    </row>
    <row r="230" spans="2:75" x14ac:dyDescent="0.3">
      <c r="B230" s="171">
        <f t="shared" si="163"/>
        <v>44130</v>
      </c>
      <c r="C230" s="61"/>
      <c r="D230" s="17">
        <v>69841</v>
      </c>
      <c r="E230" s="16"/>
      <c r="F230" s="16"/>
      <c r="G230" s="16"/>
      <c r="H230" s="16">
        <f t="shared" ref="H230" si="211">+H229+D230</f>
        <v>8934961</v>
      </c>
      <c r="I230" s="16"/>
      <c r="J230" s="479">
        <f t="shared" ref="J230" si="212">+D230/H229</f>
        <v>7.8781787499774391E-3</v>
      </c>
      <c r="K230" s="16"/>
      <c r="L230" s="16"/>
      <c r="M230" s="16"/>
      <c r="N230" s="16">
        <f t="shared" ref="N230" si="213">SUM(D224:D230)</f>
        <v>491629</v>
      </c>
      <c r="O230" s="16">
        <f t="shared" ref="O230" si="214">+H230/BW230</f>
        <v>40429.687782805428</v>
      </c>
      <c r="P230" s="41"/>
      <c r="Q230" s="17">
        <f t="shared" si="161"/>
        <v>491629</v>
      </c>
      <c r="R230" s="16"/>
      <c r="S230" s="60">
        <f t="shared" si="162"/>
        <v>0.21227342106755634</v>
      </c>
      <c r="T230" s="16"/>
      <c r="U230" s="41"/>
      <c r="V230" s="10">
        <f t="shared" si="109"/>
        <v>122</v>
      </c>
      <c r="W230" s="34">
        <v>529</v>
      </c>
      <c r="X230" s="33"/>
      <c r="Y230" s="33"/>
      <c r="Z230" s="33"/>
      <c r="AA230" s="33">
        <f t="shared" ref="AA230" si="215">+AA229+W230</f>
        <v>230962</v>
      </c>
      <c r="AB230" s="33"/>
      <c r="AC230" s="46">
        <f t="shared" ref="AC230" si="216">+AA230/H230</f>
        <v>2.5849245452778138E-2</v>
      </c>
      <c r="AD230" s="33"/>
      <c r="AE230" s="33">
        <f t="shared" ref="AE230" si="217">+AA230/BW230</f>
        <v>1045.0769230769231</v>
      </c>
      <c r="AF230" s="50"/>
      <c r="AG230" s="33">
        <f t="shared" ref="AG230" si="218">SUM(W224:W230)</f>
        <v>5808</v>
      </c>
      <c r="AH230" s="33">
        <f t="shared" si="188"/>
        <v>459730386.34662843</v>
      </c>
      <c r="AI230" s="231">
        <f t="shared" ref="AI230" si="219">+(AG230-AG223)/AG223</f>
        <v>0.12930196383433792</v>
      </c>
      <c r="AJ230" s="50"/>
      <c r="AK230" s="10"/>
      <c r="AL230" s="23">
        <f t="shared" ref="AL230" si="220">+AP230-AP229</f>
        <v>61326</v>
      </c>
      <c r="AM230" s="24"/>
      <c r="AN230" s="24"/>
      <c r="AO230" s="24">
        <v>178263</v>
      </c>
      <c r="AP230" s="24">
        <v>5833824</v>
      </c>
      <c r="AQ230" s="24"/>
      <c r="AR230" s="504">
        <f t="shared" ref="AR230" si="221">+AL230/AP229</f>
        <v>1.0623823516266269E-2</v>
      </c>
      <c r="AS230" s="25"/>
      <c r="AT230" s="25"/>
      <c r="AU230" s="24"/>
      <c r="AV230" s="341">
        <f t="shared" ref="AV230" si="222">+AP230/H230</f>
        <v>0.65292103681258373</v>
      </c>
      <c r="AW230" s="341"/>
      <c r="AX230" s="24">
        <f t="shared" ref="AX230" si="223">+AP230/BW230</f>
        <v>26397.393665158372</v>
      </c>
      <c r="AY230" s="351"/>
      <c r="AZ230" s="10"/>
      <c r="BA230" s="66">
        <f t="shared" ref="BA230" si="224">+BC230-BC229</f>
        <v>1246764</v>
      </c>
      <c r="BB230" s="67"/>
      <c r="BC230" s="67">
        <v>134476092</v>
      </c>
      <c r="BD230" s="67"/>
      <c r="BE230" s="67">
        <f t="shared" ref="BE230" si="225">+D230</f>
        <v>69841</v>
      </c>
      <c r="BF230" s="67"/>
      <c r="BG230" s="156">
        <f t="shared" ref="BG230" si="226">+BE230/BA230</f>
        <v>5.6017818929645066E-2</v>
      </c>
      <c r="BH230" s="67"/>
      <c r="BI230" s="183"/>
      <c r="BJ230" s="67"/>
      <c r="BK230" s="67">
        <f t="shared" ref="BK230" si="227">SUM(BA224:BA230)</f>
        <v>7418985</v>
      </c>
      <c r="BL230" s="67"/>
      <c r="BM230" s="156">
        <f t="shared" ref="BM230" si="228">+Q230/BK230</f>
        <v>6.6266342363544339E-2</v>
      </c>
      <c r="BN230" s="66">
        <f t="shared" ref="BN230" si="229">+BC230/BW230</f>
        <v>608489.10407239816</v>
      </c>
      <c r="BO230" s="67"/>
      <c r="BP230" s="67">
        <f t="shared" ref="BP230" si="230">+BP229+BE230</f>
        <v>8592314</v>
      </c>
      <c r="BQ230" s="67"/>
      <c r="BR230" s="478">
        <f t="shared" ref="BR230" si="231">+BP230/BC230</f>
        <v>6.3894733050392338E-2</v>
      </c>
      <c r="BS230" s="67"/>
      <c r="BT230" s="86"/>
      <c r="BU230" s="183"/>
      <c r="BV230" s="1"/>
      <c r="BW230" s="61">
        <f t="shared" si="189"/>
        <v>221</v>
      </c>
    </row>
    <row r="231" spans="2:75" x14ac:dyDescent="0.3">
      <c r="B231" s="171">
        <f t="shared" si="163"/>
        <v>44131</v>
      </c>
      <c r="C231" s="61"/>
      <c r="D231" s="17">
        <v>75072</v>
      </c>
      <c r="E231" s="16"/>
      <c r="F231" s="16"/>
      <c r="G231" s="16"/>
      <c r="H231" s="16">
        <f t="shared" ref="H231" si="232">+H230+D231</f>
        <v>9010033</v>
      </c>
      <c r="I231" s="16"/>
      <c r="J231" s="479">
        <f t="shared" ref="J231" si="233">+D231/H230</f>
        <v>8.4020512232789828E-3</v>
      </c>
      <c r="K231" s="16"/>
      <c r="L231" s="16"/>
      <c r="M231" s="16"/>
      <c r="N231" s="16">
        <f t="shared" ref="N231" si="234">SUM(D225:D231)</f>
        <v>504629</v>
      </c>
      <c r="O231" s="16">
        <f t="shared" ref="O231" si="235">+H231/BW231</f>
        <v>40585.734234234231</v>
      </c>
      <c r="P231" s="41"/>
      <c r="Q231" s="17">
        <f t="shared" si="161"/>
        <v>504629</v>
      </c>
      <c r="R231" s="16"/>
      <c r="S231" s="60">
        <f t="shared" si="162"/>
        <v>0.21281433182481296</v>
      </c>
      <c r="T231" s="16"/>
      <c r="U231" s="41"/>
      <c r="V231" s="10">
        <f t="shared" si="109"/>
        <v>123</v>
      </c>
      <c r="W231" s="34">
        <v>1039</v>
      </c>
      <c r="X231" s="33"/>
      <c r="Y231" s="33"/>
      <c r="Z231" s="33"/>
      <c r="AA231" s="33">
        <f t="shared" ref="AA231" si="236">+AA230+W231</f>
        <v>232001</v>
      </c>
      <c r="AB231" s="33"/>
      <c r="AC231" s="46">
        <f t="shared" ref="AC231" si="237">+AA231/H231</f>
        <v>2.5749184270468267E-2</v>
      </c>
      <c r="AD231" s="33"/>
      <c r="AE231" s="33">
        <f t="shared" ref="AE231" si="238">+AA231/BW231</f>
        <v>1045.0495495495495</v>
      </c>
      <c r="AF231" s="50"/>
      <c r="AG231" s="33">
        <f t="shared" ref="AG231" si="239">SUM(W225:W231)</f>
        <v>5895</v>
      </c>
      <c r="AH231" s="33">
        <f t="shared" si="188"/>
        <v>459696604.34662843</v>
      </c>
      <c r="AI231" s="231">
        <f t="shared" ref="AI231" si="240">+(AG231-AG224)/AG224</f>
        <v>0.12242955064737243</v>
      </c>
      <c r="AJ231" s="50"/>
      <c r="AK231" s="10"/>
      <c r="AL231" s="23">
        <f t="shared" ref="AL231" si="241">+AP231-AP230</f>
        <v>44140</v>
      </c>
      <c r="AM231" s="24"/>
      <c r="AN231" s="24"/>
      <c r="AO231" s="24">
        <v>178263</v>
      </c>
      <c r="AP231" s="24">
        <v>5877964</v>
      </c>
      <c r="AQ231" s="24"/>
      <c r="AR231" s="504">
        <f t="shared" ref="AR231" si="242">+AL231/AP230</f>
        <v>7.5662207156060928E-3</v>
      </c>
      <c r="AS231" s="25"/>
      <c r="AT231" s="25"/>
      <c r="AU231" s="24"/>
      <c r="AV231" s="341">
        <f t="shared" ref="AV231" si="243">+AP231/H231</f>
        <v>0.65237985254881969</v>
      </c>
      <c r="AW231" s="341"/>
      <c r="AX231" s="24">
        <f t="shared" ref="AX231" si="244">+AP231/BW231</f>
        <v>26477.315315315314</v>
      </c>
      <c r="AY231" s="351"/>
      <c r="AZ231" s="10"/>
      <c r="BA231" s="66">
        <f t="shared" ref="BA231" si="245">+BC231-BC230</f>
        <v>948841</v>
      </c>
      <c r="BB231" s="67"/>
      <c r="BC231" s="67">
        <v>135424933</v>
      </c>
      <c r="BD231" s="67"/>
      <c r="BE231" s="67">
        <f t="shared" ref="BE231" si="246">+D231</f>
        <v>75072</v>
      </c>
      <c r="BF231" s="67"/>
      <c r="BG231" s="156">
        <f t="shared" ref="BG231" si="247">+BE231/BA231</f>
        <v>7.9119683909105953E-2</v>
      </c>
      <c r="BH231" s="67"/>
      <c r="BI231" s="183"/>
      <c r="BJ231" s="67"/>
      <c r="BK231" s="67">
        <f t="shared" ref="BK231" si="248">SUM(BA225:BA231)</f>
        <v>7590057</v>
      </c>
      <c r="BL231" s="67"/>
      <c r="BM231" s="156">
        <f t="shared" ref="BM231" si="249">+Q231/BK231</f>
        <v>6.6485534957115608E-2</v>
      </c>
      <c r="BN231" s="66">
        <f t="shared" ref="BN231" si="250">+BC231/BW231</f>
        <v>610022.22072072071</v>
      </c>
      <c r="BO231" s="67"/>
      <c r="BP231" s="67">
        <f t="shared" ref="BP231" si="251">+BP230+BE231</f>
        <v>8667386</v>
      </c>
      <c r="BQ231" s="67"/>
      <c r="BR231" s="478">
        <f t="shared" ref="BR231" si="252">+BP231/BC231</f>
        <v>6.4001405117918728E-2</v>
      </c>
      <c r="BS231" s="67"/>
      <c r="BT231" s="86"/>
      <c r="BU231" s="183"/>
      <c r="BV231" s="1"/>
      <c r="BW231" s="61">
        <f t="shared" si="189"/>
        <v>222</v>
      </c>
    </row>
    <row r="232" spans="2:75" x14ac:dyDescent="0.3">
      <c r="B232" s="171">
        <f t="shared" si="163"/>
        <v>44132</v>
      </c>
      <c r="C232" s="61"/>
      <c r="D232" s="17">
        <v>81581</v>
      </c>
      <c r="E232" s="16"/>
      <c r="F232" s="16"/>
      <c r="G232" s="16"/>
      <c r="H232" s="16">
        <f t="shared" ref="H232" si="253">+H231+D232</f>
        <v>9091614</v>
      </c>
      <c r="I232" s="16"/>
      <c r="J232" s="479">
        <f t="shared" ref="J232" si="254">+D232/H231</f>
        <v>9.0544618427035733E-3</v>
      </c>
      <c r="K232" s="16"/>
      <c r="L232" s="16"/>
      <c r="M232" s="16"/>
      <c r="N232" s="16">
        <f t="shared" ref="N232" si="255">SUM(D226:D232)</f>
        <v>522547</v>
      </c>
      <c r="O232" s="16">
        <f t="shared" ref="O232" si="256">+H232/BW232</f>
        <v>40769.569506726461</v>
      </c>
      <c r="P232" s="41"/>
      <c r="Q232" s="17">
        <f t="shared" si="161"/>
        <v>522547</v>
      </c>
      <c r="R232" s="16"/>
      <c r="S232" s="60">
        <f t="shared" si="162"/>
        <v>0.24400846563869624</v>
      </c>
      <c r="T232" s="16"/>
      <c r="U232" s="41"/>
      <c r="V232" s="10">
        <f t="shared" si="109"/>
        <v>124</v>
      </c>
      <c r="W232" s="34">
        <v>1030</v>
      </c>
      <c r="X232" s="33"/>
      <c r="Y232" s="33"/>
      <c r="Z232" s="33"/>
      <c r="AA232" s="33">
        <f t="shared" ref="AA232" si="257">+AA231+W232</f>
        <v>233031</v>
      </c>
      <c r="AB232" s="33"/>
      <c r="AC232" s="46">
        <f t="shared" ref="AC232" si="258">+AA232/H232</f>
        <v>2.5631422539496289E-2</v>
      </c>
      <c r="AD232" s="33"/>
      <c r="AE232" s="33">
        <f t="shared" ref="AE232" si="259">+AA232/BW232</f>
        <v>1044.982062780269</v>
      </c>
      <c r="AF232" s="50"/>
      <c r="AG232" s="33">
        <f t="shared" ref="AG232" si="260">SUM(W226:W232)</f>
        <v>5700</v>
      </c>
      <c r="AH232" s="33">
        <f t="shared" si="188"/>
        <v>459659186.34662843</v>
      </c>
      <c r="AI232" s="231">
        <f t="shared" ref="AI232" si="261">+(AG232-AG225)/AG225</f>
        <v>3.5046304703105137E-2</v>
      </c>
      <c r="AJ232" s="50"/>
      <c r="AK232" s="10"/>
      <c r="AL232" s="23">
        <f t="shared" ref="AL232" si="262">+AP232-AP231</f>
        <v>55248</v>
      </c>
      <c r="AM232" s="24"/>
      <c r="AN232" s="24"/>
      <c r="AO232" s="24">
        <v>178263</v>
      </c>
      <c r="AP232" s="24">
        <v>5933212</v>
      </c>
      <c r="AQ232" s="24"/>
      <c r="AR232" s="504">
        <f t="shared" ref="AR232" si="263">+AL232/AP231</f>
        <v>9.3991729108922756E-3</v>
      </c>
      <c r="AS232" s="25"/>
      <c r="AT232" s="25"/>
      <c r="AU232" s="24"/>
      <c r="AV232" s="341">
        <f t="shared" ref="AV232" si="264">+AP232/H232</f>
        <v>0.65260271718530949</v>
      </c>
      <c r="AW232" s="341"/>
      <c r="AX232" s="24">
        <f t="shared" ref="AX232" si="265">+AP232/BW232</f>
        <v>26606.331838565024</v>
      </c>
      <c r="AY232" s="351"/>
      <c r="AZ232" s="10"/>
      <c r="BA232" s="66">
        <f t="shared" ref="BA232" si="266">+BC232-BC231</f>
        <v>4769881</v>
      </c>
      <c r="BB232" s="67"/>
      <c r="BC232" s="67">
        <v>140194814</v>
      </c>
      <c r="BD232" s="67"/>
      <c r="BE232" s="67">
        <f t="shared" ref="BE232" si="267">+D232</f>
        <v>81581</v>
      </c>
      <c r="BF232" s="67"/>
      <c r="BG232" s="156">
        <f t="shared" ref="BG232" si="268">+BE232/BA232</f>
        <v>1.710336169812203E-2</v>
      </c>
      <c r="BH232" s="67"/>
      <c r="BI232" s="183"/>
      <c r="BJ232" s="67"/>
      <c r="BK232" s="67">
        <f t="shared" ref="BK232" si="269">SUM(BA226:BA232)</f>
        <v>11544657</v>
      </c>
      <c r="BL232" s="67"/>
      <c r="BM232" s="156">
        <f t="shared" ref="BM232" si="270">+Q232/BK232</f>
        <v>4.5263103096090253E-2</v>
      </c>
      <c r="BN232" s="66">
        <f t="shared" ref="BN232" si="271">+BC232/BW232</f>
        <v>628676.29596412554</v>
      </c>
      <c r="BO232" s="67"/>
      <c r="BP232" s="67">
        <f t="shared" ref="BP232" si="272">+BP231+BE232</f>
        <v>8748967</v>
      </c>
      <c r="BQ232" s="67"/>
      <c r="BR232" s="478">
        <f t="shared" ref="BR232" si="273">+BP232/BC232</f>
        <v>6.2405781999896229E-2</v>
      </c>
      <c r="BS232" s="67"/>
      <c r="BT232" s="86"/>
      <c r="BU232" s="183"/>
      <c r="BV232" s="1"/>
      <c r="BW232" s="61">
        <f t="shared" si="189"/>
        <v>223</v>
      </c>
    </row>
    <row r="233" spans="2:75" x14ac:dyDescent="0.3">
      <c r="B233" s="171">
        <f t="shared" si="163"/>
        <v>44133</v>
      </c>
      <c r="C233" s="61"/>
      <c r="D233" s="17">
        <v>91530</v>
      </c>
      <c r="E233" s="16"/>
      <c r="F233" s="16"/>
      <c r="G233" s="16"/>
      <c r="H233" s="16">
        <f t="shared" ref="H233" si="274">+H232+D233</f>
        <v>9183144</v>
      </c>
      <c r="I233" s="16"/>
      <c r="J233" s="479">
        <f t="shared" ref="J233" si="275">+D233/H232</f>
        <v>1.0067519364548473E-2</v>
      </c>
      <c r="K233" s="16"/>
      <c r="L233" s="16"/>
      <c r="M233" s="16"/>
      <c r="N233" s="16">
        <f t="shared" ref="N233" si="276">SUM(D227:D233)</f>
        <v>539776</v>
      </c>
      <c r="O233" s="16">
        <f t="shared" ref="O233" si="277">+H233/BW233</f>
        <v>40996.178571428572</v>
      </c>
      <c r="P233" s="41"/>
      <c r="Q233" s="17">
        <f t="shared" si="161"/>
        <v>539776</v>
      </c>
      <c r="R233" s="16"/>
      <c r="S233" s="60">
        <f t="shared" si="162"/>
        <v>0.2605021215581601</v>
      </c>
      <c r="T233" s="16"/>
      <c r="U233" s="41"/>
      <c r="V233" s="10">
        <f t="shared" si="109"/>
        <v>125</v>
      </c>
      <c r="W233" s="34">
        <v>1047</v>
      </c>
      <c r="X233" s="33"/>
      <c r="Y233" s="33"/>
      <c r="Z233" s="33"/>
      <c r="AA233" s="33">
        <f t="shared" ref="AA233" si="278">+AA232+W233</f>
        <v>234078</v>
      </c>
      <c r="AB233" s="33"/>
      <c r="AC233" s="46">
        <f t="shared" ref="AC233" si="279">+AA233/H233</f>
        <v>2.5489962914661907E-2</v>
      </c>
      <c r="AD233" s="33"/>
      <c r="AE233" s="33">
        <f t="shared" ref="AE233" si="280">+AA233/BW233</f>
        <v>1044.9910714285713</v>
      </c>
      <c r="AF233" s="50"/>
      <c r="AG233" s="33">
        <f t="shared" ref="AG233" si="281">SUM(W227:W233)</f>
        <v>5774</v>
      </c>
      <c r="AH233" s="33">
        <f t="shared" ref="AH233" si="282">SUM(D204:D378)</f>
        <v>459614959.34662843</v>
      </c>
      <c r="AI233" s="231">
        <f t="shared" ref="AI233" si="283">+(AG233-AG226)/AG226</f>
        <v>2.9967891544773455E-2</v>
      </c>
      <c r="AJ233" s="50"/>
      <c r="AK233" s="10"/>
      <c r="AL233" s="23">
        <f t="shared" ref="AL233" si="284">+AP233-AP232</f>
        <v>50133</v>
      </c>
      <c r="AM233" s="24"/>
      <c r="AN233" s="24"/>
      <c r="AO233" s="24">
        <v>178263</v>
      </c>
      <c r="AP233" s="24">
        <v>5983345</v>
      </c>
      <c r="AQ233" s="24"/>
      <c r="AR233" s="504">
        <f t="shared" ref="AR233" si="285">+AL233/AP232</f>
        <v>8.449554811120856E-3</v>
      </c>
      <c r="AS233" s="25"/>
      <c r="AT233" s="25"/>
      <c r="AU233" s="24"/>
      <c r="AV233" s="341">
        <f t="shared" ref="AV233" si="286">+AP233/H233</f>
        <v>0.65155735334216691</v>
      </c>
      <c r="AW233" s="341"/>
      <c r="AX233" s="24">
        <f t="shared" ref="AX233" si="287">+AP233/BW233</f>
        <v>26711.361607142859</v>
      </c>
      <c r="AY233" s="351"/>
      <c r="AZ233" s="10"/>
      <c r="BA233" s="66">
        <f t="shared" ref="BA233" si="288">+BC233-BC232</f>
        <v>1474514</v>
      </c>
      <c r="BB233" s="67"/>
      <c r="BC233" s="67">
        <v>141669328</v>
      </c>
      <c r="BD233" s="67"/>
      <c r="BE233" s="67">
        <f t="shared" ref="BE233" si="289">+D233</f>
        <v>91530</v>
      </c>
      <c r="BF233" s="67"/>
      <c r="BG233" s="156">
        <f t="shared" ref="BG233" si="290">+BE233/BA233</f>
        <v>6.2074690372556654E-2</v>
      </c>
      <c r="BH233" s="67"/>
      <c r="BI233" s="183"/>
      <c r="BJ233" s="67"/>
      <c r="BK233" s="67">
        <f t="shared" ref="BK233" si="291">SUM(BA227:BA233)</f>
        <v>11864760</v>
      </c>
      <c r="BL233" s="67"/>
      <c r="BM233" s="156">
        <f t="shared" ref="BM233" si="292">+Q233/BK233</f>
        <v>4.5494051291387269E-2</v>
      </c>
      <c r="BN233" s="66">
        <f t="shared" ref="BN233" si="293">+BC233/BW233</f>
        <v>632452.35714285716</v>
      </c>
      <c r="BO233" s="67"/>
      <c r="BP233" s="67">
        <f t="shared" ref="BP233" si="294">+BP232+BE233</f>
        <v>8840497</v>
      </c>
      <c r="BQ233" s="67"/>
      <c r="BR233" s="478">
        <f t="shared" ref="BR233" si="295">+BP233/BC233</f>
        <v>6.2402335952352367E-2</v>
      </c>
      <c r="BS233" s="67"/>
      <c r="BT233" s="86"/>
      <c r="BU233" s="183"/>
      <c r="BV233" s="1"/>
      <c r="BW233" s="61">
        <f t="shared" si="189"/>
        <v>224</v>
      </c>
    </row>
    <row r="234" spans="2:75" x14ac:dyDescent="0.3">
      <c r="B234" s="171">
        <f t="shared" si="163"/>
        <v>44134</v>
      </c>
      <c r="C234" s="61"/>
      <c r="D234" s="17">
        <v>101461</v>
      </c>
      <c r="E234" s="16"/>
      <c r="F234" s="16"/>
      <c r="G234" s="16"/>
      <c r="H234" s="16">
        <f t="shared" ref="H234" si="296">+H233+D234</f>
        <v>9284605</v>
      </c>
      <c r="I234" s="16"/>
      <c r="J234" s="479">
        <f t="shared" ref="J234" si="297">+D234/H233</f>
        <v>1.1048612544897477E-2</v>
      </c>
      <c r="K234" s="16"/>
      <c r="L234" s="16"/>
      <c r="M234" s="16"/>
      <c r="N234" s="16">
        <f t="shared" ref="N234" si="298">SUM(D228:D234)</f>
        <v>559823</v>
      </c>
      <c r="O234" s="16">
        <f t="shared" ref="O234" si="299">+H234/BW234</f>
        <v>41264.911111111112</v>
      </c>
      <c r="P234" s="41"/>
      <c r="Q234" s="17">
        <f t="shared" si="161"/>
        <v>559823</v>
      </c>
      <c r="R234" s="16"/>
      <c r="S234" s="60">
        <f t="shared" si="162"/>
        <v>0.27828062564219658</v>
      </c>
      <c r="T234" s="16"/>
      <c r="U234" s="41"/>
      <c r="V234" s="10">
        <f t="shared" si="109"/>
        <v>126</v>
      </c>
      <c r="W234" s="34">
        <v>988</v>
      </c>
      <c r="X234" s="33"/>
      <c r="Y234" s="33"/>
      <c r="Z234" s="33"/>
      <c r="AA234" s="33">
        <f t="shared" ref="AA234" si="300">+AA233+W234</f>
        <v>235066</v>
      </c>
      <c r="AB234" s="33"/>
      <c r="AC234" s="46">
        <f t="shared" ref="AC234" si="301">+AA234/H234</f>
        <v>2.5317824506266018E-2</v>
      </c>
      <c r="AD234" s="33"/>
      <c r="AE234" s="33">
        <f t="shared" ref="AE234" si="302">+AA234/BW234</f>
        <v>1044.7377777777779</v>
      </c>
      <c r="AF234" s="50"/>
      <c r="AG234" s="33">
        <f t="shared" ref="AG234" si="303">SUM(W228:W234)</f>
        <v>5859</v>
      </c>
      <c r="AH234" s="33">
        <f t="shared" ref="AH234" si="304">SUM(D205:D379)</f>
        <v>459574030.34662843</v>
      </c>
      <c r="AI234" s="231">
        <f t="shared" ref="AI234" si="305">+(AG234-AG227)/AG227</f>
        <v>4.9811861673535206E-2</v>
      </c>
      <c r="AJ234" s="50"/>
      <c r="AK234" s="10"/>
      <c r="AL234" s="23">
        <f t="shared" ref="AL234" si="306">+AP234-AP233</f>
        <v>41167</v>
      </c>
      <c r="AM234" s="24"/>
      <c r="AN234" s="24"/>
      <c r="AO234" s="24">
        <v>178263</v>
      </c>
      <c r="AP234" s="24">
        <v>6024512</v>
      </c>
      <c r="AQ234" s="24"/>
      <c r="AR234" s="504">
        <f t="shared" ref="AR234" si="307">+AL234/AP233</f>
        <v>6.8802651359732726E-3</v>
      </c>
      <c r="AS234" s="25"/>
      <c r="AT234" s="25"/>
      <c r="AU234" s="24"/>
      <c r="AV234" s="341">
        <f t="shared" ref="AV234" si="308">+AP234/H234</f>
        <v>0.64887111514167806</v>
      </c>
      <c r="AW234" s="341"/>
      <c r="AX234" s="24">
        <f t="shared" ref="AX234" si="309">+AP234/BW234</f>
        <v>26775.608888888888</v>
      </c>
      <c r="AY234" s="351"/>
      <c r="AZ234" s="10"/>
      <c r="BA234" s="66">
        <f t="shared" ref="BA234" si="310">+BC234-BC233</f>
        <v>1281025</v>
      </c>
      <c r="BB234" s="67"/>
      <c r="BC234" s="67">
        <v>142950353</v>
      </c>
      <c r="BD234" s="67"/>
      <c r="BE234" s="67">
        <f t="shared" ref="BE234" si="311">+D234</f>
        <v>101461</v>
      </c>
      <c r="BF234" s="67"/>
      <c r="BG234" s="156">
        <f t="shared" ref="BG234" si="312">+BE234/BA234</f>
        <v>7.9202981987080659E-2</v>
      </c>
      <c r="BH234" s="67"/>
      <c r="BI234" s="183"/>
      <c r="BJ234" s="67"/>
      <c r="BK234" s="67">
        <f t="shared" ref="BK234" si="313">SUM(BA228:BA234)</f>
        <v>11893640</v>
      </c>
      <c r="BL234" s="67"/>
      <c r="BM234" s="156">
        <f t="shared" ref="BM234" si="314">+Q234/BK234</f>
        <v>4.7069105841441305E-2</v>
      </c>
      <c r="BN234" s="66">
        <f t="shared" ref="BN234" si="315">+BC234/BW234</f>
        <v>635334.90222222218</v>
      </c>
      <c r="BO234" s="67"/>
      <c r="BP234" s="67">
        <f t="shared" ref="BP234" si="316">+BP233+BE234</f>
        <v>8941958</v>
      </c>
      <c r="BQ234" s="67"/>
      <c r="BR234" s="478">
        <f t="shared" ref="BR234" si="317">+BP234/BC234</f>
        <v>6.2552892051969955E-2</v>
      </c>
      <c r="BS234" s="67"/>
      <c r="BT234" s="86"/>
      <c r="BU234" s="183"/>
      <c r="BV234" s="1"/>
      <c r="BW234" s="61">
        <f t="shared" si="189"/>
        <v>225</v>
      </c>
    </row>
    <row r="235" spans="2:75" x14ac:dyDescent="0.3">
      <c r="B235" s="171">
        <f t="shared" si="163"/>
        <v>44135</v>
      </c>
      <c r="C235" s="61"/>
      <c r="D235" s="17">
        <v>86293</v>
      </c>
      <c r="E235" s="16"/>
      <c r="F235" s="16"/>
      <c r="G235" s="16"/>
      <c r="H235" s="16">
        <f t="shared" ref="H235" si="318">+H234+D235</f>
        <v>9370898</v>
      </c>
      <c r="I235" s="16"/>
      <c r="J235" s="479">
        <f t="shared" ref="J235" si="319">+D235/H234</f>
        <v>9.2942026074345659E-3</v>
      </c>
      <c r="K235" s="16"/>
      <c r="L235" s="16"/>
      <c r="M235" s="16"/>
      <c r="N235" s="16">
        <f>SUM(D205:D235)</f>
        <v>1906897</v>
      </c>
      <c r="O235" s="16">
        <f t="shared" ref="O235" si="320">+H235/BW235</f>
        <v>41464.150442477876</v>
      </c>
      <c r="P235" s="41"/>
      <c r="Q235" s="17">
        <f t="shared" si="161"/>
        <v>566667</v>
      </c>
      <c r="R235" s="16"/>
      <c r="S235" s="60">
        <f t="shared" si="162"/>
        <v>0.22346151604065057</v>
      </c>
      <c r="T235" s="16"/>
      <c r="U235" s="41"/>
      <c r="V235" s="10">
        <f t="shared" si="109"/>
        <v>127</v>
      </c>
      <c r="W235" s="34">
        <v>914</v>
      </c>
      <c r="X235" s="33"/>
      <c r="Y235" s="33"/>
      <c r="Z235" s="33"/>
      <c r="AA235" s="33">
        <f t="shared" ref="AA235" si="321">+AA234+W235</f>
        <v>235980</v>
      </c>
      <c r="AB235" s="33"/>
      <c r="AC235" s="46">
        <f t="shared" ref="AC235" si="322">+AA235/H235</f>
        <v>2.5182218395718318E-2</v>
      </c>
      <c r="AD235" s="33"/>
      <c r="AE235" s="33">
        <f t="shared" ref="AE235" si="323">+AA235/BW235</f>
        <v>1044.1592920353983</v>
      </c>
      <c r="AF235" s="50"/>
      <c r="AG235" s="33">
        <f t="shared" ref="AG235" si="324">SUM(W229:W235)</f>
        <v>5989</v>
      </c>
      <c r="AH235" s="33">
        <f t="shared" ref="AH235" si="325">SUM(D206:D380)</f>
        <v>459526641.34662843</v>
      </c>
      <c r="AI235" s="231">
        <f t="shared" ref="AI235" si="326">+(AG235-AG228)/AG228</f>
        <v>4.5748210232233279E-2</v>
      </c>
      <c r="AJ235" s="50"/>
      <c r="AK235" s="10"/>
      <c r="AL235" s="23">
        <f t="shared" ref="AL235" si="327">+AP235-AP234</f>
        <v>37926</v>
      </c>
      <c r="AM235" s="24"/>
      <c r="AN235" s="24"/>
      <c r="AO235" s="24">
        <v>178263</v>
      </c>
      <c r="AP235" s="24">
        <v>6062438</v>
      </c>
      <c r="AQ235" s="24"/>
      <c r="AR235" s="504">
        <f t="shared" ref="AR235" si="328">+AL235/AP234</f>
        <v>6.2952816759266148E-3</v>
      </c>
      <c r="AS235" s="25"/>
      <c r="AT235" s="25"/>
      <c r="AU235" s="24"/>
      <c r="AV235" s="341">
        <f t="shared" ref="AV235" si="329">+AP235/H235</f>
        <v>0.6469431211395108</v>
      </c>
      <c r="AW235" s="341"/>
      <c r="AX235" s="24">
        <f t="shared" ref="AX235" si="330">+AP235/BW235</f>
        <v>26824.946902654869</v>
      </c>
      <c r="AY235" s="351"/>
      <c r="AZ235" s="10"/>
      <c r="BA235" s="66">
        <f t="shared" ref="BA235" si="331">+BC235-BC234</f>
        <v>1235921</v>
      </c>
      <c r="BB235" s="67"/>
      <c r="BC235" s="67">
        <v>144186274</v>
      </c>
      <c r="BD235" s="67"/>
      <c r="BE235" s="67">
        <f t="shared" ref="BE235" si="332">+D235</f>
        <v>86293</v>
      </c>
      <c r="BF235" s="67"/>
      <c r="BG235" s="156">
        <f t="shared" ref="BG235" si="333">+BE235/BA235</f>
        <v>6.9820805698746116E-2</v>
      </c>
      <c r="BH235" s="67"/>
      <c r="BI235" s="183"/>
      <c r="BJ235" s="67"/>
      <c r="BK235" s="67">
        <f t="shared" ref="BK235" si="334">SUM(BA229:BA235)</f>
        <v>11977781</v>
      </c>
      <c r="BL235" s="67"/>
      <c r="BM235" s="156">
        <f t="shared" ref="BM235" si="335">+Q235/BK235</f>
        <v>4.7309848126293179E-2</v>
      </c>
      <c r="BN235" s="66">
        <f t="shared" ref="BN235" si="336">+BC235/BW235</f>
        <v>637992.36283185845</v>
      </c>
      <c r="BO235" s="67"/>
      <c r="BP235" s="67">
        <f t="shared" ref="BP235" si="337">+BP234+BE235</f>
        <v>9028251</v>
      </c>
      <c r="BQ235" s="67"/>
      <c r="BR235" s="478">
        <f t="shared" ref="BR235" si="338">+BP235/BC235</f>
        <v>6.2615190402936685E-2</v>
      </c>
      <c r="BS235" s="67"/>
      <c r="BT235" s="86"/>
      <c r="BU235" s="183"/>
      <c r="BV235" s="1"/>
      <c r="BW235" s="61">
        <f t="shared" si="189"/>
        <v>226</v>
      </c>
    </row>
    <row r="236" spans="2:75" x14ac:dyDescent="0.3">
      <c r="B236" s="390">
        <f t="shared" si="163"/>
        <v>44136</v>
      </c>
      <c r="C236" s="61"/>
      <c r="D236" s="17">
        <v>71321</v>
      </c>
      <c r="E236" s="16"/>
      <c r="F236" s="16"/>
      <c r="G236" s="16"/>
      <c r="H236" s="16">
        <f t="shared" ref="H236" si="339">+H235+D236</f>
        <v>9442219</v>
      </c>
      <c r="I236" s="16"/>
      <c r="J236" s="479">
        <f t="shared" ref="J236" si="340">+D236/H235</f>
        <v>7.6109034587720408E-3</v>
      </c>
      <c r="K236" s="16"/>
      <c r="L236" s="16"/>
      <c r="M236" s="16"/>
      <c r="N236" s="16">
        <f t="shared" ref="N236" si="341">SUM(D230:D236)</f>
        <v>577099</v>
      </c>
      <c r="O236" s="16">
        <f t="shared" ref="O236" si="342">+H236/BW236</f>
        <v>41595.678414096918</v>
      </c>
      <c r="P236" s="41"/>
      <c r="Q236" s="17">
        <f t="shared" si="161"/>
        <v>577099</v>
      </c>
      <c r="R236" s="16"/>
      <c r="S236" s="60">
        <f t="shared" si="162"/>
        <v>0.20451039938219426</v>
      </c>
      <c r="T236" s="16"/>
      <c r="U236" s="41"/>
      <c r="V236" s="10">
        <f t="shared" si="109"/>
        <v>128</v>
      </c>
      <c r="W236" s="34">
        <v>399</v>
      </c>
      <c r="X236" s="33"/>
      <c r="Y236" s="33"/>
      <c r="Z236" s="33"/>
      <c r="AA236" s="33">
        <f t="shared" ref="AA236" si="343">+AA235+W236</f>
        <v>236379</v>
      </c>
      <c r="AB236" s="33"/>
      <c r="AC236" s="46">
        <f t="shared" ref="AC236" si="344">+AA236/H236</f>
        <v>2.5034263661963357E-2</v>
      </c>
      <c r="AD236" s="33"/>
      <c r="AE236" s="33">
        <f t="shared" ref="AE236" si="345">+AA236/BW236</f>
        <v>1041.3171806167402</v>
      </c>
      <c r="AF236" s="50"/>
      <c r="AG236" s="33">
        <f t="shared" ref="AG236" si="346">SUM(W230:W236)</f>
        <v>5946</v>
      </c>
      <c r="AH236" s="33">
        <f t="shared" ref="AH236" si="347">SUM(D207:D381)</f>
        <v>459475238.34662843</v>
      </c>
      <c r="AI236" s="231">
        <f t="shared" ref="AI236" si="348">+(AG236-AG229)/AG229</f>
        <v>3.9328788673308863E-2</v>
      </c>
      <c r="AJ236" s="50"/>
      <c r="AK236" s="391"/>
      <c r="AL236" s="23">
        <f t="shared" ref="AL236" si="349">+AP236-AP235</f>
        <v>41167</v>
      </c>
      <c r="AM236" s="24"/>
      <c r="AN236" s="24"/>
      <c r="AO236" s="24">
        <v>178263</v>
      </c>
      <c r="AP236" s="24">
        <v>6103605</v>
      </c>
      <c r="AQ236" s="24"/>
      <c r="AR236" s="504">
        <f t="shared" ref="AR236" si="350">+AL236/AP235</f>
        <v>6.7905024348290238E-3</v>
      </c>
      <c r="AS236" s="25"/>
      <c r="AT236" s="25"/>
      <c r="AU236" s="24"/>
      <c r="AV236" s="341">
        <f t="shared" ref="AV236" si="351">+AP236/H236</f>
        <v>0.64641637733672563</v>
      </c>
      <c r="AW236" s="341"/>
      <c r="AX236" s="24">
        <f t="shared" ref="AX236" si="352">+AP236/BW236</f>
        <v>26888.127753303965</v>
      </c>
      <c r="AY236" s="351"/>
      <c r="AZ236" s="391"/>
      <c r="BA236" s="66">
        <f t="shared" ref="BA236" si="353">+BC236-BC235</f>
        <v>851151</v>
      </c>
      <c r="BB236" s="67"/>
      <c r="BC236" s="67">
        <v>145037425</v>
      </c>
      <c r="BD236" s="67"/>
      <c r="BE236" s="67">
        <f t="shared" ref="BE236" si="354">+D236</f>
        <v>71321</v>
      </c>
      <c r="BF236" s="67"/>
      <c r="BG236" s="156">
        <f t="shared" ref="BG236" si="355">+BE236/BA236</f>
        <v>8.3793592441294196E-2</v>
      </c>
      <c r="BH236" s="67"/>
      <c r="BI236" s="183"/>
      <c r="BJ236" s="67"/>
      <c r="BK236" s="67">
        <f t="shared" ref="BK236" si="356">SUM(BA230:BA236)</f>
        <v>11808097</v>
      </c>
      <c r="BL236" s="67"/>
      <c r="BM236" s="156">
        <f t="shared" ref="BM236" si="357">+Q236/BK236</f>
        <v>4.8873158816361346E-2</v>
      </c>
      <c r="BN236" s="66">
        <f t="shared" ref="BN236" si="358">+BC236/BW236</f>
        <v>638931.38766519818</v>
      </c>
      <c r="BO236" s="67"/>
      <c r="BP236" s="67">
        <f t="shared" ref="BP236" si="359">+BP235+BE236</f>
        <v>9099572</v>
      </c>
      <c r="BQ236" s="67"/>
      <c r="BR236" s="478">
        <f t="shared" ref="BR236" si="360">+BP236/BC236</f>
        <v>6.2739475690498508E-2</v>
      </c>
      <c r="BS236" s="67"/>
      <c r="BT236" s="86"/>
      <c r="BU236" s="183"/>
      <c r="BV236" s="1"/>
      <c r="BW236" s="61">
        <f t="shared" si="189"/>
        <v>227</v>
      </c>
    </row>
    <row r="237" spans="2:75" x14ac:dyDescent="0.3">
      <c r="B237" s="171">
        <f t="shared" si="163"/>
        <v>44137</v>
      </c>
      <c r="C237" s="61"/>
      <c r="D237" s="17">
        <v>88905</v>
      </c>
      <c r="E237" s="16"/>
      <c r="F237" s="16"/>
      <c r="G237" s="16"/>
      <c r="H237" s="16">
        <f t="shared" ref="H237" si="361">+H236+D237</f>
        <v>9531124</v>
      </c>
      <c r="I237" s="16"/>
      <c r="J237" s="479">
        <f t="shared" ref="J237" si="362">+D237/H236</f>
        <v>9.4156892569426734E-3</v>
      </c>
      <c r="K237" s="16"/>
      <c r="L237" s="16"/>
      <c r="M237" s="16"/>
      <c r="N237" s="16">
        <f t="shared" ref="N237" si="363">SUM(D231:D237)</f>
        <v>596163</v>
      </c>
      <c r="O237" s="16">
        <f t="shared" ref="O237" si="364">+H237/BW237</f>
        <v>41803.175438596489</v>
      </c>
      <c r="P237" s="41"/>
      <c r="Q237" s="17">
        <f t="shared" ref="Q237" si="365">SUM(D231:D237)</f>
        <v>596163</v>
      </c>
      <c r="R237" s="16"/>
      <c r="S237" s="60">
        <f t="shared" ref="S237" si="366">+(Q237-Q230)/Q230</f>
        <v>0.21262781487666513</v>
      </c>
      <c r="T237" s="16"/>
      <c r="U237" s="41"/>
      <c r="V237" s="10">
        <f t="shared" si="109"/>
        <v>129</v>
      </c>
      <c r="W237" s="34">
        <v>522</v>
      </c>
      <c r="X237" s="33"/>
      <c r="Y237" s="33"/>
      <c r="Z237" s="33"/>
      <c r="AA237" s="33">
        <f t="shared" ref="AA237" si="367">+AA236+W237</f>
        <v>236901</v>
      </c>
      <c r="AB237" s="33"/>
      <c r="AC237" s="46">
        <f t="shared" ref="AC237" si="368">+AA237/H237</f>
        <v>2.4855515467011025E-2</v>
      </c>
      <c r="AD237" s="33"/>
      <c r="AE237" s="33">
        <f t="shared" ref="AE237" si="369">+AA237/BW237</f>
        <v>1039.0394736842106</v>
      </c>
      <c r="AF237" s="50"/>
      <c r="AG237" s="33">
        <f t="shared" ref="AG237" si="370">SUM(W231:W237)</f>
        <v>5939</v>
      </c>
      <c r="AH237" s="33">
        <f t="shared" ref="AH237" si="371">SUM(D208:D382)</f>
        <v>459426313.34662843</v>
      </c>
      <c r="AI237" s="231">
        <f t="shared" ref="AI237" si="372">+(AG237-AG230)/AG230</f>
        <v>2.2555096418732781E-2</v>
      </c>
      <c r="AJ237" s="50"/>
      <c r="AK237" s="10"/>
      <c r="AL237" s="23">
        <f t="shared" ref="AL237" si="373">+AP237-AP236</f>
        <v>67797</v>
      </c>
      <c r="AM237" s="24"/>
      <c r="AN237" s="24"/>
      <c r="AO237" s="24">
        <v>178263</v>
      </c>
      <c r="AP237" s="24">
        <v>6171402</v>
      </c>
      <c r="AQ237" s="24"/>
      <c r="AR237" s="504">
        <f t="shared" ref="AR237" si="374">+AL237/AP236</f>
        <v>1.1107697827759168E-2</v>
      </c>
      <c r="AS237" s="25"/>
      <c r="AT237" s="25"/>
      <c r="AU237" s="24"/>
      <c r="AV237" s="341">
        <f t="shared" ref="AV237" si="375">+AP237/H237</f>
        <v>0.6474999171136584</v>
      </c>
      <c r="AW237" s="341"/>
      <c r="AX237" s="24">
        <f t="shared" ref="AX237" si="376">+AP237/BW237</f>
        <v>27067.552631578947</v>
      </c>
      <c r="AY237" s="351"/>
      <c r="AZ237" s="10"/>
      <c r="BA237" s="66">
        <f t="shared" ref="BA237" si="377">+BC237-BC236</f>
        <v>4657343</v>
      </c>
      <c r="BB237" s="67"/>
      <c r="BC237" s="67">
        <v>149694768</v>
      </c>
      <c r="BD237" s="67"/>
      <c r="BE237" s="67">
        <f t="shared" ref="BE237" si="378">+D237</f>
        <v>88905</v>
      </c>
      <c r="BF237" s="67"/>
      <c r="BG237" s="156">
        <f t="shared" ref="BG237" si="379">+BE237/BA237</f>
        <v>1.9089210307250293E-2</v>
      </c>
      <c r="BH237" s="67"/>
      <c r="BI237" s="183"/>
      <c r="BJ237" s="67"/>
      <c r="BK237" s="67">
        <f t="shared" ref="BK237" si="380">SUM(BA231:BA237)</f>
        <v>15218676</v>
      </c>
      <c r="BL237" s="67"/>
      <c r="BM237" s="156">
        <f t="shared" ref="BM237" si="381">+Q237/BK237</f>
        <v>3.9173118607689655E-2</v>
      </c>
      <c r="BN237" s="66">
        <f t="shared" ref="BN237" si="382">+BC237/BW237</f>
        <v>656556</v>
      </c>
      <c r="BO237" s="67"/>
      <c r="BP237" s="67">
        <f t="shared" ref="BP237" si="383">+BP236+BE237</f>
        <v>9188477</v>
      </c>
      <c r="BQ237" s="67"/>
      <c r="BR237" s="478">
        <f t="shared" ref="BR237" si="384">+BP237/BC237</f>
        <v>6.1381417151466507E-2</v>
      </c>
      <c r="BS237" s="67"/>
      <c r="BT237" s="86"/>
      <c r="BU237" s="183"/>
      <c r="BV237" s="1"/>
      <c r="BW237" s="61">
        <f t="shared" si="189"/>
        <v>228</v>
      </c>
    </row>
    <row r="238" spans="2:75" x14ac:dyDescent="0.3">
      <c r="B238" s="171">
        <f t="shared" si="163"/>
        <v>44138</v>
      </c>
      <c r="C238" s="61"/>
      <c r="D238" s="17">
        <v>94467</v>
      </c>
      <c r="E238" s="16"/>
      <c r="F238" s="16"/>
      <c r="G238" s="16"/>
      <c r="H238" s="16">
        <f t="shared" ref="H238" si="385">+H237+D238</f>
        <v>9625591</v>
      </c>
      <c r="I238" s="16"/>
      <c r="J238" s="479">
        <f t="shared" ref="J238" si="386">+D238/H237</f>
        <v>9.9114228290388424E-3</v>
      </c>
      <c r="K238" s="16"/>
      <c r="L238" s="16"/>
      <c r="M238" s="16"/>
      <c r="N238" s="16">
        <f t="shared" ref="N238" si="387">SUM(D232:D238)</f>
        <v>615558</v>
      </c>
      <c r="O238" s="16">
        <f t="shared" ref="O238" si="388">+H238/BW238</f>
        <v>42033.148471615721</v>
      </c>
      <c r="P238" s="41"/>
      <c r="Q238" s="17">
        <f t="shared" ref="Q238" si="389">SUM(D232:D238)</f>
        <v>615558</v>
      </c>
      <c r="R238" s="16"/>
      <c r="S238" s="60">
        <f t="shared" ref="S238" si="390">+(Q238-Q231)/Q231</f>
        <v>0.21982287977900597</v>
      </c>
      <c r="T238" s="16"/>
      <c r="U238" s="41"/>
      <c r="V238" s="10">
        <f t="shared" si="109"/>
        <v>130</v>
      </c>
      <c r="W238" s="34">
        <v>1187</v>
      </c>
      <c r="X238" s="33"/>
      <c r="Y238" s="33"/>
      <c r="Z238" s="33"/>
      <c r="AA238" s="33">
        <f t="shared" ref="AA238" si="391">+AA237+W238</f>
        <v>238088</v>
      </c>
      <c r="AB238" s="33"/>
      <c r="AC238" s="46">
        <f t="shared" ref="AC238" si="392">+AA238/H238</f>
        <v>2.4734896797505731E-2</v>
      </c>
      <c r="AD238" s="33"/>
      <c r="AE238" s="33">
        <f t="shared" ref="AE238" si="393">+AA238/BW238</f>
        <v>1039.6855895196506</v>
      </c>
      <c r="AF238" s="50"/>
      <c r="AG238" s="33">
        <f t="shared" ref="AG238" si="394">SUM(W232:W238)</f>
        <v>6087</v>
      </c>
      <c r="AH238" s="33">
        <f t="shared" ref="AH238" si="395">SUM(D209:D383)</f>
        <v>459392247.34662843</v>
      </c>
      <c r="AI238" s="231">
        <f t="shared" ref="AI238" si="396">+(AG238-AG231)/AG231</f>
        <v>3.2569974554707379E-2</v>
      </c>
      <c r="AJ238" s="50"/>
      <c r="AK238" s="10"/>
      <c r="AL238" s="23">
        <f t="shared" ref="AL238" si="397">+AP238-AP237</f>
        <v>64768</v>
      </c>
      <c r="AM238" s="24"/>
      <c r="AN238" s="24"/>
      <c r="AO238" s="24">
        <v>178263</v>
      </c>
      <c r="AP238" s="24">
        <v>6236170</v>
      </c>
      <c r="AQ238" s="24"/>
      <c r="AR238" s="504">
        <f t="shared" ref="AR238" si="398">+AL238/AP237</f>
        <v>1.0494860001017597E-2</v>
      </c>
      <c r="AS238" s="25"/>
      <c r="AT238" s="25"/>
      <c r="AU238" s="24"/>
      <c r="AV238" s="341">
        <f t="shared" ref="AV238" si="399">+AP238/H238</f>
        <v>0.64787398508829219</v>
      </c>
      <c r="AW238" s="341"/>
      <c r="AX238" s="24">
        <f t="shared" ref="AX238" si="400">+AP238/BW238</f>
        <v>27232.183406113538</v>
      </c>
      <c r="AY238" s="351"/>
      <c r="AZ238" s="10"/>
      <c r="BA238" s="66">
        <f t="shared" ref="BA238" si="401">+BC238-BC237</f>
        <v>1154241</v>
      </c>
      <c r="BB238" s="67"/>
      <c r="BC238" s="67">
        <v>150849009</v>
      </c>
      <c r="BD238" s="67"/>
      <c r="BE238" s="67">
        <f t="shared" ref="BE238" si="402">+D238</f>
        <v>94467</v>
      </c>
      <c r="BF238" s="67"/>
      <c r="BG238" s="156">
        <f t="shared" ref="BG238" si="403">+BE238/BA238</f>
        <v>8.1843393190850086E-2</v>
      </c>
      <c r="BH238" s="67"/>
      <c r="BI238" s="183"/>
      <c r="BJ238" s="67"/>
      <c r="BK238" s="67">
        <f t="shared" ref="BK238" si="404">SUM(BA232:BA238)</f>
        <v>15424076</v>
      </c>
      <c r="BL238" s="67"/>
      <c r="BM238" s="156">
        <f t="shared" ref="BM238" si="405">+Q238/BK238</f>
        <v>3.9908906050514795E-2</v>
      </c>
      <c r="BN238" s="66">
        <f t="shared" ref="BN238" si="406">+BC238/BW238</f>
        <v>658729.29694323149</v>
      </c>
      <c r="BO238" s="67"/>
      <c r="BP238" s="67">
        <f t="shared" ref="BP238" si="407">+BP237+BE238</f>
        <v>9282944</v>
      </c>
      <c r="BQ238" s="67"/>
      <c r="BR238" s="478">
        <f t="shared" ref="BR238" si="408">+BP238/BC238</f>
        <v>6.1537984647946874E-2</v>
      </c>
      <c r="BS238" s="67"/>
      <c r="BT238" s="86"/>
      <c r="BU238" s="183"/>
      <c r="BV238" s="1"/>
      <c r="BW238" s="61">
        <f t="shared" si="189"/>
        <v>229</v>
      </c>
    </row>
    <row r="239" spans="2:75" x14ac:dyDescent="0.3">
      <c r="B239" s="171">
        <f t="shared" si="163"/>
        <v>44139</v>
      </c>
      <c r="C239" s="61"/>
      <c r="D239" s="17">
        <v>108389</v>
      </c>
      <c r="E239" s="16"/>
      <c r="F239" s="16"/>
      <c r="G239" s="16"/>
      <c r="H239" s="16">
        <f t="shared" ref="H239" si="409">+H238+D239</f>
        <v>9733980</v>
      </c>
      <c r="I239" s="16"/>
      <c r="J239" s="479">
        <f t="shared" ref="J239" si="410">+D239/H238</f>
        <v>1.1260503381039148E-2</v>
      </c>
      <c r="K239" s="16"/>
      <c r="L239" s="16"/>
      <c r="M239" s="16"/>
      <c r="N239" s="16">
        <f t="shared" ref="N239" si="411">SUM(D233:D239)</f>
        <v>642366</v>
      </c>
      <c r="O239" s="16">
        <f t="shared" ref="O239" si="412">+H239/BW239</f>
        <v>42321.65217391304</v>
      </c>
      <c r="P239" s="41"/>
      <c r="Q239" s="17">
        <f t="shared" ref="Q239" si="413">SUM(D233:D239)</f>
        <v>642366</v>
      </c>
      <c r="R239" s="16"/>
      <c r="S239" s="60">
        <f t="shared" ref="S239" si="414">+(Q239-Q232)/Q232</f>
        <v>0.22929803443517999</v>
      </c>
      <c r="T239" s="16"/>
      <c r="U239" s="41"/>
      <c r="V239" s="10">
        <f t="shared" si="109"/>
        <v>131</v>
      </c>
      <c r="W239" s="34">
        <v>1201</v>
      </c>
      <c r="X239" s="33"/>
      <c r="Y239" s="33"/>
      <c r="Z239" s="33"/>
      <c r="AA239" s="33">
        <f t="shared" ref="AA239" si="415">+AA238+W239</f>
        <v>239289</v>
      </c>
      <c r="AB239" s="33"/>
      <c r="AC239" s="46">
        <f t="shared" ref="AC239" si="416">+AA239/H239</f>
        <v>2.4582853057022923E-2</v>
      </c>
      <c r="AD239" s="33"/>
      <c r="AE239" s="33">
        <f t="shared" ref="AE239" si="417">+AA239/BW239</f>
        <v>1040.3869565217392</v>
      </c>
      <c r="AF239" s="50"/>
      <c r="AG239" s="33">
        <f t="shared" ref="AG239" si="418">SUM(W233:W239)</f>
        <v>6258</v>
      </c>
      <c r="AH239" s="33">
        <f t="shared" ref="AH239" si="419">SUM(D210:D384)</f>
        <v>459354530.34662843</v>
      </c>
      <c r="AI239" s="231">
        <f t="shared" ref="AI239" si="420">+(AG239-AG232)/AG232</f>
        <v>9.7894736842105257E-2</v>
      </c>
      <c r="AJ239" s="50"/>
      <c r="AK239" s="10"/>
      <c r="AL239" s="23">
        <f t="shared" ref="AL239" si="421">+AP239-AP238</f>
        <v>55849</v>
      </c>
      <c r="AM239" s="24"/>
      <c r="AN239" s="24"/>
      <c r="AO239" s="24">
        <v>178263</v>
      </c>
      <c r="AP239" s="24">
        <v>6292019</v>
      </c>
      <c r="AQ239" s="24"/>
      <c r="AR239" s="504">
        <f t="shared" ref="AR239" si="422">+AL239/AP238</f>
        <v>8.9556570779821595E-3</v>
      </c>
      <c r="AS239" s="25"/>
      <c r="AT239" s="25"/>
      <c r="AU239" s="24"/>
      <c r="AV239" s="341">
        <f t="shared" ref="AV239" si="423">+AP239/H239</f>
        <v>0.64639736264097525</v>
      </c>
      <c r="AW239" s="341"/>
      <c r="AX239" s="24">
        <f t="shared" ref="AX239" si="424">+AP239/BW239</f>
        <v>27356.604347826087</v>
      </c>
      <c r="AY239" s="351"/>
      <c r="AZ239" s="10"/>
      <c r="BA239" s="66">
        <f t="shared" ref="BA239" si="425">+BC239-BC238</f>
        <v>1201405</v>
      </c>
      <c r="BB239" s="67"/>
      <c r="BC239" s="67">
        <v>152050414</v>
      </c>
      <c r="BD239" s="67"/>
      <c r="BE239" s="67">
        <f t="shared" ref="BE239" si="426">+D239</f>
        <v>108389</v>
      </c>
      <c r="BF239" s="67"/>
      <c r="BG239" s="156">
        <f t="shared" ref="BG239" si="427">+BE239/BA239</f>
        <v>9.0218535797670224E-2</v>
      </c>
      <c r="BH239" s="67"/>
      <c r="BI239" s="183"/>
      <c r="BJ239" s="67"/>
      <c r="BK239" s="67">
        <f t="shared" ref="BK239" si="428">SUM(BA233:BA239)</f>
        <v>11855600</v>
      </c>
      <c r="BL239" s="67"/>
      <c r="BM239" s="156">
        <f t="shared" ref="BM239" si="429">+Q239/BK239</f>
        <v>5.4182496035628733E-2</v>
      </c>
      <c r="BN239" s="66">
        <f t="shared" ref="BN239" si="430">+BC239/BW239</f>
        <v>661088.75652173918</v>
      </c>
      <c r="BO239" s="67"/>
      <c r="BP239" s="67">
        <f t="shared" ref="BP239" si="431">+BP238+BE239</f>
        <v>9391333</v>
      </c>
      <c r="BQ239" s="67"/>
      <c r="BR239" s="478">
        <f t="shared" ref="BR239" si="432">+BP239/BC239</f>
        <v>6.176459999641961E-2</v>
      </c>
      <c r="BS239" s="67"/>
      <c r="BT239" s="86"/>
      <c r="BU239" s="183"/>
      <c r="BV239" s="1"/>
      <c r="BW239" s="61">
        <f t="shared" si="189"/>
        <v>230</v>
      </c>
    </row>
    <row r="240" spans="2:75" x14ac:dyDescent="0.3">
      <c r="B240" s="171">
        <f t="shared" si="163"/>
        <v>44140</v>
      </c>
      <c r="C240" s="61"/>
      <c r="D240" s="17">
        <v>118319</v>
      </c>
      <c r="E240" s="16"/>
      <c r="F240" s="16"/>
      <c r="G240" s="16"/>
      <c r="H240" s="16">
        <f t="shared" ref="H240" si="433">+H239+D240</f>
        <v>9852299</v>
      </c>
      <c r="I240" s="16"/>
      <c r="J240" s="479">
        <f t="shared" ref="J240" si="434">+D240/H239</f>
        <v>1.2155254068736529E-2</v>
      </c>
      <c r="K240" s="16"/>
      <c r="L240" s="16"/>
      <c r="M240" s="16"/>
      <c r="N240" s="16">
        <f t="shared" ref="N240" si="435">SUM(D234:D240)</f>
        <v>669155</v>
      </c>
      <c r="O240" s="16">
        <f t="shared" ref="O240" si="436">+H240/BW240</f>
        <v>42650.645021645025</v>
      </c>
      <c r="P240" s="41"/>
      <c r="Q240" s="17">
        <f t="shared" ref="Q240" si="437">SUM(D234:D240)</f>
        <v>669155</v>
      </c>
      <c r="R240" s="16"/>
      <c r="S240" s="60">
        <f t="shared" ref="S240" si="438">+(Q240-Q233)/Q233</f>
        <v>0.23969016777329855</v>
      </c>
      <c r="T240" s="16"/>
      <c r="U240" s="41"/>
      <c r="V240" s="10">
        <f t="shared" si="109"/>
        <v>132</v>
      </c>
      <c r="W240" s="34">
        <v>1127</v>
      </c>
      <c r="X240" s="33"/>
      <c r="Y240" s="33"/>
      <c r="Z240" s="33"/>
      <c r="AA240" s="33">
        <f t="shared" ref="AA240" si="439">+AA239+W240</f>
        <v>240416</v>
      </c>
      <c r="AB240" s="33"/>
      <c r="AC240" s="46">
        <f t="shared" ref="AC240" si="440">+AA240/H240</f>
        <v>2.4402020279733695E-2</v>
      </c>
      <c r="AD240" s="33"/>
      <c r="AE240" s="33">
        <f t="shared" ref="AE240" si="441">+AA240/BW240</f>
        <v>1040.7619047619048</v>
      </c>
      <c r="AF240" s="50"/>
      <c r="AG240" s="33">
        <f t="shared" ref="AG240" si="442">SUM(W234:W240)</f>
        <v>6338</v>
      </c>
      <c r="AH240" s="33">
        <f t="shared" ref="AH240" si="443">SUM(D211:D385)</f>
        <v>459309862.34662843</v>
      </c>
      <c r="AI240" s="231">
        <f t="shared" ref="AI240" si="444">+(AG240-AG233)/AG233</f>
        <v>9.767925181849671E-2</v>
      </c>
      <c r="AJ240" s="50"/>
      <c r="AK240" s="10"/>
      <c r="AL240" s="23">
        <f t="shared" ref="AL240" si="445">+AP240-AP239</f>
        <v>48467</v>
      </c>
      <c r="AM240" s="24"/>
      <c r="AN240" s="24"/>
      <c r="AO240" s="24">
        <v>178263</v>
      </c>
      <c r="AP240" s="24">
        <v>6340486</v>
      </c>
      <c r="AQ240" s="24"/>
      <c r="AR240" s="504">
        <f t="shared" ref="AR240" si="446">+AL240/AP239</f>
        <v>7.7029328741696429E-3</v>
      </c>
      <c r="AS240" s="25"/>
      <c r="AT240" s="25"/>
      <c r="AU240" s="24"/>
      <c r="AV240" s="341">
        <f t="shared" ref="AV240" si="447">+AP240/H240</f>
        <v>0.64355395628979595</v>
      </c>
      <c r="AW240" s="341"/>
      <c r="AX240" s="24">
        <f t="shared" ref="AX240" si="448">+AP240/BW240</f>
        <v>27447.991341991343</v>
      </c>
      <c r="AY240" s="351"/>
      <c r="AZ240" s="10"/>
      <c r="BA240" s="66">
        <f t="shared" ref="BA240" si="449">+BC240-BC239</f>
        <v>1544407</v>
      </c>
      <c r="BB240" s="67"/>
      <c r="BC240" s="67">
        <v>153594821</v>
      </c>
      <c r="BD240" s="67"/>
      <c r="BE240" s="67">
        <f t="shared" ref="BE240" si="450">+D240</f>
        <v>118319</v>
      </c>
      <c r="BF240" s="67"/>
      <c r="BG240" s="156">
        <f t="shared" ref="BG240" si="451">+BE240/BA240</f>
        <v>7.6611281870646794E-2</v>
      </c>
      <c r="BH240" s="67"/>
      <c r="BI240" s="183"/>
      <c r="BJ240" s="67"/>
      <c r="BK240" s="67">
        <f t="shared" ref="BK240" si="452">SUM(BA234:BA240)</f>
        <v>11925493</v>
      </c>
      <c r="BL240" s="67"/>
      <c r="BM240" s="156">
        <f t="shared" ref="BM240" si="453">+Q240/BK240</f>
        <v>5.6111307096486492E-2</v>
      </c>
      <c r="BN240" s="66">
        <f t="shared" ref="BN240" si="454">+BC240/BW240</f>
        <v>664912.645021645</v>
      </c>
      <c r="BO240" s="67"/>
      <c r="BP240" s="67">
        <f t="shared" ref="BP240" si="455">+BP239+BE240</f>
        <v>9509652</v>
      </c>
      <c r="BQ240" s="67"/>
      <c r="BR240" s="478">
        <f t="shared" ref="BR240" si="456">+BP240/BC240</f>
        <v>6.1913884453174368E-2</v>
      </c>
      <c r="BS240" s="67"/>
      <c r="BT240" s="86"/>
      <c r="BU240" s="183"/>
      <c r="BV240" s="1"/>
      <c r="BW240" s="61">
        <f t="shared" si="189"/>
        <v>231</v>
      </c>
    </row>
    <row r="241" spans="2:75" x14ac:dyDescent="0.3">
      <c r="B241" s="171">
        <f t="shared" si="163"/>
        <v>44141</v>
      </c>
      <c r="C241" s="61"/>
      <c r="D241" s="17">
        <v>132541</v>
      </c>
      <c r="E241" s="16"/>
      <c r="F241" s="16"/>
      <c r="G241" s="16"/>
      <c r="H241" s="16">
        <f t="shared" ref="H241" si="457">+H240+D241</f>
        <v>9984840</v>
      </c>
      <c r="I241" s="16"/>
      <c r="J241" s="479">
        <f t="shared" ref="J241" si="458">+D241/H240</f>
        <v>1.3452799189305968E-2</v>
      </c>
      <c r="K241" s="16"/>
      <c r="L241" s="16"/>
      <c r="M241" s="16"/>
      <c r="N241" s="16">
        <f t="shared" ref="N241" si="459">SUM(D235:D241)</f>
        <v>700235</v>
      </c>
      <c r="O241" s="16">
        <f t="shared" ref="O241" si="460">+H241/BW241</f>
        <v>43038.103448275862</v>
      </c>
      <c r="P241" s="41"/>
      <c r="Q241" s="17">
        <f t="shared" ref="Q241" si="461">SUM(D235:D241)</f>
        <v>700235</v>
      </c>
      <c r="R241" s="16"/>
      <c r="S241" s="60">
        <f t="shared" ref="S241" si="462">+(Q241-Q234)/Q234</f>
        <v>0.25081498973782784</v>
      </c>
      <c r="T241" s="16"/>
      <c r="U241" s="41"/>
      <c r="V241" s="10">
        <f t="shared" si="109"/>
        <v>133</v>
      </c>
      <c r="W241" s="34">
        <v>1244</v>
      </c>
      <c r="X241" s="33"/>
      <c r="Y241" s="33"/>
      <c r="Z241" s="33"/>
      <c r="AA241" s="33">
        <f t="shared" ref="AA241" si="463">+AA240+W241</f>
        <v>241660</v>
      </c>
      <c r="AB241" s="33"/>
      <c r="AC241" s="46">
        <f t="shared" ref="AC241" si="464">+AA241/H241</f>
        <v>2.420269127998045E-2</v>
      </c>
      <c r="AD241" s="33"/>
      <c r="AE241" s="33">
        <f t="shared" ref="AE241" si="465">+AA241/BW241</f>
        <v>1041.6379310344828</v>
      </c>
      <c r="AF241" s="50"/>
      <c r="AG241" s="33">
        <f t="shared" ref="AG241" si="466">SUM(W235:W241)</f>
        <v>6594</v>
      </c>
      <c r="AH241" s="33">
        <f t="shared" ref="AH241" si="467">SUM(D212:D386)</f>
        <v>459260504.34662843</v>
      </c>
      <c r="AI241" s="231">
        <f t="shared" ref="AI241" si="468">+(AG241-AG234)/AG234</f>
        <v>0.12544802867383512</v>
      </c>
      <c r="AJ241" s="50"/>
      <c r="AK241" s="10"/>
      <c r="AL241" s="23">
        <f t="shared" ref="AL241" si="469">+AP241-AP240</f>
        <v>50722</v>
      </c>
      <c r="AM241" s="24"/>
      <c r="AN241" s="24"/>
      <c r="AO241" s="24">
        <v>178263</v>
      </c>
      <c r="AP241" s="24">
        <v>6391208</v>
      </c>
      <c r="AQ241" s="24"/>
      <c r="AR241" s="504">
        <f t="shared" ref="AR241" si="470">+AL241/AP240</f>
        <v>7.999702231027717E-3</v>
      </c>
      <c r="AS241" s="25"/>
      <c r="AT241" s="25"/>
      <c r="AU241" s="24"/>
      <c r="AV241" s="341">
        <f t="shared" ref="AV241" si="471">+AP241/H241</f>
        <v>0.64009117822619088</v>
      </c>
      <c r="AW241" s="341"/>
      <c r="AX241" s="24">
        <f t="shared" ref="AX241" si="472">+AP241/BW241</f>
        <v>27548.310344827587</v>
      </c>
      <c r="AY241" s="351"/>
      <c r="AZ241" s="10"/>
      <c r="BA241" s="66">
        <f t="shared" ref="BA241" si="473">+BC241-BC240</f>
        <v>1425131</v>
      </c>
      <c r="BB241" s="67"/>
      <c r="BC241" s="67">
        <v>155019952</v>
      </c>
      <c r="BD241" s="67"/>
      <c r="BE241" s="67">
        <f t="shared" ref="BE241" si="474">+D241</f>
        <v>132541</v>
      </c>
      <c r="BF241" s="67"/>
      <c r="BG241" s="156">
        <f t="shared" ref="BG241" si="475">+BE241/BA241</f>
        <v>9.3002678350270956E-2</v>
      </c>
      <c r="BH241" s="67"/>
      <c r="BI241" s="183"/>
      <c r="BJ241" s="67"/>
      <c r="BK241" s="67">
        <f t="shared" ref="BK241" si="476">SUM(BA235:BA241)</f>
        <v>12069599</v>
      </c>
      <c r="BL241" s="67"/>
      <c r="BM241" s="156">
        <f t="shared" ref="BM241" si="477">+Q241/BK241</f>
        <v>5.8016426229239262E-2</v>
      </c>
      <c r="BN241" s="66">
        <f t="shared" ref="BN241" si="478">+BC241/BW241</f>
        <v>668189.44827586203</v>
      </c>
      <c r="BO241" s="67"/>
      <c r="BP241" s="67">
        <f t="shared" ref="BP241" si="479">+BP240+BE241</f>
        <v>9642193</v>
      </c>
      <c r="BQ241" s="67"/>
      <c r="BR241" s="478">
        <f t="shared" ref="BR241" si="480">+BP241/BC241</f>
        <v>6.219969026954672E-2</v>
      </c>
      <c r="BS241" s="67"/>
      <c r="BT241" s="86"/>
      <c r="BU241" s="183"/>
      <c r="BV241" s="1"/>
      <c r="BW241" s="61">
        <f t="shared" si="189"/>
        <v>232</v>
      </c>
    </row>
    <row r="242" spans="2:75" x14ac:dyDescent="0.3">
      <c r="B242" s="171">
        <f t="shared" si="163"/>
        <v>44142</v>
      </c>
      <c r="C242" s="61"/>
      <c r="D242" s="17">
        <v>124390</v>
      </c>
      <c r="E242" s="16"/>
      <c r="F242" s="16"/>
      <c r="G242" s="16"/>
      <c r="H242" s="16">
        <f t="shared" ref="H242" si="481">+H241+D242</f>
        <v>10109230</v>
      </c>
      <c r="I242" s="16"/>
      <c r="J242" s="479">
        <f t="shared" ref="J242" si="482">+D242/H241</f>
        <v>1.2457886155411603E-2</v>
      </c>
      <c r="K242" s="16"/>
      <c r="L242" s="16"/>
      <c r="M242" s="16"/>
      <c r="N242" s="16">
        <f t="shared" ref="N242" si="483">SUM(D236:D242)</f>
        <v>738332</v>
      </c>
      <c r="O242" s="16">
        <f t="shared" ref="O242" si="484">+H242/BW242</f>
        <v>43387.253218884121</v>
      </c>
      <c r="P242" s="41"/>
      <c r="Q242" s="17">
        <f t="shared" ref="Q242" si="485">SUM(D236:D242)</f>
        <v>738332</v>
      </c>
      <c r="R242" s="16"/>
      <c r="S242" s="60">
        <f t="shared" ref="S242" si="486">+(Q242-Q235)/Q235</f>
        <v>0.3029380570952605</v>
      </c>
      <c r="T242" s="16"/>
      <c r="U242" s="41"/>
      <c r="V242" s="10">
        <f t="shared" si="109"/>
        <v>134</v>
      </c>
      <c r="W242" s="34">
        <v>1031</v>
      </c>
      <c r="X242" s="33"/>
      <c r="Y242" s="33"/>
      <c r="Z242" s="33"/>
      <c r="AA242" s="33">
        <f t="shared" ref="AA242" si="487">+AA241+W242</f>
        <v>242691</v>
      </c>
      <c r="AB242" s="33"/>
      <c r="AC242" s="46">
        <f t="shared" ref="AC242" si="488">+AA242/H242</f>
        <v>2.400687292701818E-2</v>
      </c>
      <c r="AD242" s="33"/>
      <c r="AE242" s="33">
        <f t="shared" ref="AE242" si="489">+AA242/BW242</f>
        <v>1041.5922746781116</v>
      </c>
      <c r="AF242" s="50"/>
      <c r="AG242" s="33">
        <f t="shared" ref="AG242" si="490">SUM(W236:W242)</f>
        <v>6711</v>
      </c>
      <c r="AH242" s="33">
        <f t="shared" ref="AH242" si="491">SUM(D213:D387)</f>
        <v>459203186.34662843</v>
      </c>
      <c r="AI242" s="231">
        <f t="shared" ref="AI242" si="492">+(AG242-AG235)/AG235</f>
        <v>0.12055434964100852</v>
      </c>
      <c r="AJ242" s="50"/>
      <c r="AK242" s="10"/>
      <c r="AL242" s="23">
        <f t="shared" ref="AL242" si="493">+AP242-AP241</f>
        <v>50540</v>
      </c>
      <c r="AM242" s="24"/>
      <c r="AN242" s="24"/>
      <c r="AO242" s="24">
        <v>178263</v>
      </c>
      <c r="AP242" s="24">
        <v>6441748</v>
      </c>
      <c r="AQ242" s="24"/>
      <c r="AR242" s="504">
        <f t="shared" ref="AR242" si="494">+AL242/AP241</f>
        <v>7.9077382554283947E-3</v>
      </c>
      <c r="AS242" s="25"/>
      <c r="AT242" s="25"/>
      <c r="AU242" s="24"/>
      <c r="AV242" s="341">
        <f t="shared" ref="AV242" si="495">+AP242/H242</f>
        <v>0.63721450595149187</v>
      </c>
      <c r="AW242" s="341"/>
      <c r="AX242" s="24">
        <f t="shared" ref="AX242" si="496">+AP242/BW242</f>
        <v>27646.987124463518</v>
      </c>
      <c r="AY242" s="351"/>
      <c r="AZ242" s="10"/>
      <c r="BA242" s="66">
        <f t="shared" ref="BA242" si="497">+BC242-BC241</f>
        <v>1534974</v>
      </c>
      <c r="BB242" s="67"/>
      <c r="BC242" s="67">
        <v>156554926</v>
      </c>
      <c r="BD242" s="67"/>
      <c r="BE242" s="67">
        <f t="shared" ref="BE242" si="498">+D242</f>
        <v>124390</v>
      </c>
      <c r="BF242" s="67"/>
      <c r="BG242" s="156">
        <f t="shared" ref="BG242" si="499">+BE242/BA242</f>
        <v>8.1037203236015723E-2</v>
      </c>
      <c r="BH242" s="67"/>
      <c r="BI242" s="183"/>
      <c r="BJ242" s="67"/>
      <c r="BK242" s="67">
        <f t="shared" ref="BK242" si="500">SUM(BA236:BA242)</f>
        <v>12368652</v>
      </c>
      <c r="BL242" s="67"/>
      <c r="BM242" s="156">
        <f t="shared" ref="BM242" si="501">+Q242/BK242</f>
        <v>5.9693813036376157E-2</v>
      </c>
      <c r="BN242" s="66">
        <f t="shared" ref="BN242" si="502">+BC242/BW242</f>
        <v>671909.55364806869</v>
      </c>
      <c r="BO242" s="67"/>
      <c r="BP242" s="67">
        <f t="shared" ref="BP242" si="503">+BP241+BE242</f>
        <v>9766583</v>
      </c>
      <c r="BQ242" s="67"/>
      <c r="BR242" s="478">
        <f t="shared" ref="BR242" si="504">+BP242/BC242</f>
        <v>6.2384386422947816E-2</v>
      </c>
      <c r="BS242" s="67"/>
      <c r="BT242" s="86"/>
      <c r="BU242" s="183"/>
      <c r="BV242" s="1"/>
      <c r="BW242" s="61">
        <f t="shared" si="189"/>
        <v>233</v>
      </c>
    </row>
    <row r="243" spans="2:75" x14ac:dyDescent="0.3">
      <c r="B243" s="390">
        <f t="shared" si="163"/>
        <v>44143</v>
      </c>
      <c r="C243" s="61"/>
      <c r="D243" s="17">
        <v>102726</v>
      </c>
      <c r="E243" s="16"/>
      <c r="F243" s="16"/>
      <c r="G243" s="16"/>
      <c r="H243" s="16">
        <f t="shared" ref="H243" si="505">+H242+D243</f>
        <v>10211956</v>
      </c>
      <c r="I243" s="16"/>
      <c r="J243" s="479">
        <f t="shared" ref="J243" si="506">+D243/H242</f>
        <v>1.0161604790869335E-2</v>
      </c>
      <c r="K243" s="16"/>
      <c r="L243" s="16"/>
      <c r="M243" s="16"/>
      <c r="N243" s="16">
        <f t="shared" ref="N243" si="507">SUM(D237:D243)</f>
        <v>769737</v>
      </c>
      <c r="O243" s="16">
        <f t="shared" ref="O243" si="508">+H243/BW243</f>
        <v>43640.837606837609</v>
      </c>
      <c r="P243" s="41"/>
      <c r="Q243" s="17">
        <f t="shared" ref="Q243" si="509">SUM(D237:D243)</f>
        <v>769737</v>
      </c>
      <c r="R243" s="16"/>
      <c r="S243" s="60">
        <f t="shared" ref="S243" si="510">+(Q243-Q236)/Q236</f>
        <v>0.33380407867627565</v>
      </c>
      <c r="T243" s="16"/>
      <c r="U243" s="41"/>
      <c r="V243" s="10">
        <f t="shared" si="109"/>
        <v>135</v>
      </c>
      <c r="W243" s="34">
        <v>512</v>
      </c>
      <c r="X243" s="33"/>
      <c r="Y243" s="33"/>
      <c r="Z243" s="33"/>
      <c r="AA243" s="33">
        <f t="shared" ref="AA243" si="511">+AA242+W243</f>
        <v>243203</v>
      </c>
      <c r="AB243" s="33"/>
      <c r="AC243" s="46">
        <f t="shared" ref="AC243" si="512">+AA243/H243</f>
        <v>2.3815515852203047E-2</v>
      </c>
      <c r="AD243" s="33"/>
      <c r="AE243" s="33">
        <f t="shared" ref="AE243" si="513">+AA243/BW243</f>
        <v>1039.3290598290598</v>
      </c>
      <c r="AF243" s="50"/>
      <c r="AG243" s="33">
        <f t="shared" ref="AG243" si="514">SUM(W237:W243)</f>
        <v>6824</v>
      </c>
      <c r="AH243" s="33">
        <f t="shared" ref="AH243" si="515">SUM(D214:D388)</f>
        <v>459142203.34662843</v>
      </c>
      <c r="AI243" s="231">
        <f t="shared" ref="AI243" si="516">+(AG243-AG236)/AG236</f>
        <v>0.14766229397914565</v>
      </c>
      <c r="AJ243" s="50"/>
      <c r="AK243" s="391"/>
      <c r="AL243" s="23">
        <f t="shared" ref="AL243" si="517">+AP243-AP242</f>
        <v>41672</v>
      </c>
      <c r="AM243" s="24"/>
      <c r="AN243" s="24"/>
      <c r="AO243" s="24">
        <v>178263</v>
      </c>
      <c r="AP243" s="24">
        <v>6483420</v>
      </c>
      <c r="AQ243" s="24"/>
      <c r="AR243" s="504">
        <f t="shared" ref="AR243" si="518">+AL243/AP242</f>
        <v>6.4690515679905513E-3</v>
      </c>
      <c r="AS243" s="25"/>
      <c r="AT243" s="25"/>
      <c r="AU243" s="24"/>
      <c r="AV243" s="341">
        <f t="shared" ref="AV243" si="519">+AP243/H243</f>
        <v>0.63488522668918668</v>
      </c>
      <c r="AW243" s="341"/>
      <c r="AX243" s="24">
        <f t="shared" ref="AX243" si="520">+AP243/BW243</f>
        <v>27706.923076923078</v>
      </c>
      <c r="AY243" s="351"/>
      <c r="AZ243" s="391"/>
      <c r="BA243" s="66">
        <f t="shared" ref="BA243" si="521">+BC243-BC242</f>
        <v>1047931</v>
      </c>
      <c r="BB243" s="67"/>
      <c r="BC243" s="67">
        <v>157602857</v>
      </c>
      <c r="BD243" s="67"/>
      <c r="BE243" s="67">
        <f t="shared" ref="BE243" si="522">+D243</f>
        <v>102726</v>
      </c>
      <c r="BF243" s="67"/>
      <c r="BG243" s="156">
        <f t="shared" ref="BG243" si="523">+BE243/BA243</f>
        <v>9.8027446463555323E-2</v>
      </c>
      <c r="BH243" s="67"/>
      <c r="BI243" s="183"/>
      <c r="BJ243" s="67"/>
      <c r="BK243" s="67">
        <f t="shared" ref="BK243" si="524">SUM(BA237:BA243)</f>
        <v>12565432</v>
      </c>
      <c r="BL243" s="67"/>
      <c r="BM243" s="156">
        <f t="shared" ref="BM243" si="525">+Q243/BK243</f>
        <v>6.1258299754437411E-2</v>
      </c>
      <c r="BN243" s="66">
        <f t="shared" ref="BN243" si="526">+BC243/BW243</f>
        <v>673516.48290598288</v>
      </c>
      <c r="BO243" s="67"/>
      <c r="BP243" s="67">
        <f t="shared" ref="BP243" si="527">+BP242+BE243</f>
        <v>9869309</v>
      </c>
      <c r="BQ243" s="67"/>
      <c r="BR243" s="478">
        <f t="shared" ref="BR243" si="528">+BP243/BC243</f>
        <v>6.2621383824279273E-2</v>
      </c>
      <c r="BS243" s="67"/>
      <c r="BT243" s="86"/>
      <c r="BU243" s="183"/>
      <c r="BV243" s="1"/>
      <c r="BW243" s="61">
        <f t="shared" si="189"/>
        <v>234</v>
      </c>
    </row>
    <row r="244" spans="2:75" x14ac:dyDescent="0.3">
      <c r="B244" s="171">
        <f t="shared" si="163"/>
        <v>44144</v>
      </c>
      <c r="C244" s="61"/>
      <c r="D244" s="17">
        <v>125689</v>
      </c>
      <c r="E244" s="16"/>
      <c r="F244" s="16"/>
      <c r="G244" s="16"/>
      <c r="H244" s="16">
        <f t="shared" ref="H244" si="529">+H243+D244</f>
        <v>10337645</v>
      </c>
      <c r="I244" s="16"/>
      <c r="J244" s="479">
        <f t="shared" ref="J244" si="530">+D244/H243</f>
        <v>1.2308024045540345E-2</v>
      </c>
      <c r="K244" s="16"/>
      <c r="L244" s="16"/>
      <c r="M244" s="16"/>
      <c r="N244" s="16">
        <f t="shared" ref="N244" si="531">SUM(D238:D244)</f>
        <v>806521</v>
      </c>
      <c r="O244" s="16">
        <f t="shared" ref="O244" si="532">+H244/BW244</f>
        <v>43989.978723404252</v>
      </c>
      <c r="P244" s="41"/>
      <c r="Q244" s="17">
        <f t="shared" ref="Q244" si="533">SUM(D238:D244)</f>
        <v>806521</v>
      </c>
      <c r="R244" s="16"/>
      <c r="S244" s="60">
        <f t="shared" ref="S244" si="534">+(Q244-Q237)/Q237</f>
        <v>0.35285316264176075</v>
      </c>
      <c r="T244" s="16"/>
      <c r="U244" s="41"/>
      <c r="V244" s="10">
        <f t="shared" si="109"/>
        <v>136</v>
      </c>
      <c r="W244" s="34">
        <v>641</v>
      </c>
      <c r="X244" s="33"/>
      <c r="Y244" s="33"/>
      <c r="Z244" s="33"/>
      <c r="AA244" s="33">
        <f t="shared" ref="AA244" si="535">+AA243+W244</f>
        <v>243844</v>
      </c>
      <c r="AB244" s="33"/>
      <c r="AC244" s="46">
        <f t="shared" ref="AC244" si="536">+AA244/H244</f>
        <v>2.3587964183331891E-2</v>
      </c>
      <c r="AD244" s="33"/>
      <c r="AE244" s="33">
        <f t="shared" ref="AE244" si="537">+AA244/BW244</f>
        <v>1037.6340425531914</v>
      </c>
      <c r="AF244" s="50"/>
      <c r="AG244" s="33">
        <f t="shared" ref="AG244" si="538">SUM(W238:W244)</f>
        <v>6943</v>
      </c>
      <c r="AH244" s="33">
        <f t="shared" ref="AH244" si="539">SUM(D215:D389)</f>
        <v>459087968.34662843</v>
      </c>
      <c r="AI244" s="231">
        <f t="shared" ref="AI244" si="540">+(AG244-AG237)/AG237</f>
        <v>0.16905202896110455</v>
      </c>
      <c r="AJ244" s="50"/>
      <c r="AK244" s="10"/>
      <c r="AL244" s="23">
        <f t="shared" ref="AL244" si="541">+AP244-AP243</f>
        <v>69190</v>
      </c>
      <c r="AM244" s="24"/>
      <c r="AN244" s="24"/>
      <c r="AO244" s="24">
        <v>178263</v>
      </c>
      <c r="AP244" s="24">
        <v>6552610</v>
      </c>
      <c r="AQ244" s="24"/>
      <c r="AR244" s="504">
        <f t="shared" ref="AR244" si="542">+AL244/AP243</f>
        <v>1.0671836777503231E-2</v>
      </c>
      <c r="AS244" s="25"/>
      <c r="AT244" s="25"/>
      <c r="AU244" s="24"/>
      <c r="AV244" s="341">
        <f t="shared" ref="AV244" si="543">+AP244/H244</f>
        <v>0.63385906558021676</v>
      </c>
      <c r="AW244" s="341"/>
      <c r="AX244" s="24">
        <f t="shared" ref="AX244" si="544">+AP244/BW244</f>
        <v>27883.446808510638</v>
      </c>
      <c r="AY244" s="351"/>
      <c r="AZ244" s="10"/>
      <c r="BA244" s="66">
        <f t="shared" ref="BA244" si="545">+BC244-BC243</f>
        <v>1681256</v>
      </c>
      <c r="BB244" s="67"/>
      <c r="BC244" s="67">
        <v>159284113</v>
      </c>
      <c r="BD244" s="67"/>
      <c r="BE244" s="67">
        <f t="shared" ref="BE244" si="546">+D244</f>
        <v>125689</v>
      </c>
      <c r="BF244" s="67"/>
      <c r="BG244" s="156">
        <f t="shared" ref="BG244" si="547">+BE244/BA244</f>
        <v>7.475898970769472E-2</v>
      </c>
      <c r="BH244" s="67"/>
      <c r="BI244" s="183"/>
      <c r="BJ244" s="67"/>
      <c r="BK244" s="67">
        <f t="shared" ref="BK244" si="548">SUM(BA238:BA244)</f>
        <v>9589345</v>
      </c>
      <c r="BL244" s="67"/>
      <c r="BM244" s="156">
        <f t="shared" ref="BM244" si="549">+Q244/BK244</f>
        <v>8.4105953013474857E-2</v>
      </c>
      <c r="BN244" s="66">
        <f t="shared" ref="BN244" si="550">+BC244/BW244</f>
        <v>677804.73617021274</v>
      </c>
      <c r="BO244" s="67"/>
      <c r="BP244" s="67">
        <f t="shared" ref="BP244" si="551">+BP243+BE244</f>
        <v>9994998</v>
      </c>
      <c r="BQ244" s="67"/>
      <c r="BR244" s="478">
        <f t="shared" ref="BR244" si="552">+BP244/BC244</f>
        <v>6.2749497183061817E-2</v>
      </c>
      <c r="BS244" s="67"/>
      <c r="BT244" s="86"/>
      <c r="BU244" s="183"/>
      <c r="BV244" s="1"/>
      <c r="BW244" s="61">
        <f t="shared" si="189"/>
        <v>235</v>
      </c>
    </row>
    <row r="245" spans="2:75" x14ac:dyDescent="0.3">
      <c r="B245" s="171">
        <f t="shared" si="163"/>
        <v>44145</v>
      </c>
      <c r="C245" s="61"/>
      <c r="D245" s="17">
        <v>135653</v>
      </c>
      <c r="E245" s="16"/>
      <c r="F245" s="16"/>
      <c r="G245" s="16"/>
      <c r="H245" s="16">
        <f t="shared" ref="H245" si="553">+H244+D245</f>
        <v>10473298</v>
      </c>
      <c r="I245" s="16"/>
      <c r="J245" s="479">
        <f t="shared" ref="J245" si="554">+D245/H244</f>
        <v>1.3122234319325146E-2</v>
      </c>
      <c r="K245" s="16"/>
      <c r="L245" s="16"/>
      <c r="M245" s="16"/>
      <c r="N245" s="16">
        <f t="shared" ref="N245" si="555">SUM(D239:D245)</f>
        <v>847707</v>
      </c>
      <c r="O245" s="16">
        <f t="shared" ref="O245" si="556">+H245/BW245</f>
        <v>44378.381355932201</v>
      </c>
      <c r="P245" s="41"/>
      <c r="Q245" s="17">
        <f t="shared" ref="Q245" si="557">SUM(D239:D245)</f>
        <v>847707</v>
      </c>
      <c r="R245" s="16"/>
      <c r="S245" s="60">
        <f t="shared" ref="S245" si="558">+(Q245-Q238)/Q238</f>
        <v>0.37713586696948137</v>
      </c>
      <c r="T245" s="16"/>
      <c r="U245" s="41"/>
      <c r="V245" s="10">
        <f t="shared" si="109"/>
        <v>137</v>
      </c>
      <c r="W245" s="34">
        <v>1346</v>
      </c>
      <c r="X245" s="33"/>
      <c r="Y245" s="33"/>
      <c r="Z245" s="33"/>
      <c r="AA245" s="33">
        <f t="shared" ref="AA245" si="559">+AA244+W245</f>
        <v>245190</v>
      </c>
      <c r="AB245" s="33"/>
      <c r="AC245" s="46">
        <f t="shared" ref="AC245" si="560">+AA245/H245</f>
        <v>2.3410963767096095E-2</v>
      </c>
      <c r="AD245" s="33"/>
      <c r="AE245" s="33">
        <f t="shared" ref="AE245" si="561">+AA245/BW245</f>
        <v>1038.9406779661017</v>
      </c>
      <c r="AF245" s="50"/>
      <c r="AG245" s="33">
        <f t="shared" ref="AG245" si="562">SUM(W239:W245)</f>
        <v>7102</v>
      </c>
      <c r="AH245" s="33">
        <f t="shared" ref="AH245" si="563">SUM(D216:D390)</f>
        <v>459046033.34662843</v>
      </c>
      <c r="AI245" s="231">
        <f t="shared" ref="AI245" si="564">+(AG245-AG238)/AG238</f>
        <v>0.16674880893707902</v>
      </c>
      <c r="AJ245" s="50"/>
      <c r="AK245" s="10"/>
      <c r="AL245" s="23">
        <f t="shared" ref="AL245" si="565">+AP245-AP244</f>
        <v>48728</v>
      </c>
      <c r="AM245" s="24"/>
      <c r="AN245" s="24"/>
      <c r="AO245" s="24">
        <v>178263</v>
      </c>
      <c r="AP245" s="24">
        <v>6601338</v>
      </c>
      <c r="AQ245" s="24"/>
      <c r="AR245" s="504">
        <f t="shared" ref="AR245" si="566">+AL245/AP244</f>
        <v>7.4364260958610382E-3</v>
      </c>
      <c r="AS245" s="25"/>
      <c r="AT245" s="25"/>
      <c r="AU245" s="24"/>
      <c r="AV245" s="341">
        <f t="shared" ref="AV245" si="567">+AP245/H245</f>
        <v>0.63030174449347287</v>
      </c>
      <c r="AW245" s="341"/>
      <c r="AX245" s="24">
        <f t="shared" ref="AX245" si="568">+AP245/BW245</f>
        <v>27971.771186440677</v>
      </c>
      <c r="AY245" s="351"/>
      <c r="AZ245" s="10"/>
      <c r="BA245" s="66">
        <f t="shared" ref="BA245" si="569">+BC245-BC244</f>
        <v>1311466</v>
      </c>
      <c r="BB245" s="67"/>
      <c r="BC245" s="67">
        <v>160595579</v>
      </c>
      <c r="BD245" s="67"/>
      <c r="BE245" s="67">
        <f t="shared" ref="BE245" si="570">+D245</f>
        <v>135653</v>
      </c>
      <c r="BF245" s="67"/>
      <c r="BG245" s="156">
        <f t="shared" ref="BG245" si="571">+BE245/BA245</f>
        <v>0.10343615465440964</v>
      </c>
      <c r="BH245" s="67"/>
      <c r="BI245" s="183"/>
      <c r="BJ245" s="67"/>
      <c r="BK245" s="67">
        <f t="shared" ref="BK245" si="572">SUM(BA239:BA245)</f>
        <v>9746570</v>
      </c>
      <c r="BL245" s="67"/>
      <c r="BM245" s="156">
        <f t="shared" ref="BM245" si="573">+Q245/BK245</f>
        <v>8.6974905017867823E-2</v>
      </c>
      <c r="BN245" s="66">
        <f t="shared" ref="BN245" si="574">+BC245/BW245</f>
        <v>680489.74152542371</v>
      </c>
      <c r="BO245" s="67"/>
      <c r="BP245" s="67">
        <f t="shared" ref="BP245" si="575">+BP244+BE245</f>
        <v>10130651</v>
      </c>
      <c r="BQ245" s="67"/>
      <c r="BR245" s="478">
        <f t="shared" ref="BR245" si="576">+BP245/BC245</f>
        <v>6.3081755195764144E-2</v>
      </c>
      <c r="BS245" s="67"/>
      <c r="BT245" s="86"/>
      <c r="BU245" s="183"/>
      <c r="BV245" s="1"/>
      <c r="BW245" s="61">
        <f t="shared" si="189"/>
        <v>236</v>
      </c>
    </row>
    <row r="246" spans="2:75" x14ac:dyDescent="0.3">
      <c r="B246" s="171">
        <f t="shared" si="163"/>
        <v>44146</v>
      </c>
      <c r="C246" s="61"/>
      <c r="D246" s="17">
        <v>142906</v>
      </c>
      <c r="E246" s="16"/>
      <c r="F246" s="16"/>
      <c r="G246" s="16"/>
      <c r="H246" s="16">
        <f t="shared" ref="H246" si="577">+H245+D246</f>
        <v>10616204</v>
      </c>
      <c r="I246" s="16"/>
      <c r="J246" s="479">
        <f t="shared" ref="J246" si="578">+D246/H245</f>
        <v>1.3644794600516475E-2</v>
      </c>
      <c r="K246" s="16"/>
      <c r="L246" s="16"/>
      <c r="M246" s="16"/>
      <c r="N246" s="16">
        <f t="shared" ref="N246" si="579">SUM(D240:D246)</f>
        <v>882224</v>
      </c>
      <c r="O246" s="16">
        <f t="shared" ref="O246" si="580">+H246/BW246</f>
        <v>44794.109704641349</v>
      </c>
      <c r="P246" s="41"/>
      <c r="Q246" s="17">
        <f t="shared" ref="Q246" si="581">SUM(D240:D246)</f>
        <v>882224</v>
      </c>
      <c r="R246" s="16"/>
      <c r="S246" s="60">
        <f t="shared" ref="S246" si="582">+(Q246-Q239)/Q239</f>
        <v>0.37339772030275575</v>
      </c>
      <c r="T246" s="16"/>
      <c r="U246" s="41"/>
      <c r="V246" s="10">
        <f t="shared" si="109"/>
        <v>138</v>
      </c>
      <c r="W246" s="34">
        <v>1470</v>
      </c>
      <c r="X246" s="33"/>
      <c r="Y246" s="33"/>
      <c r="Z246" s="33"/>
      <c r="AA246" s="33">
        <f t="shared" ref="AA246" si="583">+AA245+W246</f>
        <v>246660</v>
      </c>
      <c r="AB246" s="33"/>
      <c r="AC246" s="46">
        <f t="shared" ref="AC246" si="584">+AA246/H246</f>
        <v>2.3234293538443685E-2</v>
      </c>
      <c r="AD246" s="33"/>
      <c r="AE246" s="33">
        <f t="shared" ref="AE246" si="585">+AA246/BW246</f>
        <v>1040.7594936708861</v>
      </c>
      <c r="AF246" s="50"/>
      <c r="AG246" s="33">
        <f t="shared" ref="AG246" si="586">SUM(W240:W246)</f>
        <v>7371</v>
      </c>
      <c r="AH246" s="33">
        <f t="shared" ref="AH246" si="587">SUM(D217:D391)</f>
        <v>459000242.34662843</v>
      </c>
      <c r="AI246" s="231">
        <f t="shared" ref="AI246" si="588">+(AG246-AG239)/AG239</f>
        <v>0.17785234899328858</v>
      </c>
      <c r="AJ246" s="50"/>
      <c r="AK246" s="10"/>
      <c r="AL246" s="23">
        <f t="shared" ref="AL246" si="589">+AP246-AP245</f>
        <v>47367</v>
      </c>
      <c r="AM246" s="24"/>
      <c r="AN246" s="24"/>
      <c r="AO246" s="24">
        <v>178263</v>
      </c>
      <c r="AP246" s="24">
        <v>6648705</v>
      </c>
      <c r="AQ246" s="24"/>
      <c r="AR246" s="504">
        <f t="shared" ref="AR246" si="590">+AL246/AP245</f>
        <v>7.1753635399369039E-3</v>
      </c>
      <c r="AS246" s="25"/>
      <c r="AT246" s="25"/>
      <c r="AU246" s="24"/>
      <c r="AV246" s="341">
        <f t="shared" ref="AV246" si="591">+AP246/H246</f>
        <v>0.62627894113564508</v>
      </c>
      <c r="AW246" s="341"/>
      <c r="AX246" s="24">
        <f t="shared" ref="AX246" si="592">+AP246/BW246</f>
        <v>28053.607594936708</v>
      </c>
      <c r="AY246" s="351"/>
      <c r="AZ246" s="10"/>
      <c r="BA246" s="66">
        <f t="shared" ref="BA246" si="593">+BC246-BC245</f>
        <v>1321988</v>
      </c>
      <c r="BB246" s="67"/>
      <c r="BC246" s="67">
        <v>161917567</v>
      </c>
      <c r="BD246" s="67"/>
      <c r="BE246" s="67">
        <f t="shared" ref="BE246" si="594">+D246</f>
        <v>142906</v>
      </c>
      <c r="BF246" s="67"/>
      <c r="BG246" s="156">
        <f t="shared" ref="BG246" si="595">+BE246/BA246</f>
        <v>0.10809931708911125</v>
      </c>
      <c r="BH246" s="67"/>
      <c r="BI246" s="183"/>
      <c r="BJ246" s="67"/>
      <c r="BK246" s="67">
        <f t="shared" ref="BK246" si="596">SUM(BA240:BA246)</f>
        <v>9867153</v>
      </c>
      <c r="BL246" s="67"/>
      <c r="BM246" s="156">
        <f t="shared" ref="BM246" si="597">+Q246/BK246</f>
        <v>8.9410187518121992E-2</v>
      </c>
      <c r="BN246" s="66">
        <f t="shared" ref="BN246" si="598">+BC246/BW246</f>
        <v>683196.48523206753</v>
      </c>
      <c r="BO246" s="67"/>
      <c r="BP246" s="67">
        <f t="shared" ref="BP246" si="599">+BP245+BE246</f>
        <v>10273557</v>
      </c>
      <c r="BQ246" s="67"/>
      <c r="BR246" s="478">
        <f t="shared" ref="BR246" si="600">+BP246/BC246</f>
        <v>6.3449304422910455E-2</v>
      </c>
      <c r="BS246" s="67"/>
      <c r="BT246" s="86"/>
      <c r="BU246" s="183"/>
      <c r="BV246" s="1"/>
      <c r="BW246" s="61">
        <f t="shared" si="189"/>
        <v>237</v>
      </c>
    </row>
    <row r="247" spans="2:75" x14ac:dyDescent="0.3">
      <c r="B247" s="171">
        <f t="shared" si="163"/>
        <v>44147</v>
      </c>
      <c r="C247" s="61"/>
      <c r="D247" s="17">
        <v>161541</v>
      </c>
      <c r="E247" s="16"/>
      <c r="F247" s="16"/>
      <c r="G247" s="16"/>
      <c r="H247" s="16">
        <f t="shared" ref="H247" si="601">+H246+D247</f>
        <v>10777745</v>
      </c>
      <c r="I247" s="16"/>
      <c r="J247" s="479">
        <f t="shared" ref="J247" si="602">+D247/H246</f>
        <v>1.5216455900809743E-2</v>
      </c>
      <c r="K247" s="16"/>
      <c r="L247" s="16"/>
      <c r="M247" s="16"/>
      <c r="N247" s="16">
        <f t="shared" ref="N247" si="603">SUM(D241:D247)</f>
        <v>925446</v>
      </c>
      <c r="O247" s="16">
        <f t="shared" ref="O247" si="604">+H247/BW247</f>
        <v>45284.642857142855</v>
      </c>
      <c r="P247" s="41"/>
      <c r="Q247" s="17">
        <f t="shared" ref="Q247" si="605">SUM(D241:D247)</f>
        <v>925446</v>
      </c>
      <c r="R247" s="16"/>
      <c r="S247" s="60">
        <f t="shared" ref="S247" si="606">+(Q247-Q240)/Q240</f>
        <v>0.38300692664629271</v>
      </c>
      <c r="T247" s="16"/>
      <c r="U247" s="41"/>
      <c r="V247" s="10">
        <f t="shared" si="109"/>
        <v>139</v>
      </c>
      <c r="W247" s="34">
        <v>1190</v>
      </c>
      <c r="X247" s="33"/>
      <c r="Y247" s="33"/>
      <c r="Z247" s="33"/>
      <c r="AA247" s="33">
        <f t="shared" ref="AA247" si="607">+AA246+W247</f>
        <v>247850</v>
      </c>
      <c r="AB247" s="33"/>
      <c r="AC247" s="46">
        <f t="shared" ref="AC247" si="608">+AA247/H247</f>
        <v>2.299646169027009E-2</v>
      </c>
      <c r="AD247" s="33"/>
      <c r="AE247" s="33">
        <f t="shared" ref="AE247" si="609">+AA247/BW247</f>
        <v>1041.3865546218487</v>
      </c>
      <c r="AF247" s="50"/>
      <c r="AG247" s="33">
        <f t="shared" ref="AG247" si="610">SUM(W241:W247)</f>
        <v>7434</v>
      </c>
      <c r="AH247" s="33">
        <f t="shared" ref="AH247" si="611">SUM(D218:D392)</f>
        <v>458948708.34662843</v>
      </c>
      <c r="AI247" s="231">
        <f t="shared" ref="AI247" si="612">+(AG247-AG240)/AG240</f>
        <v>0.17292521300094668</v>
      </c>
      <c r="AJ247" s="50"/>
      <c r="AK247" s="10"/>
      <c r="AL247" s="23">
        <f t="shared" ref="AL247" si="613">+AP247-AP246</f>
        <v>79415</v>
      </c>
      <c r="AM247" s="24"/>
      <c r="AN247" s="24"/>
      <c r="AO247" s="24">
        <v>178263</v>
      </c>
      <c r="AP247" s="24">
        <v>6728120</v>
      </c>
      <c r="AQ247" s="24"/>
      <c r="AR247" s="504">
        <f t="shared" ref="AR247" si="614">+AL247/AP246</f>
        <v>1.1944431283986881E-2</v>
      </c>
      <c r="AS247" s="25"/>
      <c r="AT247" s="25"/>
      <c r="AU247" s="24"/>
      <c r="AV247" s="341">
        <f t="shared" ref="AV247" si="615">+AP247/H247</f>
        <v>0.62426045522509577</v>
      </c>
      <c r="AW247" s="341"/>
      <c r="AX247" s="24">
        <f t="shared" ref="AX247" si="616">+AP247/BW247</f>
        <v>28269.411764705881</v>
      </c>
      <c r="AY247" s="351"/>
      <c r="AZ247" s="10"/>
      <c r="BA247" s="66">
        <f t="shared" ref="BA247" si="617">+BC247-BC246</f>
        <v>1537138</v>
      </c>
      <c r="BB247" s="67"/>
      <c r="BC247" s="67">
        <v>163454705</v>
      </c>
      <c r="BD247" s="67"/>
      <c r="BE247" s="67">
        <f t="shared" ref="BE247" si="618">+D247</f>
        <v>161541</v>
      </c>
      <c r="BF247" s="67"/>
      <c r="BG247" s="156">
        <f t="shared" ref="BG247" si="619">+BE247/BA247</f>
        <v>0.10509206069982005</v>
      </c>
      <c r="BH247" s="67"/>
      <c r="BI247" s="183"/>
      <c r="BJ247" s="67"/>
      <c r="BK247" s="67">
        <f t="shared" ref="BK247" si="620">SUM(BA241:BA247)</f>
        <v>9859884</v>
      </c>
      <c r="BL247" s="67"/>
      <c r="BM247" s="156">
        <f t="shared" ref="BM247" si="621">+Q247/BK247</f>
        <v>9.3859724921713072E-2</v>
      </c>
      <c r="BN247" s="66">
        <f t="shared" ref="BN247" si="622">+BC247/BW247</f>
        <v>686784.47478991596</v>
      </c>
      <c r="BO247" s="67"/>
      <c r="BP247" s="67">
        <f t="shared" ref="BP247" si="623">+BP246+BE247</f>
        <v>10435098</v>
      </c>
      <c r="BQ247" s="67"/>
      <c r="BR247" s="478">
        <f t="shared" ref="BR247" si="624">+BP247/BC247</f>
        <v>6.3840915438928475E-2</v>
      </c>
      <c r="BS247" s="67"/>
      <c r="BT247" s="86"/>
      <c r="BU247" s="183"/>
      <c r="BV247" s="1"/>
      <c r="BW247" s="61">
        <f t="shared" si="189"/>
        <v>238</v>
      </c>
    </row>
    <row r="248" spans="2:75" x14ac:dyDescent="0.3">
      <c r="B248" s="171">
        <f t="shared" si="163"/>
        <v>44148</v>
      </c>
      <c r="C248" s="61"/>
      <c r="D248" s="17">
        <v>183527</v>
      </c>
      <c r="E248" s="16"/>
      <c r="F248" s="16"/>
      <c r="G248" s="16"/>
      <c r="H248" s="16">
        <f t="shared" ref="H248" si="625">+H247+D248</f>
        <v>10961272</v>
      </c>
      <c r="I248" s="16"/>
      <c r="J248" s="479">
        <f t="shared" ref="J248" si="626">+D248/H247</f>
        <v>1.7028330137705057E-2</v>
      </c>
      <c r="K248" s="16"/>
      <c r="L248" s="16"/>
      <c r="M248" s="16"/>
      <c r="N248" s="16">
        <f t="shared" ref="N248" si="627">SUM(D242:D248)</f>
        <v>976432</v>
      </c>
      <c r="O248" s="16">
        <f t="shared" ref="O248" si="628">+H248/BW248</f>
        <v>45863.062761506277</v>
      </c>
      <c r="P248" s="41"/>
      <c r="Q248" s="17">
        <f t="shared" ref="Q248" si="629">SUM(D242:D248)</f>
        <v>976432</v>
      </c>
      <c r="R248" s="16"/>
      <c r="S248" s="60">
        <f t="shared" ref="S248" si="630">+(Q248-Q241)/Q241</f>
        <v>0.39443472548501574</v>
      </c>
      <c r="T248" s="16"/>
      <c r="U248" s="41"/>
      <c r="V248" s="10">
        <f t="shared" si="109"/>
        <v>140</v>
      </c>
      <c r="W248" s="34">
        <v>1395</v>
      </c>
      <c r="X248" s="33"/>
      <c r="Y248" s="33"/>
      <c r="Z248" s="33"/>
      <c r="AA248" s="33">
        <f t="shared" ref="AA248" si="631">+AA247+W248</f>
        <v>249245</v>
      </c>
      <c r="AB248" s="33"/>
      <c r="AC248" s="46">
        <f t="shared" ref="AC248" si="632">+AA248/H248</f>
        <v>2.2738693100581759E-2</v>
      </c>
      <c r="AD248" s="33"/>
      <c r="AE248" s="33">
        <f t="shared" ref="AE248" si="633">+AA248/BW248</f>
        <v>1042.8661087866108</v>
      </c>
      <c r="AF248" s="50"/>
      <c r="AG248" s="33">
        <f t="shared" ref="AG248" si="634">SUM(W242:W248)</f>
        <v>7585</v>
      </c>
      <c r="AH248" s="33">
        <f t="shared" ref="AH248" si="635">SUM(D219:D393)</f>
        <v>458889015.34662843</v>
      </c>
      <c r="AI248" s="231">
        <f t="shared" ref="AI248" si="636">+(AG248-AG241)/AG241</f>
        <v>0.1502881407340006</v>
      </c>
      <c r="AJ248" s="50"/>
      <c r="AK248" s="10"/>
      <c r="AL248" s="23">
        <f t="shared" ref="AL248" si="637">+AP248-AP247</f>
        <v>61026</v>
      </c>
      <c r="AM248" s="24"/>
      <c r="AN248" s="24"/>
      <c r="AO248" s="24">
        <v>178263</v>
      </c>
      <c r="AP248" s="24">
        <v>6789146</v>
      </c>
      <c r="AQ248" s="24"/>
      <c r="AR248" s="504">
        <f t="shared" ref="AR248" si="638">+AL248/AP247</f>
        <v>9.0702900661700451E-3</v>
      </c>
      <c r="AS248" s="25"/>
      <c r="AT248" s="25"/>
      <c r="AU248" s="24"/>
      <c r="AV248" s="341">
        <f t="shared" ref="AV248" si="639">+AP248/H248</f>
        <v>0.61937574398299755</v>
      </c>
      <c r="AW248" s="341"/>
      <c r="AX248" s="24">
        <f t="shared" ref="AX248" si="640">+AP248/BW248</f>
        <v>28406.468619246862</v>
      </c>
      <c r="AY248" s="351"/>
      <c r="AZ248" s="10"/>
      <c r="BA248" s="66">
        <f t="shared" ref="BA248" si="641">+BC248-BC247</f>
        <v>1687033</v>
      </c>
      <c r="BB248" s="67"/>
      <c r="BC248" s="67">
        <v>165141738</v>
      </c>
      <c r="BD248" s="67"/>
      <c r="BE248" s="67">
        <f t="shared" ref="BE248" si="642">+D248</f>
        <v>183527</v>
      </c>
      <c r="BF248" s="67"/>
      <c r="BG248" s="156">
        <f t="shared" ref="BG248" si="643">+BE248/BA248</f>
        <v>0.10878684649322212</v>
      </c>
      <c r="BH248" s="67"/>
      <c r="BI248" s="183"/>
      <c r="BJ248" s="67"/>
      <c r="BK248" s="67">
        <f t="shared" ref="BK248" si="644">SUM(BA242:BA248)</f>
        <v>10121786</v>
      </c>
      <c r="BL248" s="67"/>
      <c r="BM248" s="156">
        <f t="shared" ref="BM248" si="645">+Q248/BK248</f>
        <v>9.6468350546039999E-2</v>
      </c>
      <c r="BN248" s="66">
        <f t="shared" ref="BN248" si="646">+BC248/BW248</f>
        <v>690969.61506276147</v>
      </c>
      <c r="BO248" s="67"/>
      <c r="BP248" s="67">
        <f t="shared" ref="BP248" si="647">+BP247+BE248</f>
        <v>10618625</v>
      </c>
      <c r="BQ248" s="67"/>
      <c r="BR248" s="478">
        <f t="shared" ref="BR248" si="648">+BP248/BC248</f>
        <v>6.4300068102710661E-2</v>
      </c>
      <c r="BS248" s="67"/>
      <c r="BT248" s="86"/>
      <c r="BU248" s="183"/>
      <c r="BV248" s="1"/>
      <c r="BW248" s="61">
        <f t="shared" si="189"/>
        <v>239</v>
      </c>
    </row>
    <row r="249" spans="2:75" x14ac:dyDescent="0.3">
      <c r="B249" s="171">
        <f t="shared" si="163"/>
        <v>44149</v>
      </c>
      <c r="C249" s="61"/>
      <c r="D249" s="17">
        <v>157253</v>
      </c>
      <c r="E249" s="16"/>
      <c r="F249" s="16"/>
      <c r="G249" s="16"/>
      <c r="H249" s="16">
        <f t="shared" ref="H249" si="649">+H248+D249</f>
        <v>11118525</v>
      </c>
      <c r="I249" s="16"/>
      <c r="J249" s="479">
        <f t="shared" ref="J249" si="650">+D249/H248</f>
        <v>1.4346236458688372E-2</v>
      </c>
      <c r="K249" s="16"/>
      <c r="L249" s="16"/>
      <c r="M249" s="16"/>
      <c r="N249" s="16">
        <f t="shared" ref="N249" si="651">SUM(D243:D249)</f>
        <v>1009295</v>
      </c>
      <c r="O249" s="16">
        <f t="shared" ref="O249" si="652">+H249/BW249</f>
        <v>46327.1875</v>
      </c>
      <c r="P249" s="41"/>
      <c r="Q249" s="17">
        <f t="shared" ref="Q249" si="653">SUM(D243:D249)</f>
        <v>1009295</v>
      </c>
      <c r="R249" s="16"/>
      <c r="S249" s="60">
        <f t="shared" ref="S249" si="654">+(Q249-Q242)/Q242</f>
        <v>0.36699343926580452</v>
      </c>
      <c r="T249" s="16"/>
      <c r="U249" s="41"/>
      <c r="V249" s="10">
        <f t="shared" si="109"/>
        <v>141</v>
      </c>
      <c r="W249" s="34">
        <v>1260</v>
      </c>
      <c r="X249" s="33"/>
      <c r="Y249" s="33"/>
      <c r="Z249" s="33"/>
      <c r="AA249" s="33">
        <f t="shared" ref="AA249" si="655">+AA248+W249</f>
        <v>250505</v>
      </c>
      <c r="AB249" s="33"/>
      <c r="AC249" s="46">
        <f t="shared" ref="AC249" si="656">+AA249/H249</f>
        <v>2.2530416579537305E-2</v>
      </c>
      <c r="AD249" s="33"/>
      <c r="AE249" s="33">
        <f t="shared" ref="AE249" si="657">+AA249/BW249</f>
        <v>1043.7708333333333</v>
      </c>
      <c r="AF249" s="50"/>
      <c r="AG249" s="33">
        <f t="shared" ref="AG249" si="658">SUM(W243:W249)</f>
        <v>7814</v>
      </c>
      <c r="AH249" s="33">
        <f t="shared" ref="AH249" si="659">SUM(D220:D394)</f>
        <v>458822886.34662843</v>
      </c>
      <c r="AI249" s="231">
        <f t="shared" ref="AI249" si="660">+(AG249-AG242)/AG242</f>
        <v>0.1643570257785725</v>
      </c>
      <c r="AJ249" s="50"/>
      <c r="AK249" s="10"/>
      <c r="AL249" s="23">
        <f t="shared" ref="AL249" si="661">+AP249-AP248</f>
        <v>101885</v>
      </c>
      <c r="AM249" s="24"/>
      <c r="AN249" s="24"/>
      <c r="AO249" s="24">
        <v>178263</v>
      </c>
      <c r="AP249" s="24">
        <v>6891031</v>
      </c>
      <c r="AQ249" s="24"/>
      <c r="AR249" s="504">
        <f t="shared" ref="AR249" si="662">+AL249/AP248</f>
        <v>1.5007042122823696E-2</v>
      </c>
      <c r="AS249" s="25"/>
      <c r="AT249" s="25"/>
      <c r="AU249" s="24"/>
      <c r="AV249" s="341">
        <f t="shared" ref="AV249" si="663">+AP249/H249</f>
        <v>0.61977924230057491</v>
      </c>
      <c r="AW249" s="341"/>
      <c r="AX249" s="24">
        <f t="shared" ref="AX249" si="664">+AP249/BW249</f>
        <v>28712.629166666666</v>
      </c>
      <c r="AY249" s="351"/>
      <c r="AZ249" s="10"/>
      <c r="BA249" s="66">
        <f t="shared" ref="BA249" si="665">+BC249-BC248</f>
        <v>1609746</v>
      </c>
      <c r="BB249" s="67"/>
      <c r="BC249" s="67">
        <v>166751484</v>
      </c>
      <c r="BD249" s="67"/>
      <c r="BE249" s="67">
        <f t="shared" ref="BE249" si="666">+D249</f>
        <v>157253</v>
      </c>
      <c r="BF249" s="67"/>
      <c r="BG249" s="156">
        <f t="shared" ref="BG249" si="667">+BE249/BA249</f>
        <v>9.7688082467668816E-2</v>
      </c>
      <c r="BH249" s="67"/>
      <c r="BI249" s="183"/>
      <c r="BJ249" s="67"/>
      <c r="BK249" s="67">
        <f t="shared" ref="BK249" si="668">SUM(BA243:BA249)</f>
        <v>10196558</v>
      </c>
      <c r="BL249" s="67"/>
      <c r="BM249" s="156">
        <f t="shared" ref="BM249" si="669">+Q249/BK249</f>
        <v>9.8983892407614418E-2</v>
      </c>
      <c r="BN249" s="66">
        <f t="shared" ref="BN249" si="670">+BC249/BW249</f>
        <v>694797.85</v>
      </c>
      <c r="BO249" s="67"/>
      <c r="BP249" s="67">
        <f t="shared" ref="BP249" si="671">+BP248+BE249</f>
        <v>10775878</v>
      </c>
      <c r="BQ249" s="67"/>
      <c r="BR249" s="478">
        <f t="shared" ref="BR249" si="672">+BP249/BC249</f>
        <v>6.46223814116101E-2</v>
      </c>
      <c r="BS249" s="67"/>
      <c r="BT249" s="86"/>
      <c r="BU249" s="183"/>
      <c r="BV249" s="1"/>
      <c r="BW249" s="61">
        <f t="shared" si="189"/>
        <v>240</v>
      </c>
    </row>
    <row r="250" spans="2:75" x14ac:dyDescent="0.3">
      <c r="B250" s="390">
        <f t="shared" si="163"/>
        <v>44150</v>
      </c>
      <c r="C250" s="61"/>
      <c r="D250" s="17">
        <v>138249</v>
      </c>
      <c r="E250" s="16"/>
      <c r="F250" s="16"/>
      <c r="G250" s="16"/>
      <c r="H250" s="16">
        <f t="shared" ref="H250" si="673">+H249+D250</f>
        <v>11256774</v>
      </c>
      <c r="I250" s="16"/>
      <c r="J250" s="479">
        <f t="shared" ref="J250" si="674">+D250/H249</f>
        <v>1.2434113337875302E-2</v>
      </c>
      <c r="K250" s="16"/>
      <c r="L250" s="16"/>
      <c r="M250" s="16"/>
      <c r="N250" s="16">
        <f t="shared" ref="N250" si="675">SUM(D244:D250)</f>
        <v>1044818</v>
      </c>
      <c r="O250" s="16">
        <f t="shared" ref="O250" si="676">+H250/BW250</f>
        <v>46708.605809128632</v>
      </c>
      <c r="P250" s="41"/>
      <c r="Q250" s="17">
        <f t="shared" ref="Q250" si="677">SUM(D244:D250)</f>
        <v>1044818</v>
      </c>
      <c r="R250" s="16"/>
      <c r="S250" s="60">
        <f t="shared" ref="S250" si="678">+(Q250-Q243)/Q243</f>
        <v>0.35737011472749786</v>
      </c>
      <c r="T250" s="16"/>
      <c r="U250" s="41"/>
      <c r="V250" s="10">
        <f t="shared" si="109"/>
        <v>142</v>
      </c>
      <c r="W250" s="34">
        <v>579</v>
      </c>
      <c r="X250" s="33"/>
      <c r="Y250" s="33"/>
      <c r="Z250" s="33"/>
      <c r="AA250" s="33">
        <f t="shared" ref="AA250" si="679">+AA249+W250</f>
        <v>251084</v>
      </c>
      <c r="AB250" s="33"/>
      <c r="AC250" s="46">
        <f t="shared" ref="AC250" si="680">+AA250/H250</f>
        <v>2.2305147105200832E-2</v>
      </c>
      <c r="AD250" s="33"/>
      <c r="AE250" s="33">
        <f t="shared" ref="AE250" si="681">+AA250/BW250</f>
        <v>1041.8423236514523</v>
      </c>
      <c r="AF250" s="50"/>
      <c r="AG250" s="33">
        <f t="shared" ref="AG250" si="682">SUM(W244:W250)</f>
        <v>7881</v>
      </c>
      <c r="AH250" s="33">
        <f t="shared" ref="AH250" si="683">SUM(D221:D395)</f>
        <v>458751199.34662843</v>
      </c>
      <c r="AI250" s="231">
        <f t="shared" ref="AI250" si="684">+(AG250-AG243)/AG243</f>
        <v>0.15489449003517</v>
      </c>
      <c r="AJ250" s="50"/>
      <c r="AK250" s="391"/>
      <c r="AL250" s="23">
        <f t="shared" ref="AL250" si="685">+AP250-AP249</f>
        <v>44599</v>
      </c>
      <c r="AM250" s="24"/>
      <c r="AN250" s="24"/>
      <c r="AO250" s="24">
        <v>178263</v>
      </c>
      <c r="AP250" s="24">
        <v>6935630</v>
      </c>
      <c r="AQ250" s="24"/>
      <c r="AR250" s="504">
        <f t="shared" ref="AR250" si="686">+AL250/AP249</f>
        <v>6.4720358970958049E-3</v>
      </c>
      <c r="AS250" s="25"/>
      <c r="AT250" s="25"/>
      <c r="AU250" s="24"/>
      <c r="AV250" s="341">
        <f t="shared" ref="AV250" si="687">+AP250/H250</f>
        <v>0.61612945236352801</v>
      </c>
      <c r="AW250" s="341"/>
      <c r="AX250" s="24">
        <f t="shared" ref="AX250" si="688">+AP250/BW250</f>
        <v>28778.547717842324</v>
      </c>
      <c r="AY250" s="351"/>
      <c r="AZ250" s="10"/>
      <c r="BA250" s="66">
        <f t="shared" ref="BA250" si="689">+BC250-BC249</f>
        <v>1404360</v>
      </c>
      <c r="BB250" s="67"/>
      <c r="BC250" s="67">
        <v>168155844</v>
      </c>
      <c r="BD250" s="67"/>
      <c r="BE250" s="67">
        <f t="shared" ref="BE250" si="690">+D250</f>
        <v>138249</v>
      </c>
      <c r="BF250" s="67"/>
      <c r="BG250" s="156">
        <f t="shared" ref="BG250" si="691">+BE250/BA250</f>
        <v>9.8442706998205592E-2</v>
      </c>
      <c r="BH250" s="67"/>
      <c r="BI250" s="183"/>
      <c r="BJ250" s="67"/>
      <c r="BK250" s="67">
        <f t="shared" ref="BK250" si="692">SUM(BA244:BA250)</f>
        <v>10552987</v>
      </c>
      <c r="BL250" s="67"/>
      <c r="BM250" s="156">
        <f t="shared" ref="BM250" si="693">+Q250/BK250</f>
        <v>9.9006849908940472E-2</v>
      </c>
      <c r="BN250" s="66">
        <f t="shared" ref="BN250" si="694">+BC250/BW250</f>
        <v>697742.09128630708</v>
      </c>
      <c r="BO250" s="67"/>
      <c r="BP250" s="67">
        <f t="shared" ref="BP250" si="695">+BP249+BE250</f>
        <v>10914127</v>
      </c>
      <c r="BQ250" s="67"/>
      <c r="BR250" s="478">
        <f t="shared" ref="BR250" si="696">+BP250/BC250</f>
        <v>6.4904833161790076E-2</v>
      </c>
      <c r="BS250" s="67"/>
      <c r="BT250" s="86"/>
      <c r="BU250" s="183"/>
      <c r="BV250" s="1"/>
      <c r="BW250" s="61">
        <f t="shared" si="189"/>
        <v>241</v>
      </c>
    </row>
    <row r="251" spans="2:75" x14ac:dyDescent="0.3">
      <c r="B251" s="171">
        <f t="shared" si="163"/>
        <v>44151</v>
      </c>
      <c r="C251" s="61"/>
      <c r="D251" s="17">
        <v>162149</v>
      </c>
      <c r="E251" s="16"/>
      <c r="F251" s="16"/>
      <c r="G251" s="16"/>
      <c r="H251" s="16">
        <f t="shared" ref="H251" si="697">+H250+D251</f>
        <v>11418923</v>
      </c>
      <c r="I251" s="16"/>
      <c r="J251" s="479">
        <f t="shared" ref="J251" si="698">+D251/H250</f>
        <v>1.4404570972109771E-2</v>
      </c>
      <c r="K251" s="16"/>
      <c r="L251" s="16"/>
      <c r="M251" s="16"/>
      <c r="N251" s="16">
        <f t="shared" ref="N251" si="699">SUM(D245:D251)</f>
        <v>1081278</v>
      </c>
      <c r="O251" s="16">
        <f t="shared" ref="O251" si="700">+H251/BW251</f>
        <v>47185.632231404961</v>
      </c>
      <c r="P251" s="41"/>
      <c r="Q251" s="17">
        <f t="shared" ref="Q251" si="701">SUM(D245:D251)</f>
        <v>1081278</v>
      </c>
      <c r="R251" s="16"/>
      <c r="S251" s="60">
        <f t="shared" ref="S251" si="702">+(Q251-Q244)/Q244</f>
        <v>0.34066936880750781</v>
      </c>
      <c r="T251" s="16"/>
      <c r="U251" s="41"/>
      <c r="V251" s="10">
        <f t="shared" si="109"/>
        <v>143</v>
      </c>
      <c r="W251" s="34">
        <v>739</v>
      </c>
      <c r="X251" s="33"/>
      <c r="Y251" s="33"/>
      <c r="Z251" s="33"/>
      <c r="AA251" s="33">
        <f t="shared" ref="AA251" si="703">+AA250+W251</f>
        <v>251823</v>
      </c>
      <c r="AB251" s="33"/>
      <c r="AC251" s="46">
        <f t="shared" ref="AC251" si="704">+AA251/H251</f>
        <v>2.2053130579827888E-2</v>
      </c>
      <c r="AD251" s="33"/>
      <c r="AE251" s="33">
        <f t="shared" ref="AE251" si="705">+AA251/BW251</f>
        <v>1040.590909090909</v>
      </c>
      <c r="AF251" s="50"/>
      <c r="AG251" s="33">
        <f t="shared" ref="AG251" si="706">SUM(W245:W251)</f>
        <v>7979</v>
      </c>
      <c r="AH251" s="33">
        <f t="shared" ref="AH251" si="707">SUM(D222:D396)</f>
        <v>458696967.34662843</v>
      </c>
      <c r="AI251" s="231">
        <f t="shared" ref="AI251" si="708">+(AG251-AG244)/AG244</f>
        <v>0.14921503672763936</v>
      </c>
      <c r="AJ251" s="50"/>
      <c r="AK251" s="10"/>
      <c r="AL251" s="23">
        <f t="shared" ref="AL251" si="709">+AP251-AP250</f>
        <v>83674</v>
      </c>
      <c r="AM251" s="24"/>
      <c r="AN251" s="24"/>
      <c r="AO251" s="24">
        <v>178263</v>
      </c>
      <c r="AP251" s="24">
        <v>7019304</v>
      </c>
      <c r="AQ251" s="24"/>
      <c r="AR251" s="504">
        <f t="shared" ref="AR251" si="710">+AL251/AP250</f>
        <v>1.2064369062363477E-2</v>
      </c>
      <c r="AS251" s="25"/>
      <c r="AT251" s="25"/>
      <c r="AU251" s="24"/>
      <c r="AV251" s="341">
        <f t="shared" ref="AV251" si="711">+AP251/H251</f>
        <v>0.61470805959546271</v>
      </c>
      <c r="AW251" s="341"/>
      <c r="AX251" s="24">
        <f t="shared" ref="AX251" si="712">+AP251/BW251</f>
        <v>29005.388429752067</v>
      </c>
      <c r="AY251" s="351"/>
      <c r="AZ251" s="10"/>
      <c r="BA251" s="66">
        <f t="shared" ref="BA251" si="713">+BC251-BC250</f>
        <v>1980160</v>
      </c>
      <c r="BB251" s="67"/>
      <c r="BC251" s="67">
        <v>170136004</v>
      </c>
      <c r="BD251" s="67"/>
      <c r="BE251" s="67">
        <f t="shared" ref="BE251" si="714">+D251</f>
        <v>162149</v>
      </c>
      <c r="BF251" s="67"/>
      <c r="BG251" s="156">
        <f t="shared" ref="BG251" si="715">+BE251/BA251</f>
        <v>8.1886817226890757E-2</v>
      </c>
      <c r="BH251" s="67"/>
      <c r="BI251" s="183"/>
      <c r="BJ251" s="67"/>
      <c r="BK251" s="67">
        <f t="shared" ref="BK251" si="716">SUM(BA245:BA251)</f>
        <v>10851891</v>
      </c>
      <c r="BL251" s="67"/>
      <c r="BM251" s="156">
        <f t="shared" ref="BM251" si="717">+Q251/BK251</f>
        <v>9.9639592767748961E-2</v>
      </c>
      <c r="BN251" s="66">
        <f t="shared" ref="BN251" si="718">+BC251/BW251</f>
        <v>703041.33884297521</v>
      </c>
      <c r="BO251" s="67"/>
      <c r="BP251" s="67">
        <f t="shared" ref="BP251" si="719">+BP250+BE251</f>
        <v>11076276</v>
      </c>
      <c r="BQ251" s="67"/>
      <c r="BR251" s="478">
        <f t="shared" ref="BR251" si="720">+BP251/BC251</f>
        <v>6.5102481189107983E-2</v>
      </c>
      <c r="BS251" s="67"/>
      <c r="BT251" s="86"/>
      <c r="BU251" s="183"/>
      <c r="BV251" s="1"/>
      <c r="BW251" s="61">
        <f t="shared" si="189"/>
        <v>242</v>
      </c>
    </row>
    <row r="252" spans="2:75" x14ac:dyDescent="0.3">
      <c r="B252" s="171">
        <f t="shared" si="163"/>
        <v>44152</v>
      </c>
      <c r="C252" s="61"/>
      <c r="D252" s="17">
        <v>157261</v>
      </c>
      <c r="E252" s="16"/>
      <c r="F252" s="16"/>
      <c r="G252" s="16"/>
      <c r="H252" s="16">
        <f t="shared" ref="H252" si="721">+H251+D252</f>
        <v>11576184</v>
      </c>
      <c r="I252" s="16"/>
      <c r="J252" s="479">
        <f t="shared" ref="J252" si="722">+D252/H251</f>
        <v>1.3771964308718082E-2</v>
      </c>
      <c r="K252" s="16"/>
      <c r="L252" s="16"/>
      <c r="M252" s="16"/>
      <c r="N252" s="16">
        <f t="shared" ref="N252" si="723">SUM(D246:D252)</f>
        <v>1102886</v>
      </c>
      <c r="O252" s="16">
        <f t="shared" ref="O252" si="724">+H252/BW252</f>
        <v>47638.617283950618</v>
      </c>
      <c r="P252" s="41"/>
      <c r="Q252" s="17">
        <f t="shared" ref="Q252" si="725">SUM(D246:D252)</f>
        <v>1102886</v>
      </c>
      <c r="R252" s="16"/>
      <c r="S252" s="60">
        <f t="shared" ref="S252" si="726">+(Q252-Q245)/Q245</f>
        <v>0.30102264107763649</v>
      </c>
      <c r="T252" s="16"/>
      <c r="U252" s="41"/>
      <c r="V252" s="10">
        <f t="shared" si="109"/>
        <v>144</v>
      </c>
      <c r="W252" s="34">
        <v>1615</v>
      </c>
      <c r="X252" s="33"/>
      <c r="Y252" s="33"/>
      <c r="Z252" s="33"/>
      <c r="AA252" s="33">
        <f t="shared" ref="AA252" si="727">+AA251+W252</f>
        <v>253438</v>
      </c>
      <c r="AB252" s="33"/>
      <c r="AC252" s="46">
        <f t="shared" ref="AC252" si="728">+AA252/H252</f>
        <v>2.1893052149136536E-2</v>
      </c>
      <c r="AD252" s="33"/>
      <c r="AE252" s="33">
        <f t="shared" ref="AE252" si="729">+AA252/BW252</f>
        <v>1042.9547325102881</v>
      </c>
      <c r="AF252" s="50"/>
      <c r="AG252" s="33">
        <f t="shared" ref="AG252" si="730">SUM(W246:W252)</f>
        <v>8248</v>
      </c>
      <c r="AH252" s="33">
        <f t="shared" ref="AH252" si="731">SUM(D223:D397)</f>
        <v>458652026.34662843</v>
      </c>
      <c r="AI252" s="231">
        <f t="shared" ref="AI252" si="732">+(AG252-AG245)/AG245</f>
        <v>0.16136299633905943</v>
      </c>
      <c r="AJ252" s="50"/>
      <c r="AK252" s="10"/>
      <c r="AL252" s="23">
        <f t="shared" ref="AL252" si="733">+AP252-AP251</f>
        <v>68492</v>
      </c>
      <c r="AM252" s="24"/>
      <c r="AN252" s="24"/>
      <c r="AO252" s="24">
        <v>178263</v>
      </c>
      <c r="AP252" s="24">
        <v>7087796</v>
      </c>
      <c r="AQ252" s="24"/>
      <c r="AR252" s="504">
        <f t="shared" ref="AR252" si="734">+AL252/AP251</f>
        <v>9.7576625830709147E-3</v>
      </c>
      <c r="AS252" s="25"/>
      <c r="AT252" s="25"/>
      <c r="AU252" s="24"/>
      <c r="AV252" s="341">
        <f t="shared" ref="AV252" si="735">+AP252/H252</f>
        <v>0.61227395832685449</v>
      </c>
      <c r="AW252" s="341"/>
      <c r="AX252" s="24">
        <f t="shared" ref="AX252" si="736">+AP252/BW252</f>
        <v>29167.88477366255</v>
      </c>
      <c r="AY252" s="351"/>
      <c r="AZ252" s="10"/>
      <c r="BA252" s="66">
        <f t="shared" ref="BA252" si="737">+BC252-BC251</f>
        <v>1555687</v>
      </c>
      <c r="BB252" s="67"/>
      <c r="BC252" s="67">
        <v>171691691</v>
      </c>
      <c r="BD252" s="67"/>
      <c r="BE252" s="67">
        <f t="shared" ref="BE252" si="738">+D252</f>
        <v>157261</v>
      </c>
      <c r="BF252" s="67"/>
      <c r="BG252" s="156">
        <f t="shared" ref="BG252" si="739">+BE252/BA252</f>
        <v>0.10108781522247084</v>
      </c>
      <c r="BH252" s="67"/>
      <c r="BI252" s="183"/>
      <c r="BJ252" s="67"/>
      <c r="BK252" s="67">
        <f t="shared" ref="BK252" si="740">SUM(BA246:BA252)</f>
        <v>11096112</v>
      </c>
      <c r="BL252" s="67"/>
      <c r="BM252" s="156">
        <f t="shared" ref="BM252" si="741">+Q252/BK252</f>
        <v>9.9393913832160313E-2</v>
      </c>
      <c r="BN252" s="66">
        <f t="shared" ref="BN252" si="742">+BC252/BW252</f>
        <v>706550.16872427985</v>
      </c>
      <c r="BO252" s="67"/>
      <c r="BP252" s="67">
        <f t="shared" ref="BP252" si="743">+BP251+BE252</f>
        <v>11233537</v>
      </c>
      <c r="BQ252" s="67"/>
      <c r="BR252" s="478">
        <f t="shared" ref="BR252" si="744">+BP252/BC252</f>
        <v>6.5428541908880145E-2</v>
      </c>
      <c r="BS252" s="67"/>
      <c r="BT252" s="86"/>
      <c r="BU252" s="183"/>
      <c r="BV252" s="1"/>
      <c r="BW252" s="61">
        <f t="shared" si="189"/>
        <v>243</v>
      </c>
    </row>
    <row r="253" spans="2:75" x14ac:dyDescent="0.3">
      <c r="B253" s="171">
        <f t="shared" si="163"/>
        <v>44153</v>
      </c>
      <c r="C253" s="61"/>
      <c r="D253" s="17">
        <v>173768</v>
      </c>
      <c r="E253" s="16"/>
      <c r="F253" s="16"/>
      <c r="G253" s="16"/>
      <c r="H253" s="16">
        <f t="shared" ref="H253" si="745">+H252+D253</f>
        <v>11749952</v>
      </c>
      <c r="I253" s="16"/>
      <c r="J253" s="479">
        <f t="shared" ref="J253" si="746">+D253/H252</f>
        <v>1.5010818763765331E-2</v>
      </c>
      <c r="K253" s="16"/>
      <c r="L253" s="16"/>
      <c r="M253" s="16"/>
      <c r="N253" s="16">
        <f t="shared" ref="N253" si="747">SUM(D247:D253)</f>
        <v>1133748</v>
      </c>
      <c r="O253" s="16">
        <f t="shared" ref="O253" si="748">+H253/BW253</f>
        <v>48155.540983606559</v>
      </c>
      <c r="P253" s="41"/>
      <c r="Q253" s="17">
        <f t="shared" ref="Q253" si="749">SUM(D247:D253)</f>
        <v>1133748</v>
      </c>
      <c r="R253" s="16"/>
      <c r="S253" s="60">
        <f t="shared" ref="S253" si="750">+(Q253-Q246)/Q246</f>
        <v>0.28510219626761457</v>
      </c>
      <c r="T253" s="16"/>
      <c r="U253" s="41"/>
      <c r="V253" s="10">
        <f t="shared" si="109"/>
        <v>145</v>
      </c>
      <c r="W253" s="34">
        <v>1964</v>
      </c>
      <c r="X253" s="33"/>
      <c r="Y253" s="33"/>
      <c r="Z253" s="33"/>
      <c r="AA253" s="33">
        <f t="shared" ref="AA253" si="751">+AA252+W253</f>
        <v>255402</v>
      </c>
      <c r="AB253" s="33"/>
      <c r="AC253" s="46">
        <f t="shared" ref="AC253" si="752">+AA253/H253</f>
        <v>2.173642922115767E-2</v>
      </c>
      <c r="AD253" s="33"/>
      <c r="AE253" s="33">
        <f t="shared" ref="AE253" si="753">+AA253/BW253</f>
        <v>1046.7295081967213</v>
      </c>
      <c r="AF253" s="50"/>
      <c r="AG253" s="33">
        <f t="shared" ref="AG253" si="754">SUM(W247:W253)</f>
        <v>8742</v>
      </c>
      <c r="AH253" s="33">
        <f t="shared" ref="AH253" si="755">SUM(D224:D398)</f>
        <v>458594699.34662843</v>
      </c>
      <c r="AI253" s="231">
        <f t="shared" ref="AI253" si="756">+(AG253-AG246)/AG246</f>
        <v>0.185999185999186</v>
      </c>
      <c r="AJ253" s="50"/>
      <c r="AK253" s="10"/>
      <c r="AL253" s="23">
        <f t="shared" ref="AL253" si="757">+AP253-AP252</f>
        <v>112200</v>
      </c>
      <c r="AM253" s="24"/>
      <c r="AN253" s="24"/>
      <c r="AO253" s="24">
        <v>178263</v>
      </c>
      <c r="AP253" s="24">
        <v>7199996</v>
      </c>
      <c r="AQ253" s="24"/>
      <c r="AR253" s="504">
        <f t="shared" ref="AR253" si="758">+AL253/AP252</f>
        <v>1.583002671070104E-2</v>
      </c>
      <c r="AS253" s="25"/>
      <c r="AT253" s="25"/>
      <c r="AU253" s="24"/>
      <c r="AV253" s="341">
        <f t="shared" ref="AV253" si="759">+AP253/H253</f>
        <v>0.61276812024423588</v>
      </c>
      <c r="AW253" s="341"/>
      <c r="AX253" s="24">
        <f t="shared" ref="AX253" si="760">+AP253/BW253</f>
        <v>29508.180327868853</v>
      </c>
      <c r="AY253" s="351"/>
      <c r="AZ253" s="10"/>
      <c r="BA253" s="66">
        <f t="shared" ref="BA253" si="761">+BC253-BC252</f>
        <v>1544138</v>
      </c>
      <c r="BB253" s="67"/>
      <c r="BC253" s="67">
        <v>173235829</v>
      </c>
      <c r="BD253" s="67"/>
      <c r="BE253" s="67">
        <f t="shared" ref="BE253" si="762">+D253</f>
        <v>173768</v>
      </c>
      <c r="BF253" s="67"/>
      <c r="BG253" s="156">
        <f t="shared" ref="BG253" si="763">+BE253/BA253</f>
        <v>0.11253398336159073</v>
      </c>
      <c r="BH253" s="67"/>
      <c r="BI253" s="183"/>
      <c r="BJ253" s="67"/>
      <c r="BK253" s="67">
        <f t="shared" ref="BK253" si="764">SUM(BA247:BA253)</f>
        <v>11318262</v>
      </c>
      <c r="BL253" s="67"/>
      <c r="BM253" s="156">
        <f t="shared" ref="BM253" si="765">+Q253/BK253</f>
        <v>0.10016979638746655</v>
      </c>
      <c r="BN253" s="66">
        <f t="shared" ref="BN253" si="766">+BC253/BW253</f>
        <v>709982.90573770495</v>
      </c>
      <c r="BO253" s="67"/>
      <c r="BP253" s="67">
        <f t="shared" ref="BP253" si="767">+BP252+BE253</f>
        <v>11407305</v>
      </c>
      <c r="BQ253" s="67"/>
      <c r="BR253" s="478">
        <f t="shared" ref="BR253" si="768">+BP253/BC253</f>
        <v>6.5848416380424393E-2</v>
      </c>
      <c r="BS253" s="67"/>
      <c r="BT253" s="86"/>
      <c r="BU253" s="183"/>
      <c r="BV253" s="1"/>
      <c r="BW253" s="61">
        <f t="shared" si="189"/>
        <v>244</v>
      </c>
    </row>
    <row r="254" spans="2:75" x14ac:dyDescent="0.3">
      <c r="B254" s="171">
        <f t="shared" si="163"/>
        <v>44154</v>
      </c>
      <c r="C254" s="61"/>
      <c r="D254" s="17">
        <v>192186</v>
      </c>
      <c r="E254" s="16"/>
      <c r="F254" s="16"/>
      <c r="G254" s="16"/>
      <c r="H254" s="16">
        <f t="shared" ref="H254" si="769">+H253+D254</f>
        <v>11942138</v>
      </c>
      <c r="I254" s="16"/>
      <c r="J254" s="479">
        <f t="shared" ref="J254" si="770">+D254/H253</f>
        <v>1.6356322136464898E-2</v>
      </c>
      <c r="K254" s="16"/>
      <c r="L254" s="16"/>
      <c r="M254" s="16"/>
      <c r="N254" s="16">
        <f t="shared" ref="N254" si="771">SUM(D248:D254)</f>
        <v>1164393</v>
      </c>
      <c r="O254" s="16">
        <f t="shared" ref="O254" si="772">+H254/BW254</f>
        <v>48743.420408163263</v>
      </c>
      <c r="P254" s="41"/>
      <c r="Q254" s="17">
        <f t="shared" ref="Q254" si="773">SUM(D248:D254)</f>
        <v>1164393</v>
      </c>
      <c r="R254" s="16"/>
      <c r="S254" s="60">
        <f t="shared" ref="S254" si="774">+(Q254-Q247)/Q247</f>
        <v>0.25819658845572835</v>
      </c>
      <c r="T254" s="16"/>
      <c r="U254" s="41"/>
      <c r="V254" s="10">
        <f t="shared" si="109"/>
        <v>146</v>
      </c>
      <c r="W254" s="34">
        <v>2065</v>
      </c>
      <c r="X254" s="33"/>
      <c r="Y254" s="33"/>
      <c r="Z254" s="33"/>
      <c r="AA254" s="33">
        <f t="shared" ref="AA254" si="775">+AA253+W254</f>
        <v>257467</v>
      </c>
      <c r="AB254" s="33"/>
      <c r="AC254" s="46">
        <f t="shared" ref="AC254" si="776">+AA254/H254</f>
        <v>2.1559539841190915E-2</v>
      </c>
      <c r="AD254" s="33"/>
      <c r="AE254" s="33">
        <f t="shared" ref="AE254" si="777">+AA254/BW254</f>
        <v>1050.8857142857144</v>
      </c>
      <c r="AF254" s="50"/>
      <c r="AG254" s="33">
        <f t="shared" ref="AG254" si="778">SUM(W248:W254)</f>
        <v>9617</v>
      </c>
      <c r="AH254" s="33">
        <f t="shared" ref="AH254" si="779">SUM(D225:D399)</f>
        <v>458532627.34662843</v>
      </c>
      <c r="AI254" s="231">
        <f t="shared" ref="AI254" si="780">+(AG254-AG247)/AG247</f>
        <v>0.29365079365079366</v>
      </c>
      <c r="AJ254" s="50"/>
      <c r="AK254" s="10"/>
      <c r="AL254" s="23">
        <f t="shared" ref="AL254" si="781">+AP254-AP253</f>
        <v>43492</v>
      </c>
      <c r="AM254" s="24"/>
      <c r="AN254" s="24"/>
      <c r="AO254" s="24">
        <v>178263</v>
      </c>
      <c r="AP254" s="24">
        <v>7243488</v>
      </c>
      <c r="AQ254" s="24"/>
      <c r="AR254" s="504">
        <f t="shared" ref="AR254" si="782">+AL254/AP253</f>
        <v>6.0405589114216176E-3</v>
      </c>
      <c r="AS254" s="25"/>
      <c r="AT254" s="25"/>
      <c r="AU254" s="24"/>
      <c r="AV254" s="341">
        <f t="shared" ref="AV254" si="783">+AP254/H254</f>
        <v>0.60654867662725054</v>
      </c>
      <c r="AW254" s="341"/>
      <c r="AX254" s="24">
        <f t="shared" ref="AX254" si="784">+AP254/BW254</f>
        <v>29565.257142857143</v>
      </c>
      <c r="AY254" s="351"/>
      <c r="AZ254" s="10"/>
      <c r="BA254" s="66">
        <f t="shared" ref="BA254" si="785">+BC254-BC253</f>
        <v>1748416</v>
      </c>
      <c r="BB254" s="67"/>
      <c r="BC254" s="67">
        <v>174984245</v>
      </c>
      <c r="BD254" s="67"/>
      <c r="BE254" s="67">
        <f t="shared" ref="BE254" si="786">+D254</f>
        <v>192186</v>
      </c>
      <c r="BF254" s="67"/>
      <c r="BG254" s="156">
        <f t="shared" ref="BG254" si="787">+BE254/BA254</f>
        <v>0.10992006479007284</v>
      </c>
      <c r="BH254" s="67"/>
      <c r="BI254" s="183"/>
      <c r="BJ254" s="67"/>
      <c r="BK254" s="67">
        <f t="shared" ref="BK254" si="788">SUM(BA248:BA254)</f>
        <v>11529540</v>
      </c>
      <c r="BL254" s="67"/>
      <c r="BM254" s="156">
        <f t="shared" ref="BM254" si="789">+Q254/BK254</f>
        <v>0.10099214712815949</v>
      </c>
      <c r="BN254" s="66">
        <f t="shared" ref="BN254" si="790">+BC254/BW254</f>
        <v>714221.40816326533</v>
      </c>
      <c r="BO254" s="67"/>
      <c r="BP254" s="67">
        <f t="shared" ref="BP254" si="791">+BP253+BE254</f>
        <v>11599491</v>
      </c>
      <c r="BQ254" s="67"/>
      <c r="BR254" s="478">
        <f t="shared" ref="BR254" si="792">+BP254/BC254</f>
        <v>6.6288773597874481E-2</v>
      </c>
      <c r="BS254" s="67"/>
      <c r="BT254" s="86"/>
      <c r="BU254" s="183"/>
      <c r="BV254" s="1"/>
      <c r="BW254" s="61">
        <f t="shared" si="189"/>
        <v>245</v>
      </c>
    </row>
    <row r="255" spans="2:75" x14ac:dyDescent="0.3">
      <c r="B255" s="171">
        <f t="shared" si="163"/>
        <v>44155</v>
      </c>
      <c r="C255" s="61"/>
      <c r="D255" s="17">
        <v>204179</v>
      </c>
      <c r="E255" s="16"/>
      <c r="F255" s="16"/>
      <c r="G255" s="16"/>
      <c r="H255" s="16">
        <f t="shared" ref="H255" si="793">+H254+D255</f>
        <v>12146317</v>
      </c>
      <c r="I255" s="16"/>
      <c r="J255" s="479">
        <f t="shared" ref="J255" si="794">+D255/H254</f>
        <v>1.7097357273881779E-2</v>
      </c>
      <c r="K255" s="16"/>
      <c r="L255" s="16"/>
      <c r="M255" s="16"/>
      <c r="N255" s="16">
        <f t="shared" ref="N255" si="795">SUM(D249:D255)</f>
        <v>1185045</v>
      </c>
      <c r="O255" s="16">
        <f t="shared" ref="O255" si="796">+H255/BW255</f>
        <v>49375.272357723574</v>
      </c>
      <c r="P255" s="41"/>
      <c r="Q255" s="17">
        <f t="shared" ref="Q255" si="797">SUM(D249:D255)</f>
        <v>1185045</v>
      </c>
      <c r="R255" s="16"/>
      <c r="S255" s="60">
        <f t="shared" ref="S255" si="798">+(Q255-Q248)/Q248</f>
        <v>0.21364826224458028</v>
      </c>
      <c r="T255" s="16"/>
      <c r="U255" s="41"/>
      <c r="V255" s="10">
        <f t="shared" si="109"/>
        <v>147</v>
      </c>
      <c r="W255" s="34">
        <v>1998</v>
      </c>
      <c r="X255" s="33"/>
      <c r="Y255" s="33"/>
      <c r="Z255" s="33"/>
      <c r="AA255" s="33">
        <f t="shared" ref="AA255" si="799">+AA254+W255</f>
        <v>259465</v>
      </c>
      <c r="AB255" s="33"/>
      <c r="AC255" s="46">
        <f t="shared" ref="AC255" si="800">+AA255/H255</f>
        <v>2.1361619328723266E-2</v>
      </c>
      <c r="AD255" s="33"/>
      <c r="AE255" s="33">
        <f t="shared" ref="AE255" si="801">+AA255/BW255</f>
        <v>1054.7357723577236</v>
      </c>
      <c r="AF255" s="50"/>
      <c r="AG255" s="33">
        <f t="shared" ref="AG255" si="802">SUM(W249:W255)</f>
        <v>10220</v>
      </c>
      <c r="AH255" s="33">
        <f t="shared" ref="AH255" si="803">SUM(D226:D400)</f>
        <v>458468964.34662843</v>
      </c>
      <c r="AI255" s="231">
        <f t="shared" ref="AI255" si="804">+(AG255-AG248)/AG248</f>
        <v>0.34739617666446937</v>
      </c>
      <c r="AJ255" s="50"/>
      <c r="AK255" s="10"/>
      <c r="AL255" s="23">
        <f t="shared" ref="AL255" si="805">+AP255-AP254</f>
        <v>73572</v>
      </c>
      <c r="AM255" s="24"/>
      <c r="AN255" s="24"/>
      <c r="AO255" s="24">
        <v>178263</v>
      </c>
      <c r="AP255" s="24">
        <v>7317060</v>
      </c>
      <c r="AQ255" s="24"/>
      <c r="AR255" s="504">
        <f t="shared" ref="AR255" si="806">+AL255/AP254</f>
        <v>1.0156985143069196E-2</v>
      </c>
      <c r="AS255" s="25"/>
      <c r="AT255" s="25"/>
      <c r="AU255" s="24"/>
      <c r="AV255" s="341">
        <f t="shared" ref="AV255" si="807">+AP255/H255</f>
        <v>0.60240976750400965</v>
      </c>
      <c r="AW255" s="341"/>
      <c r="AX255" s="24">
        <f t="shared" ref="AX255" si="808">+AP255/BW255</f>
        <v>29744.146341463416</v>
      </c>
      <c r="AY255" s="351"/>
      <c r="AZ255" s="10"/>
      <c r="BA255" s="66">
        <f t="shared" ref="BA255" si="809">+BC255-BC254</f>
        <v>2172596</v>
      </c>
      <c r="BB255" s="67"/>
      <c r="BC255" s="67">
        <v>177156841</v>
      </c>
      <c r="BD255" s="67"/>
      <c r="BE255" s="67">
        <f t="shared" ref="BE255" si="810">+D255</f>
        <v>204179</v>
      </c>
      <c r="BF255" s="67"/>
      <c r="BG255" s="156">
        <f t="shared" ref="BG255" si="811">+BE255/BA255</f>
        <v>9.3979276404817097E-2</v>
      </c>
      <c r="BH255" s="67"/>
      <c r="BI255" s="183"/>
      <c r="BJ255" s="67"/>
      <c r="BK255" s="67">
        <f t="shared" ref="BK255" si="812">SUM(BA249:BA255)</f>
        <v>12015103</v>
      </c>
      <c r="BL255" s="67"/>
      <c r="BM255" s="156">
        <f t="shared" ref="BM255" si="813">+Q255/BK255</f>
        <v>9.8629616408615062E-2</v>
      </c>
      <c r="BN255" s="66">
        <f t="shared" ref="BN255" si="814">+BC255/BW255</f>
        <v>720149.7601626016</v>
      </c>
      <c r="BO255" s="67"/>
      <c r="BP255" s="67">
        <f t="shared" ref="BP255" si="815">+BP254+BE255</f>
        <v>11803670</v>
      </c>
      <c r="BQ255" s="67"/>
      <c r="BR255" s="478">
        <f t="shared" ref="BR255" si="816">+BP255/BC255</f>
        <v>6.6628361249679316E-2</v>
      </c>
      <c r="BS255" s="67"/>
      <c r="BT255" s="86"/>
      <c r="BU255" s="183"/>
      <c r="BV255" s="1"/>
      <c r="BW255" s="61">
        <f t="shared" si="189"/>
        <v>246</v>
      </c>
    </row>
    <row r="256" spans="2:75" x14ac:dyDescent="0.3">
      <c r="B256" s="171">
        <f t="shared" si="163"/>
        <v>44156</v>
      </c>
      <c r="C256" s="61"/>
      <c r="D256" s="17">
        <v>172839</v>
      </c>
      <c r="E256" s="16"/>
      <c r="F256" s="16"/>
      <c r="G256" s="16"/>
      <c r="H256" s="16">
        <f t="shared" ref="H256" si="817">+H255+D256</f>
        <v>12319156</v>
      </c>
      <c r="I256" s="16"/>
      <c r="J256" s="479">
        <f t="shared" ref="J256" si="818">+D256/H255</f>
        <v>1.4229745526977438E-2</v>
      </c>
      <c r="K256" s="16"/>
      <c r="L256" s="16"/>
      <c r="M256" s="16"/>
      <c r="N256" s="16">
        <f t="shared" ref="N256" si="819">SUM(D250:D256)</f>
        <v>1200631</v>
      </c>
      <c r="O256" s="16">
        <f t="shared" ref="O256" si="820">+H256/BW256</f>
        <v>49875.125506072873</v>
      </c>
      <c r="P256" s="41"/>
      <c r="Q256" s="17">
        <f t="shared" ref="Q256" si="821">SUM(D250:D256)</f>
        <v>1200631</v>
      </c>
      <c r="R256" s="16"/>
      <c r="S256" s="60">
        <f t="shared" ref="S256" si="822">+(Q256-Q249)/Q249</f>
        <v>0.18957391050188499</v>
      </c>
      <c r="T256" s="16"/>
      <c r="U256" s="41"/>
      <c r="V256" s="10">
        <f t="shared" si="109"/>
        <v>148</v>
      </c>
      <c r="W256" s="34">
        <v>1460</v>
      </c>
      <c r="X256" s="33"/>
      <c r="Y256" s="33"/>
      <c r="Z256" s="33"/>
      <c r="AA256" s="33">
        <f t="shared" ref="AA256" si="823">+AA255+W256</f>
        <v>260925</v>
      </c>
      <c r="AB256" s="33"/>
      <c r="AC256" s="46">
        <f t="shared" ref="AC256" si="824">+AA256/H256</f>
        <v>2.118042826959899E-2</v>
      </c>
      <c r="AD256" s="33"/>
      <c r="AE256" s="33">
        <f t="shared" ref="AE256" si="825">+AA256/BW256</f>
        <v>1056.3765182186235</v>
      </c>
      <c r="AF256" s="50"/>
      <c r="AG256" s="33">
        <f t="shared" ref="AG256" si="826">SUM(W250:W256)</f>
        <v>10420</v>
      </c>
      <c r="AH256" s="33">
        <f t="shared" ref="AH256" si="827">SUM(D227:D401)</f>
        <v>458394663.34662843</v>
      </c>
      <c r="AI256" s="231">
        <f t="shared" ref="AI256" si="828">+(AG256-AG249)/AG249</f>
        <v>0.33350396723829023</v>
      </c>
      <c r="AJ256" s="50"/>
      <c r="AK256" s="10"/>
      <c r="AL256" s="23">
        <f t="shared" ref="AL256" si="829">+AP256-AP255</f>
        <v>86787</v>
      </c>
      <c r="AM256" s="24"/>
      <c r="AN256" s="24"/>
      <c r="AO256" s="24">
        <v>178263</v>
      </c>
      <c r="AP256" s="24">
        <v>7403847</v>
      </c>
      <c r="AQ256" s="24"/>
      <c r="AR256" s="504">
        <f t="shared" ref="AR256" si="830">+AL256/AP255</f>
        <v>1.1860911349640429E-2</v>
      </c>
      <c r="AS256" s="25"/>
      <c r="AT256" s="25"/>
      <c r="AU256" s="24"/>
      <c r="AV256" s="341">
        <f t="shared" ref="AV256" si="831">+AP256/H256</f>
        <v>0.60100277973588445</v>
      </c>
      <c r="AW256" s="341"/>
      <c r="AX256" s="24">
        <f t="shared" ref="AX256" si="832">+AP256/BW256</f>
        <v>29975.08906882591</v>
      </c>
      <c r="AY256" s="351"/>
      <c r="AZ256" s="10"/>
      <c r="BA256" s="66">
        <f t="shared" ref="BA256" si="833">+BC256-BC255</f>
        <v>1882866</v>
      </c>
      <c r="BB256" s="67"/>
      <c r="BC256" s="67">
        <v>179039707</v>
      </c>
      <c r="BD256" s="67"/>
      <c r="BE256" s="67">
        <f t="shared" ref="BE256" si="834">+D256</f>
        <v>172839</v>
      </c>
      <c r="BF256" s="67"/>
      <c r="BG256" s="156">
        <f t="shared" ref="BG256" si="835">+BE256/BA256</f>
        <v>9.1795698684877206E-2</v>
      </c>
      <c r="BH256" s="67"/>
      <c r="BI256" s="183"/>
      <c r="BJ256" s="67"/>
      <c r="BK256" s="67">
        <f t="shared" ref="BK256" si="836">SUM(BA250:BA256)</f>
        <v>12288223</v>
      </c>
      <c r="BL256" s="67"/>
      <c r="BM256" s="156">
        <f t="shared" ref="BM256" si="837">+Q256/BK256</f>
        <v>9.7705827766960282E-2</v>
      </c>
      <c r="BN256" s="66">
        <f t="shared" ref="BN256" si="838">+BC256/BW256</f>
        <v>724857.11336032394</v>
      </c>
      <c r="BO256" s="67"/>
      <c r="BP256" s="67">
        <f t="shared" ref="BP256" si="839">+BP255+BE256</f>
        <v>11976509</v>
      </c>
      <c r="BQ256" s="67"/>
      <c r="BR256" s="478">
        <f t="shared" ref="BR256" si="840">+BP256/BC256</f>
        <v>6.689303283991635E-2</v>
      </c>
      <c r="BS256" s="67"/>
      <c r="BT256" s="86"/>
      <c r="BU256" s="183"/>
      <c r="BV256" s="1"/>
      <c r="BW256" s="61">
        <f t="shared" si="189"/>
        <v>247</v>
      </c>
    </row>
    <row r="257" spans="2:75" x14ac:dyDescent="0.3">
      <c r="B257" s="390">
        <f t="shared" si="163"/>
        <v>44157</v>
      </c>
      <c r="C257" s="61"/>
      <c r="D257" s="17">
        <v>136627</v>
      </c>
      <c r="E257" s="16"/>
      <c r="F257" s="16"/>
      <c r="G257" s="16"/>
      <c r="H257" s="16">
        <f t="shared" ref="H257" si="841">+H256+D257</f>
        <v>12455783</v>
      </c>
      <c r="I257" s="16"/>
      <c r="J257" s="479">
        <f t="shared" ref="J257" si="842">+D257/H256</f>
        <v>1.1090613675157616E-2</v>
      </c>
      <c r="K257" s="16"/>
      <c r="L257" s="16"/>
      <c r="M257" s="16"/>
      <c r="N257" s="16">
        <f t="shared" ref="N257" si="843">SUM(D251:D257)</f>
        <v>1199009</v>
      </c>
      <c r="O257" s="16">
        <f t="shared" ref="O257" si="844">+H257/BW257</f>
        <v>50224.931451612902</v>
      </c>
      <c r="P257" s="41"/>
      <c r="Q257" s="17">
        <f t="shared" ref="Q257" si="845">SUM(D251:D257)</f>
        <v>1199009</v>
      </c>
      <c r="R257" s="16"/>
      <c r="S257" s="60">
        <f t="shared" ref="S257" si="846">+(Q257-Q250)/Q250</f>
        <v>0.14757689856032344</v>
      </c>
      <c r="T257" s="16"/>
      <c r="U257" s="41"/>
      <c r="V257" s="10">
        <f t="shared" si="109"/>
        <v>149</v>
      </c>
      <c r="W257" s="34">
        <v>866</v>
      </c>
      <c r="X257" s="33"/>
      <c r="Y257" s="33"/>
      <c r="Z257" s="33"/>
      <c r="AA257" s="33">
        <f t="shared" ref="AA257" si="847">+AA256+W257</f>
        <v>261791</v>
      </c>
      <c r="AB257" s="33"/>
      <c r="AC257" s="46">
        <f t="shared" ref="AC257" si="848">+AA257/H257</f>
        <v>2.1017626912736037E-2</v>
      </c>
      <c r="AD257" s="33"/>
      <c r="AE257" s="33">
        <f t="shared" ref="AE257" si="849">+AA257/BW257</f>
        <v>1055.608870967742</v>
      </c>
      <c r="AF257" s="50"/>
      <c r="AG257" s="33">
        <f t="shared" ref="AG257" si="850">SUM(W251:W257)</f>
        <v>10707</v>
      </c>
      <c r="AH257" s="33">
        <f t="shared" ref="AH257" si="851">SUM(D228:D402)</f>
        <v>458313249.34662843</v>
      </c>
      <c r="AI257" s="231">
        <f t="shared" ref="AI257" si="852">+(AG257-AG250)/AG250</f>
        <v>0.35858393604872479</v>
      </c>
      <c r="AJ257" s="50"/>
      <c r="AK257" s="10"/>
      <c r="AL257" s="23">
        <f t="shared" ref="AL257" si="853">+AP257-AP256</f>
        <v>48693</v>
      </c>
      <c r="AM257" s="24"/>
      <c r="AN257" s="24"/>
      <c r="AO257" s="24">
        <v>178263</v>
      </c>
      <c r="AP257" s="24">
        <v>7452540</v>
      </c>
      <c r="AQ257" s="24"/>
      <c r="AR257" s="504">
        <f t="shared" ref="AR257" si="854">+AL257/AP256</f>
        <v>6.5767161314921824E-3</v>
      </c>
      <c r="AS257" s="25"/>
      <c r="AT257" s="25"/>
      <c r="AU257" s="24"/>
      <c r="AV257" s="341">
        <f t="shared" ref="AV257" si="855">+AP257/H257</f>
        <v>0.59831967207521197</v>
      </c>
      <c r="AW257" s="341"/>
      <c r="AX257" s="24">
        <f t="shared" ref="AX257" si="856">+AP257/BW257</f>
        <v>30050.564516129034</v>
      </c>
      <c r="AY257" s="351"/>
      <c r="AZ257" s="10"/>
      <c r="BA257" s="66">
        <f t="shared" ref="BA257" si="857">+BC257-BC256</f>
        <v>1632877</v>
      </c>
      <c r="BB257" s="67"/>
      <c r="BC257" s="67">
        <v>180672584</v>
      </c>
      <c r="BD257" s="67"/>
      <c r="BE257" s="67">
        <f t="shared" ref="BE257" si="858">+D257</f>
        <v>136627</v>
      </c>
      <c r="BF257" s="67"/>
      <c r="BG257" s="156">
        <f t="shared" ref="BG257" si="859">+BE257/BA257</f>
        <v>8.3672560762384426E-2</v>
      </c>
      <c r="BH257" s="67"/>
      <c r="BI257" s="183"/>
      <c r="BJ257" s="67"/>
      <c r="BK257" s="67">
        <f t="shared" ref="BK257" si="860">SUM(BA251:BA257)</f>
        <v>12516740</v>
      </c>
      <c r="BL257" s="67"/>
      <c r="BM257" s="156">
        <f t="shared" ref="BM257" si="861">+Q257/BK257</f>
        <v>9.5792434771354198E-2</v>
      </c>
      <c r="BN257" s="66">
        <f t="shared" ref="BN257" si="862">+BC257/BW257</f>
        <v>728518.48387096776</v>
      </c>
      <c r="BO257" s="67"/>
      <c r="BP257" s="67">
        <f t="shared" ref="BP257" si="863">+BP256+BE257</f>
        <v>12113136</v>
      </c>
      <c r="BQ257" s="67"/>
      <c r="BR257" s="478">
        <f t="shared" ref="BR257" si="864">+BP257/BC257</f>
        <v>6.7044682329887972E-2</v>
      </c>
      <c r="BS257" s="67"/>
      <c r="BT257" s="86"/>
      <c r="BU257" s="183"/>
      <c r="BV257" s="1"/>
      <c r="BW257" s="61">
        <f t="shared" si="189"/>
        <v>248</v>
      </c>
    </row>
    <row r="258" spans="2:75" x14ac:dyDescent="0.3">
      <c r="B258" s="171">
        <f t="shared" si="163"/>
        <v>44158</v>
      </c>
      <c r="C258" s="61"/>
      <c r="D258" s="17">
        <v>172300</v>
      </c>
      <c r="E258" s="16"/>
      <c r="F258" s="16"/>
      <c r="G258" s="16"/>
      <c r="H258" s="16">
        <f t="shared" ref="H258" si="865">+H257+D258</f>
        <v>12628083</v>
      </c>
      <c r="I258" s="16"/>
      <c r="J258" s="479">
        <f t="shared" ref="J258" si="866">+D258/H257</f>
        <v>1.3832932060553721E-2</v>
      </c>
      <c r="K258" s="16"/>
      <c r="L258" s="16"/>
      <c r="M258" s="16"/>
      <c r="N258" s="16">
        <f t="shared" ref="N258" si="867">SUM(D252:D258)</f>
        <v>1209160</v>
      </c>
      <c r="O258" s="16">
        <f t="shared" ref="O258" si="868">+H258/BW258</f>
        <v>50715.192771084337</v>
      </c>
      <c r="P258" s="41"/>
      <c r="Q258" s="17">
        <f t="shared" ref="Q258" si="869">SUM(D252:D258)</f>
        <v>1209160</v>
      </c>
      <c r="R258" s="16"/>
      <c r="S258" s="60">
        <f t="shared" ref="S258" si="870">+(Q258-Q251)/Q251</f>
        <v>0.1182693072456852</v>
      </c>
      <c r="T258" s="16"/>
      <c r="U258" s="41"/>
      <c r="V258" s="10">
        <f t="shared" si="109"/>
        <v>150</v>
      </c>
      <c r="W258" s="34">
        <v>972</v>
      </c>
      <c r="X258" s="33"/>
      <c r="Y258" s="33"/>
      <c r="Z258" s="33"/>
      <c r="AA258" s="33">
        <f t="shared" ref="AA258" si="871">+AA257+W258</f>
        <v>262763</v>
      </c>
      <c r="AB258" s="33"/>
      <c r="AC258" s="46">
        <f t="shared" ref="AC258" si="872">+AA258/H258</f>
        <v>2.0807829660289691E-2</v>
      </c>
      <c r="AD258" s="33"/>
      <c r="AE258" s="33">
        <f t="shared" ref="AE258" si="873">+AA258/BW258</f>
        <v>1055.2730923694778</v>
      </c>
      <c r="AF258" s="50"/>
      <c r="AG258" s="33">
        <f t="shared" ref="AG258" si="874">SUM(W252:W258)</f>
        <v>10940</v>
      </c>
      <c r="AH258" s="33">
        <f t="shared" ref="AH258" si="875">SUM(D229:D403)</f>
        <v>458233800.34662843</v>
      </c>
      <c r="AI258" s="231">
        <f t="shared" ref="AI258" si="876">+(AG258-AG251)/AG251</f>
        <v>0.37109913522997867</v>
      </c>
      <c r="AJ258" s="50"/>
      <c r="AK258" s="10"/>
      <c r="AL258" s="23">
        <f t="shared" ref="AL258" si="877">+AP258-AP257</f>
        <v>96474</v>
      </c>
      <c r="AM258" s="24"/>
      <c r="AN258" s="24"/>
      <c r="AO258" s="24">
        <v>178263</v>
      </c>
      <c r="AP258" s="24">
        <v>7549014</v>
      </c>
      <c r="AQ258" s="24"/>
      <c r="AR258" s="504">
        <f t="shared" ref="AR258" si="878">+AL258/AP257</f>
        <v>1.2945116698467905E-2</v>
      </c>
      <c r="AS258" s="25"/>
      <c r="AT258" s="25"/>
      <c r="AU258" s="24"/>
      <c r="AV258" s="341">
        <f t="shared" ref="AV258" si="879">+AP258/H258</f>
        <v>0.59779572243863144</v>
      </c>
      <c r="AW258" s="341"/>
      <c r="AX258" s="24">
        <f t="shared" ref="AX258" si="880">+AP258/BW258</f>
        <v>30317.325301204819</v>
      </c>
      <c r="AY258" s="351"/>
      <c r="AZ258" s="10"/>
      <c r="BA258" s="66">
        <f t="shared" ref="BA258" si="881">+BC258-BC257</f>
        <v>1957711</v>
      </c>
      <c r="BB258" s="67"/>
      <c r="BC258" s="67">
        <v>182630295</v>
      </c>
      <c r="BD258" s="67"/>
      <c r="BE258" s="67">
        <f t="shared" ref="BE258" si="882">+D258</f>
        <v>172300</v>
      </c>
      <c r="BF258" s="67"/>
      <c r="BG258" s="156">
        <f t="shared" ref="BG258" si="883">+BE258/BA258</f>
        <v>8.8010947478969065E-2</v>
      </c>
      <c r="BH258" s="67"/>
      <c r="BI258" s="183"/>
      <c r="BJ258" s="67"/>
      <c r="BK258" s="67">
        <f t="shared" ref="BK258" si="884">SUM(BA252:BA258)</f>
        <v>12494291</v>
      </c>
      <c r="BL258" s="67"/>
      <c r="BM258" s="156">
        <f t="shared" ref="BM258" si="885">+Q258/BK258</f>
        <v>9.6776999991436088E-2</v>
      </c>
      <c r="BN258" s="66">
        <f t="shared" ref="BN258" si="886">+BC258/BW258</f>
        <v>733455</v>
      </c>
      <c r="BO258" s="67"/>
      <c r="BP258" s="67">
        <f t="shared" ref="BP258" si="887">+BP257+BE258</f>
        <v>12285436</v>
      </c>
      <c r="BQ258" s="67"/>
      <c r="BR258" s="478">
        <f t="shared" ref="BR258" si="888">+BP258/BC258</f>
        <v>6.7269430846618294E-2</v>
      </c>
      <c r="BS258" s="67"/>
      <c r="BT258" s="86"/>
      <c r="BU258" s="183"/>
      <c r="BV258" s="1"/>
      <c r="BW258" s="61">
        <f t="shared" si="189"/>
        <v>249</v>
      </c>
    </row>
    <row r="259" spans="2:75" x14ac:dyDescent="0.3">
      <c r="B259" s="171">
        <f t="shared" si="163"/>
        <v>44159</v>
      </c>
      <c r="C259" s="61"/>
      <c r="D259" s="17">
        <v>177082</v>
      </c>
      <c r="E259" s="16"/>
      <c r="F259" s="16"/>
      <c r="G259" s="16"/>
      <c r="H259" s="16">
        <f t="shared" ref="H259" si="889">+H258+D259</f>
        <v>12805165</v>
      </c>
      <c r="I259" s="16"/>
      <c r="J259" s="479">
        <f t="shared" ref="J259" si="890">+D259/H258</f>
        <v>1.4022872671964542E-2</v>
      </c>
      <c r="K259" s="16"/>
      <c r="L259" s="16"/>
      <c r="M259" s="16"/>
      <c r="N259" s="16">
        <f t="shared" ref="N259" si="891">SUM(D253:D259)</f>
        <v>1228981</v>
      </c>
      <c r="O259" s="16">
        <f t="shared" ref="O259" si="892">+H259/BW259</f>
        <v>51220.66</v>
      </c>
      <c r="P259" s="41"/>
      <c r="Q259" s="17">
        <f t="shared" ref="Q259" si="893">SUM(D253:D259)</f>
        <v>1228981</v>
      </c>
      <c r="R259" s="16"/>
      <c r="S259" s="60">
        <f t="shared" ref="S259" si="894">+(Q259-Q252)/Q252</f>
        <v>0.11433185297483149</v>
      </c>
      <c r="T259" s="16"/>
      <c r="U259" s="41"/>
      <c r="V259" s="10">
        <f t="shared" si="109"/>
        <v>151</v>
      </c>
      <c r="W259" s="34">
        <v>2216</v>
      </c>
      <c r="X259" s="33"/>
      <c r="Y259" s="33"/>
      <c r="Z259" s="33"/>
      <c r="AA259" s="33">
        <f t="shared" ref="AA259" si="895">+AA258+W259</f>
        <v>264979</v>
      </c>
      <c r="AB259" s="33"/>
      <c r="AC259" s="46">
        <f t="shared" ref="AC259" si="896">+AA259/H259</f>
        <v>2.0693134371950694E-2</v>
      </c>
      <c r="AD259" s="33"/>
      <c r="AE259" s="33">
        <f t="shared" ref="AE259" si="897">+AA259/BW259</f>
        <v>1059.9159999999999</v>
      </c>
      <c r="AF259" s="50"/>
      <c r="AG259" s="33">
        <f t="shared" ref="AG259" si="898">SUM(W253:W259)</f>
        <v>11541</v>
      </c>
      <c r="AH259" s="33">
        <f t="shared" ref="AH259" si="899">SUM(D230:D404)</f>
        <v>458172911.34662843</v>
      </c>
      <c r="AI259" s="231">
        <f t="shared" ref="AI259" si="900">+(AG259-AG252)/AG252</f>
        <v>0.39924830261881666</v>
      </c>
      <c r="AJ259" s="50"/>
      <c r="AK259" s="10"/>
      <c r="AL259" s="23">
        <f t="shared" ref="AL259" si="901">+AP259-AP258</f>
        <v>87992</v>
      </c>
      <c r="AM259" s="24"/>
      <c r="AN259" s="24"/>
      <c r="AO259" s="24">
        <v>178263</v>
      </c>
      <c r="AP259" s="24">
        <v>7637006</v>
      </c>
      <c r="AQ259" s="24"/>
      <c r="AR259" s="504">
        <f t="shared" ref="AR259" si="902">+AL259/AP258</f>
        <v>1.165609177569415E-2</v>
      </c>
      <c r="AS259" s="25"/>
      <c r="AT259" s="25"/>
      <c r="AU259" s="24"/>
      <c r="AV259" s="341">
        <f t="shared" ref="AV259" si="903">+AP259/H259</f>
        <v>0.59640043685497224</v>
      </c>
      <c r="AW259" s="341"/>
      <c r="AX259" s="24">
        <f t="shared" ref="AX259" si="904">+AP259/BW259</f>
        <v>30548.024000000001</v>
      </c>
      <c r="AY259" s="351"/>
      <c r="AZ259" s="10"/>
      <c r="BA259" s="66">
        <f t="shared" ref="BA259" si="905">+BC259-BC258</f>
        <v>1731520</v>
      </c>
      <c r="BB259" s="67"/>
      <c r="BC259" s="67">
        <v>184361815</v>
      </c>
      <c r="BD259" s="67"/>
      <c r="BE259" s="67">
        <f t="shared" ref="BE259" si="906">+D259</f>
        <v>177082</v>
      </c>
      <c r="BF259" s="67"/>
      <c r="BG259" s="156">
        <f t="shared" ref="BG259" si="907">+BE259/BA259</f>
        <v>0.10226968212899649</v>
      </c>
      <c r="BH259" s="67"/>
      <c r="BI259" s="183"/>
      <c r="BJ259" s="67"/>
      <c r="BK259" s="67">
        <f t="shared" ref="BK259" si="908">SUM(BA253:BA259)</f>
        <v>12670124</v>
      </c>
      <c r="BL259" s="67"/>
      <c r="BM259" s="156">
        <f t="shared" ref="BM259" si="909">+Q259/BK259</f>
        <v>9.6998340347734566E-2</v>
      </c>
      <c r="BN259" s="66">
        <f t="shared" ref="BN259" si="910">+BC259/BW259</f>
        <v>737447.26</v>
      </c>
      <c r="BO259" s="67"/>
      <c r="BP259" s="67">
        <f t="shared" ref="BP259" si="911">+BP258+BE259</f>
        <v>12462518</v>
      </c>
      <c r="BQ259" s="67"/>
      <c r="BR259" s="478">
        <f t="shared" ref="BR259" si="912">+BP259/BC259</f>
        <v>6.7598152035984238E-2</v>
      </c>
      <c r="BS259" s="67"/>
      <c r="BT259" s="86"/>
      <c r="BU259" s="183"/>
      <c r="BV259" s="1"/>
      <c r="BW259" s="61">
        <f t="shared" si="189"/>
        <v>250</v>
      </c>
    </row>
    <row r="260" spans="2:75" x14ac:dyDescent="0.3">
      <c r="B260" s="171">
        <f t="shared" si="163"/>
        <v>44160</v>
      </c>
      <c r="C260" s="61"/>
      <c r="D260" s="17">
        <v>180903</v>
      </c>
      <c r="E260" s="16"/>
      <c r="F260" s="16"/>
      <c r="G260" s="16"/>
      <c r="H260" s="16">
        <f t="shared" ref="H260" si="913">+H259+D260</f>
        <v>12986068</v>
      </c>
      <c r="I260" s="16"/>
      <c r="J260" s="479">
        <f t="shared" ref="J260" si="914">+D260/H259</f>
        <v>1.4127346270040253E-2</v>
      </c>
      <c r="K260" s="16"/>
      <c r="L260" s="16"/>
      <c r="M260" s="16"/>
      <c r="N260" s="16">
        <f t="shared" ref="N260" si="915">SUM(D254:D260)</f>
        <v>1236116</v>
      </c>
      <c r="O260" s="16">
        <f t="shared" ref="O260" si="916">+H260/BW260</f>
        <v>51737.322709163345</v>
      </c>
      <c r="P260" s="41"/>
      <c r="Q260" s="17">
        <f t="shared" ref="Q260" si="917">SUM(D254:D260)</f>
        <v>1236116</v>
      </c>
      <c r="R260" s="16"/>
      <c r="S260" s="60">
        <f t="shared" ref="S260" si="918">+(Q260-Q253)/Q253</f>
        <v>9.0291669753772438E-2</v>
      </c>
      <c r="T260" s="16"/>
      <c r="U260" s="41"/>
      <c r="V260" s="10">
        <f t="shared" si="109"/>
        <v>152</v>
      </c>
      <c r="W260" s="34">
        <v>2302</v>
      </c>
      <c r="X260" s="33"/>
      <c r="Y260" s="33"/>
      <c r="Z260" s="33"/>
      <c r="AA260" s="33">
        <f t="shared" ref="AA260" si="919">+AA259+W260</f>
        <v>267281</v>
      </c>
      <c r="AB260" s="33"/>
      <c r="AC260" s="46">
        <f t="shared" ref="AC260" si="920">+AA260/H260</f>
        <v>2.058213463844483E-2</v>
      </c>
      <c r="AD260" s="33"/>
      <c r="AE260" s="33">
        <f t="shared" ref="AE260" si="921">+AA260/BW260</f>
        <v>1064.8645418326694</v>
      </c>
      <c r="AF260" s="50"/>
      <c r="AG260" s="33">
        <f t="shared" ref="AG260" si="922">SUM(W254:W260)</f>
        <v>11879</v>
      </c>
      <c r="AH260" s="33">
        <f t="shared" ref="AH260" si="923">SUM(D231:D405)</f>
        <v>458103070.34662843</v>
      </c>
      <c r="AI260" s="231">
        <f t="shared" ref="AI260" si="924">+(AG260-AG253)/AG253</f>
        <v>0.35884237016700982</v>
      </c>
      <c r="AJ260" s="50"/>
      <c r="AK260" s="10"/>
      <c r="AL260" s="23">
        <f t="shared" ref="AL260" si="925">+AP260-AP259</f>
        <v>168274</v>
      </c>
      <c r="AM260" s="24"/>
      <c r="AN260" s="24"/>
      <c r="AO260" s="24">
        <v>178263</v>
      </c>
      <c r="AP260" s="24">
        <v>7805280</v>
      </c>
      <c r="AQ260" s="24"/>
      <c r="AR260" s="504">
        <f t="shared" ref="AR260" si="926">+AL260/AP259</f>
        <v>2.2034027470974882E-2</v>
      </c>
      <c r="AS260" s="25"/>
      <c r="AT260" s="25"/>
      <c r="AU260" s="24"/>
      <c r="AV260" s="341">
        <f t="shared" ref="AV260" si="927">+AP260/H260</f>
        <v>0.60105029482365258</v>
      </c>
      <c r="AW260" s="341"/>
      <c r="AX260" s="24">
        <f t="shared" ref="AX260" si="928">+AP260/BW260</f>
        <v>31096.733067729085</v>
      </c>
      <c r="AY260" s="351"/>
      <c r="AZ260" s="10"/>
      <c r="BA260" s="66">
        <f t="shared" ref="BA260" si="929">+BC260-BC259</f>
        <v>1743927</v>
      </c>
      <c r="BB260" s="67"/>
      <c r="BC260" s="67">
        <v>186105742</v>
      </c>
      <c r="BD260" s="67"/>
      <c r="BE260" s="67">
        <f t="shared" ref="BE260" si="930">+D260</f>
        <v>180903</v>
      </c>
      <c r="BF260" s="67"/>
      <c r="BG260" s="156">
        <f t="shared" ref="BG260" si="931">+BE260/BA260</f>
        <v>0.10373312644393945</v>
      </c>
      <c r="BH260" s="67"/>
      <c r="BI260" s="183"/>
      <c r="BJ260" s="67"/>
      <c r="BK260" s="67">
        <f t="shared" ref="BK260" si="932">SUM(BA254:BA260)</f>
        <v>12869913</v>
      </c>
      <c r="BL260" s="67"/>
      <c r="BM260" s="156">
        <f t="shared" ref="BM260" si="933">+Q260/BK260</f>
        <v>9.6046958514793376E-2</v>
      </c>
      <c r="BN260" s="66">
        <f t="shared" ref="BN260" si="934">+BC260/BW260</f>
        <v>741457.13944223104</v>
      </c>
      <c r="BO260" s="67"/>
      <c r="BP260" s="67">
        <f t="shared" ref="BP260" si="935">+BP259+BE260</f>
        <v>12643421</v>
      </c>
      <c r="BQ260" s="67"/>
      <c r="BR260" s="478">
        <f t="shared" ref="BR260" si="936">+BP260/BC260</f>
        <v>6.793675930751239E-2</v>
      </c>
      <c r="BS260" s="67"/>
      <c r="BT260" s="86"/>
      <c r="BU260" s="183"/>
      <c r="BV260" s="1"/>
      <c r="BW260" s="61">
        <f t="shared" si="189"/>
        <v>251</v>
      </c>
    </row>
    <row r="261" spans="2:75" x14ac:dyDescent="0.3">
      <c r="B261" s="171">
        <f t="shared" si="163"/>
        <v>44161</v>
      </c>
      <c r="C261" s="61"/>
      <c r="D261" s="17">
        <v>108063</v>
      </c>
      <c r="E261" s="16"/>
      <c r="F261" s="16"/>
      <c r="G261" s="16"/>
      <c r="H261" s="16">
        <f t="shared" ref="H261" si="937">+H260+D261</f>
        <v>13094131</v>
      </c>
      <c r="I261" s="16"/>
      <c r="J261" s="479">
        <f t="shared" ref="J261" si="938">+D261/H260</f>
        <v>8.3214565024609458E-3</v>
      </c>
      <c r="K261" s="16"/>
      <c r="L261" s="16"/>
      <c r="M261" s="16"/>
      <c r="N261" s="16">
        <f t="shared" ref="N261" si="939">SUM(D255:D261)</f>
        <v>1151993</v>
      </c>
      <c r="O261" s="16">
        <f t="shared" ref="O261" si="940">+H261/BW261</f>
        <v>51960.8373015873</v>
      </c>
      <c r="P261" s="41"/>
      <c r="Q261" s="17">
        <f t="shared" ref="Q261" si="941">SUM(D255:D261)</f>
        <v>1151993</v>
      </c>
      <c r="R261" s="16"/>
      <c r="S261" s="60">
        <f t="shared" ref="S261" si="942">+(Q261-Q254)/Q254</f>
        <v>-1.0649325442526707E-2</v>
      </c>
      <c r="T261" s="16"/>
      <c r="U261" s="41"/>
      <c r="V261" s="10">
        <f t="shared" si="109"/>
        <v>153</v>
      </c>
      <c r="W261" s="34">
        <v>1306</v>
      </c>
      <c r="X261" s="33"/>
      <c r="Y261" s="33"/>
      <c r="Z261" s="33"/>
      <c r="AA261" s="33">
        <f t="shared" ref="AA261" si="943">+AA260+W261</f>
        <v>268587</v>
      </c>
      <c r="AB261" s="33"/>
      <c r="AC261" s="46">
        <f t="shared" ref="AC261" si="944">+AA261/H261</f>
        <v>2.0512014122968526E-2</v>
      </c>
      <c r="AD261" s="33"/>
      <c r="AE261" s="33">
        <f t="shared" ref="AE261" si="945">+AA261/BW261</f>
        <v>1065.8214285714287</v>
      </c>
      <c r="AF261" s="50"/>
      <c r="AG261" s="33">
        <f t="shared" ref="AG261" si="946">SUM(W255:W261)</f>
        <v>11120</v>
      </c>
      <c r="AH261" s="33">
        <f t="shared" ref="AH261" si="947">SUM(D232:D406)</f>
        <v>458027998.34662843</v>
      </c>
      <c r="AI261" s="231">
        <f t="shared" ref="AI261" si="948">+(AG261-AG254)/AG254</f>
        <v>0.15628574399500883</v>
      </c>
      <c r="AJ261" s="50"/>
      <c r="AK261" s="10"/>
      <c r="AL261" s="23">
        <f t="shared" ref="AL261" si="949">+AP261-AP260</f>
        <v>41592</v>
      </c>
      <c r="AM261" s="24"/>
      <c r="AN261" s="24"/>
      <c r="AO261" s="24">
        <v>178263</v>
      </c>
      <c r="AP261" s="24">
        <v>7846872</v>
      </c>
      <c r="AQ261" s="24"/>
      <c r="AR261" s="504">
        <f t="shared" ref="AR261" si="950">+AL261/AP260</f>
        <v>5.3287005719205461E-3</v>
      </c>
      <c r="AS261" s="25"/>
      <c r="AT261" s="25"/>
      <c r="AU261" s="24"/>
      <c r="AV261" s="341">
        <f t="shared" ref="AV261" si="951">+AP261/H261</f>
        <v>0.59926634306621795</v>
      </c>
      <c r="AW261" s="341"/>
      <c r="AX261" s="24">
        <f t="shared" ref="AX261" si="952">+AP261/BW261</f>
        <v>31138.380952380954</v>
      </c>
      <c r="AY261" s="351"/>
      <c r="AZ261" s="10"/>
      <c r="BA261" s="66">
        <f t="shared" ref="BA261" si="953">+BC261-BC260</f>
        <v>1036887</v>
      </c>
      <c r="BB261" s="67"/>
      <c r="BC261" s="67">
        <v>187142629</v>
      </c>
      <c r="BD261" s="67"/>
      <c r="BE261" s="67">
        <f t="shared" ref="BE261" si="954">+D261</f>
        <v>108063</v>
      </c>
      <c r="BF261" s="67"/>
      <c r="BG261" s="156">
        <f t="shared" ref="BG261" si="955">+BE261/BA261</f>
        <v>0.10421868535337023</v>
      </c>
      <c r="BH261" s="67"/>
      <c r="BI261" s="183"/>
      <c r="BJ261" s="67"/>
      <c r="BK261" s="67">
        <f t="shared" ref="BK261" si="956">SUM(BA255:BA261)</f>
        <v>12158384</v>
      </c>
      <c r="BL261" s="67"/>
      <c r="BM261" s="156">
        <f t="shared" ref="BM261" si="957">+Q261/BK261</f>
        <v>9.4748858071927983E-2</v>
      </c>
      <c r="BN261" s="66">
        <f t="shared" ref="BN261" si="958">+BC261/BW261</f>
        <v>742629.48015873018</v>
      </c>
      <c r="BO261" s="67"/>
      <c r="BP261" s="67">
        <f t="shared" ref="BP261" si="959">+BP260+BE261</f>
        <v>12751484</v>
      </c>
      <c r="BQ261" s="67"/>
      <c r="BR261" s="478">
        <f t="shared" ref="BR261" si="960">+BP261/BC261</f>
        <v>6.8137783829038762E-2</v>
      </c>
      <c r="BS261" s="67"/>
      <c r="BT261" s="86"/>
      <c r="BU261" s="183"/>
      <c r="BV261" s="1"/>
      <c r="BW261" s="61">
        <f t="shared" si="189"/>
        <v>252</v>
      </c>
    </row>
    <row r="262" spans="2:75" x14ac:dyDescent="0.3">
      <c r="B262" s="171">
        <f t="shared" si="163"/>
        <v>44162</v>
      </c>
      <c r="C262" s="61"/>
      <c r="D262" s="17">
        <v>164012</v>
      </c>
      <c r="E262" s="16"/>
      <c r="F262" s="16"/>
      <c r="G262" s="16"/>
      <c r="H262" s="16">
        <f t="shared" ref="H262" si="961">+H261+D262</f>
        <v>13258143</v>
      </c>
      <c r="I262" s="16"/>
      <c r="J262" s="479">
        <f t="shared" ref="J262" si="962">+D262/H261</f>
        <v>1.2525611665256748E-2</v>
      </c>
      <c r="K262" s="16"/>
      <c r="L262" s="16"/>
      <c r="M262" s="16"/>
      <c r="N262" s="16">
        <f t="shared" ref="N262" si="963">SUM(D256:D262)</f>
        <v>1111826</v>
      </c>
      <c r="O262" s="16">
        <f t="shared" ref="O262" si="964">+H262/BW262</f>
        <v>52403.727272727272</v>
      </c>
      <c r="P262" s="41"/>
      <c r="Q262" s="17">
        <f t="shared" ref="Q262" si="965">SUM(D256:D262)</f>
        <v>1111826</v>
      </c>
      <c r="R262" s="16"/>
      <c r="S262" s="60">
        <f t="shared" ref="S262" si="966">+(Q262-Q255)/Q255</f>
        <v>-6.1785839356311364E-2</v>
      </c>
      <c r="T262" s="16"/>
      <c r="U262" s="41"/>
      <c r="V262" s="10">
        <f t="shared" si="109"/>
        <v>154</v>
      </c>
      <c r="W262" s="34">
        <v>1364</v>
      </c>
      <c r="X262" s="33"/>
      <c r="Y262" s="33"/>
      <c r="Z262" s="33"/>
      <c r="AA262" s="33">
        <f t="shared" ref="AA262" si="967">+AA261+W262</f>
        <v>269951</v>
      </c>
      <c r="AB262" s="33"/>
      <c r="AC262" s="46">
        <f t="shared" ref="AC262" si="968">+AA262/H262</f>
        <v>2.0361147107856657E-2</v>
      </c>
      <c r="AD262" s="33"/>
      <c r="AE262" s="33">
        <f t="shared" ref="AE262" si="969">+AA262/BW262</f>
        <v>1067</v>
      </c>
      <c r="AF262" s="50"/>
      <c r="AG262" s="33">
        <f t="shared" ref="AG262" si="970">SUM(W256:W262)</f>
        <v>10486</v>
      </c>
      <c r="AH262" s="33">
        <f t="shared" ref="AH262" si="971">SUM(D233:D407)</f>
        <v>457946417.34662843</v>
      </c>
      <c r="AI262" s="231">
        <f t="shared" ref="AI262" si="972">+(AG262-AG255)/AG255</f>
        <v>2.6027397260273973E-2</v>
      </c>
      <c r="AJ262" s="50"/>
      <c r="AK262" s="10"/>
      <c r="AL262" s="23">
        <f t="shared" ref="AL262" si="973">+AP262-AP261</f>
        <v>98710</v>
      </c>
      <c r="AM262" s="24"/>
      <c r="AN262" s="24"/>
      <c r="AO262" s="24">
        <v>178263</v>
      </c>
      <c r="AP262" s="24">
        <v>7945582</v>
      </c>
      <c r="AQ262" s="24"/>
      <c r="AR262" s="504">
        <f t="shared" ref="AR262" si="974">+AL262/AP261</f>
        <v>1.2579534877082231E-2</v>
      </c>
      <c r="AS262" s="25"/>
      <c r="AT262" s="25"/>
      <c r="AU262" s="24"/>
      <c r="AV262" s="341">
        <f t="shared" ref="AV262" si="975">+AP262/H262</f>
        <v>0.59929825768209022</v>
      </c>
      <c r="AW262" s="341"/>
      <c r="AX262" s="24">
        <f t="shared" ref="AX262" si="976">+AP262/BW262</f>
        <v>31405.462450592884</v>
      </c>
      <c r="AY262" s="351"/>
      <c r="AZ262" s="10"/>
      <c r="BA262" s="66">
        <f t="shared" ref="BA262" si="977">+BC262-BC261</f>
        <v>2146376</v>
      </c>
      <c r="BB262" s="67"/>
      <c r="BC262" s="67">
        <v>189289005</v>
      </c>
      <c r="BD262" s="67"/>
      <c r="BE262" s="67">
        <f t="shared" ref="BE262" si="978">+D262</f>
        <v>164012</v>
      </c>
      <c r="BF262" s="67"/>
      <c r="BG262" s="156">
        <f t="shared" ref="BG262" si="979">+BE262/BA262</f>
        <v>7.6413452256268236E-2</v>
      </c>
      <c r="BH262" s="67"/>
      <c r="BI262" s="183"/>
      <c r="BJ262" s="67"/>
      <c r="BK262" s="67">
        <f t="shared" ref="BK262" si="980">SUM(BA256:BA262)</f>
        <v>12132164</v>
      </c>
      <c r="BL262" s="67"/>
      <c r="BM262" s="156">
        <f t="shared" ref="BM262" si="981">+Q262/BK262</f>
        <v>9.1642842942116512E-2</v>
      </c>
      <c r="BN262" s="66">
        <f t="shared" ref="BN262" si="982">+BC262/BW262</f>
        <v>748177.88537549402</v>
      </c>
      <c r="BO262" s="67"/>
      <c r="BP262" s="67">
        <f t="shared" ref="BP262" si="983">+BP261+BE262</f>
        <v>12915496</v>
      </c>
      <c r="BQ262" s="67"/>
      <c r="BR262" s="478">
        <f t="shared" ref="BR262" si="984">+BP262/BC262</f>
        <v>6.823162285627736E-2</v>
      </c>
      <c r="BS262" s="67"/>
      <c r="BT262" s="86"/>
      <c r="BU262" s="183"/>
      <c r="BV262" s="1"/>
      <c r="BW262" s="61">
        <f t="shared" si="189"/>
        <v>253</v>
      </c>
    </row>
    <row r="263" spans="2:75" x14ac:dyDescent="0.3">
      <c r="B263" s="171">
        <f t="shared" si="163"/>
        <v>44163</v>
      </c>
      <c r="C263" s="61"/>
      <c r="D263" s="17">
        <v>143373</v>
      </c>
      <c r="E263" s="16"/>
      <c r="F263" s="16"/>
      <c r="G263" s="16"/>
      <c r="H263" s="16">
        <f t="shared" ref="H263" si="985">+H262+D263</f>
        <v>13401516</v>
      </c>
      <c r="I263" s="16"/>
      <c r="J263" s="479">
        <f t="shared" ref="J263" si="986">+D263/H262</f>
        <v>1.0813957882336916E-2</v>
      </c>
      <c r="K263" s="16"/>
      <c r="L263" s="16"/>
      <c r="M263" s="16"/>
      <c r="N263" s="16">
        <f t="shared" ref="N263" si="987">SUM(D257:D263)</f>
        <v>1082360</v>
      </c>
      <c r="O263" s="16">
        <f t="shared" ref="O263" si="988">+H263/BW263</f>
        <v>52761.874015748028</v>
      </c>
      <c r="P263" s="41"/>
      <c r="Q263" s="17">
        <f t="shared" ref="Q263" si="989">SUM(D257:D263)</f>
        <v>1082360</v>
      </c>
      <c r="R263" s="16"/>
      <c r="S263" s="60">
        <f t="shared" ref="S263" si="990">+(Q263-Q256)/Q256</f>
        <v>-9.8507368208883492E-2</v>
      </c>
      <c r="T263" s="16"/>
      <c r="U263" s="41"/>
      <c r="V263" s="10">
        <f t="shared" si="109"/>
        <v>155</v>
      </c>
      <c r="W263" s="34">
        <v>1216</v>
      </c>
      <c r="X263" s="33"/>
      <c r="Y263" s="33"/>
      <c r="Z263" s="33"/>
      <c r="AA263" s="33">
        <f t="shared" ref="AA263" si="991">+AA262+W263</f>
        <v>271167</v>
      </c>
      <c r="AB263" s="33"/>
      <c r="AC263" s="46">
        <f t="shared" ref="AC263" si="992">+AA263/H263</f>
        <v>2.0234054117459547E-2</v>
      </c>
      <c r="AD263" s="33"/>
      <c r="AE263" s="33">
        <f t="shared" ref="AE263" si="993">+AA263/BW263</f>
        <v>1067.5866141732283</v>
      </c>
      <c r="AF263" s="50"/>
      <c r="AG263" s="33">
        <f t="shared" ref="AG263" si="994">SUM(W257:W263)</f>
        <v>10242</v>
      </c>
      <c r="AH263" s="33">
        <f t="shared" ref="AH263" si="995">SUM(D234:D408)</f>
        <v>457854887.34662843</v>
      </c>
      <c r="AI263" s="231">
        <f t="shared" ref="AI263" si="996">+(AG263-AG256)/AG256</f>
        <v>-1.708253358925144E-2</v>
      </c>
      <c r="AJ263" s="50"/>
      <c r="AK263" s="10"/>
      <c r="AL263" s="23">
        <f t="shared" ref="AL263" si="997">+AP263-AP262</f>
        <v>95657</v>
      </c>
      <c r="AM263" s="24"/>
      <c r="AN263" s="24"/>
      <c r="AO263" s="24">
        <v>178263</v>
      </c>
      <c r="AP263" s="24">
        <v>8041239</v>
      </c>
      <c r="AQ263" s="24"/>
      <c r="AR263" s="504">
        <f t="shared" ref="AR263" si="998">+AL263/AP262</f>
        <v>1.203901740615099E-2</v>
      </c>
      <c r="AS263" s="25"/>
      <c r="AT263" s="25"/>
      <c r="AU263" s="24"/>
      <c r="AV263" s="341">
        <f t="shared" ref="AV263" si="999">+AP263/H263</f>
        <v>0.60002457930878861</v>
      </c>
      <c r="AW263" s="341"/>
      <c r="AX263" s="24">
        <f t="shared" ref="AX263" si="1000">+AP263/BW263</f>
        <v>31658.421259842518</v>
      </c>
      <c r="AY263" s="351"/>
      <c r="AZ263" s="10"/>
      <c r="BA263" s="66">
        <f t="shared" ref="BA263" si="1001">+BC263-BC262</f>
        <v>1744219</v>
      </c>
      <c r="BB263" s="67"/>
      <c r="BC263" s="67">
        <v>191033224</v>
      </c>
      <c r="BD263" s="67"/>
      <c r="BE263" s="67">
        <f t="shared" ref="BE263" si="1002">+D263</f>
        <v>143373</v>
      </c>
      <c r="BF263" s="67"/>
      <c r="BG263" s="156">
        <f t="shared" ref="BG263" si="1003">+BE263/BA263</f>
        <v>8.2198966987517053E-2</v>
      </c>
      <c r="BH263" s="67"/>
      <c r="BI263" s="183"/>
      <c r="BJ263" s="67"/>
      <c r="BK263" s="67">
        <f t="shared" ref="BK263" si="1004">SUM(BA257:BA263)</f>
        <v>11993517</v>
      </c>
      <c r="BL263" s="67"/>
      <c r="BM263" s="156">
        <f t="shared" ref="BM263" si="1005">+Q263/BK263</f>
        <v>9.0245421755770217E-2</v>
      </c>
      <c r="BN263" s="66">
        <f t="shared" ref="BN263" si="1006">+BC263/BW263</f>
        <v>752099.30708661419</v>
      </c>
      <c r="BO263" s="67"/>
      <c r="BP263" s="67">
        <f t="shared" ref="BP263" si="1007">+BP262+BE263</f>
        <v>13058869</v>
      </c>
      <c r="BQ263" s="67"/>
      <c r="BR263" s="478">
        <f t="shared" ref="BR263" si="1008">+BP263/BC263</f>
        <v>6.8359150971560839E-2</v>
      </c>
      <c r="BS263" s="67"/>
      <c r="BT263" s="86"/>
      <c r="BU263" s="183"/>
      <c r="BV263" s="1"/>
      <c r="BW263" s="61">
        <f t="shared" si="189"/>
        <v>254</v>
      </c>
    </row>
    <row r="264" spans="2:75" x14ac:dyDescent="0.3">
      <c r="B264" s="390">
        <f t="shared" si="163"/>
        <v>44164</v>
      </c>
      <c r="C264" s="61"/>
      <c r="D264" s="17">
        <v>138188</v>
      </c>
      <c r="E264" s="16"/>
      <c r="F264" s="16"/>
      <c r="G264" s="16"/>
      <c r="H264" s="16">
        <f t="shared" ref="H264" si="1009">+H263+D264</f>
        <v>13539704</v>
      </c>
      <c r="I264" s="16"/>
      <c r="J264" s="479">
        <f t="shared" ref="J264" si="1010">+D264/H263</f>
        <v>1.0311370743429325E-2</v>
      </c>
      <c r="K264" s="16"/>
      <c r="L264" s="16"/>
      <c r="M264" s="16"/>
      <c r="N264" s="16">
        <f t="shared" ref="N264" si="1011">SUM(D258:D264)</f>
        <v>1083921</v>
      </c>
      <c r="O264" s="16">
        <f t="shared" ref="O264" si="1012">+H264/BW264</f>
        <v>53096.878431372548</v>
      </c>
      <c r="P264" s="41"/>
      <c r="Q264" s="17">
        <f t="shared" ref="Q264" si="1013">SUM(D258:D264)</f>
        <v>1083921</v>
      </c>
      <c r="R264" s="16"/>
      <c r="S264" s="60">
        <f t="shared" ref="S264" si="1014">+(Q264-Q257)/Q257</f>
        <v>-9.5985935051363255E-2</v>
      </c>
      <c r="T264" s="16"/>
      <c r="U264" s="41"/>
      <c r="V264" s="10">
        <f t="shared" si="109"/>
        <v>156</v>
      </c>
      <c r="W264" s="34">
        <v>819</v>
      </c>
      <c r="X264" s="33"/>
      <c r="Y264" s="33"/>
      <c r="Z264" s="33"/>
      <c r="AA264" s="33">
        <f t="shared" ref="AA264" si="1015">+AA263+W264</f>
        <v>271986</v>
      </c>
      <c r="AB264" s="33"/>
      <c r="AC264" s="46">
        <f t="shared" ref="AC264" si="1016">+AA264/H264</f>
        <v>2.0088031466566774E-2</v>
      </c>
      <c r="AD264" s="33"/>
      <c r="AE264" s="33">
        <f t="shared" ref="AE264" si="1017">+AA264/BW264</f>
        <v>1066.6117647058823</v>
      </c>
      <c r="AF264" s="50"/>
      <c r="AG264" s="33">
        <f t="shared" ref="AG264" si="1018">SUM(W258:W264)</f>
        <v>10195</v>
      </c>
      <c r="AH264" s="33">
        <f t="shared" ref="AH264" si="1019">SUM(D235:D409)</f>
        <v>457753426.34662843</v>
      </c>
      <c r="AI264" s="231">
        <f t="shared" ref="AI264" si="1020">+(AG264-AG257)/AG257</f>
        <v>-4.7819183711590552E-2</v>
      </c>
      <c r="AJ264" s="50"/>
      <c r="AK264" s="10"/>
      <c r="AL264" s="23">
        <f t="shared" ref="AL264" si="1021">+AP264-AP263</f>
        <v>65964</v>
      </c>
      <c r="AM264" s="24"/>
      <c r="AN264" s="24"/>
      <c r="AO264" s="24">
        <v>178263</v>
      </c>
      <c r="AP264" s="24">
        <v>8107203</v>
      </c>
      <c r="AQ264" s="24"/>
      <c r="AR264" s="504">
        <f t="shared" ref="AR264" si="1022">+AL264/AP263</f>
        <v>8.2032134600153028E-3</v>
      </c>
      <c r="AS264" s="25"/>
      <c r="AT264" s="25"/>
      <c r="AU264" s="24"/>
      <c r="AV264" s="341">
        <f t="shared" ref="AV264" si="1023">+AP264/H264</f>
        <v>0.59877254332886454</v>
      </c>
      <c r="AW264" s="341"/>
      <c r="AX264" s="24">
        <f t="shared" ref="AX264" si="1024">+AP264/BW264</f>
        <v>31792.952941176471</v>
      </c>
      <c r="AY264" s="351"/>
      <c r="AZ264" s="10"/>
      <c r="BA264" s="66">
        <f t="shared" ref="BA264" si="1025">+BC264-BC263</f>
        <v>1238144</v>
      </c>
      <c r="BB264" s="67"/>
      <c r="BC264" s="67">
        <v>192271368</v>
      </c>
      <c r="BD264" s="67"/>
      <c r="BE264" s="67">
        <f t="shared" ref="BE264" si="1026">+D264</f>
        <v>138188</v>
      </c>
      <c r="BF264" s="67"/>
      <c r="BG264" s="156">
        <f t="shared" ref="BG264" si="1027">+BE264/BA264</f>
        <v>0.11160898893828182</v>
      </c>
      <c r="BH264" s="67"/>
      <c r="BI264" s="183"/>
      <c r="BJ264" s="67"/>
      <c r="BK264" s="67">
        <f t="shared" ref="BK264" si="1028">SUM(BA258:BA264)</f>
        <v>11598784</v>
      </c>
      <c r="BL264" s="67"/>
      <c r="BM264" s="156">
        <f t="shared" ref="BM264" si="1029">+Q264/BK264</f>
        <v>9.3451261787442549E-2</v>
      </c>
      <c r="BN264" s="66">
        <f t="shared" ref="BN264" si="1030">+BC264/BW264</f>
        <v>754005.36470588238</v>
      </c>
      <c r="BO264" s="67"/>
      <c r="BP264" s="67">
        <f t="shared" ref="BP264" si="1031">+BP263+BE264</f>
        <v>13197057</v>
      </c>
      <c r="BQ264" s="67"/>
      <c r="BR264" s="478">
        <f t="shared" ref="BR264" si="1032">+BP264/BC264</f>
        <v>6.8637661120713511E-2</v>
      </c>
      <c r="BS264" s="67"/>
      <c r="BT264" s="86"/>
      <c r="BU264" s="183"/>
      <c r="BV264" s="1"/>
      <c r="BW264" s="61">
        <f t="shared" si="189"/>
        <v>255</v>
      </c>
    </row>
    <row r="265" spans="2:75" x14ac:dyDescent="0.3">
      <c r="B265" s="171">
        <f t="shared" si="163"/>
        <v>44165</v>
      </c>
      <c r="C265" s="61"/>
      <c r="D265" s="17"/>
      <c r="E265" s="16"/>
      <c r="F265" s="16"/>
      <c r="G265" s="16"/>
      <c r="H265" s="16"/>
      <c r="I265" s="16"/>
      <c r="J265" s="479"/>
      <c r="K265" s="16"/>
      <c r="L265" s="16"/>
      <c r="M265" s="16"/>
      <c r="N265" s="16"/>
      <c r="O265" s="16"/>
      <c r="P265" s="41"/>
      <c r="Q265" s="17"/>
      <c r="R265" s="16"/>
      <c r="S265" s="60"/>
      <c r="T265" s="16"/>
      <c r="U265" s="41"/>
      <c r="V265" s="10"/>
      <c r="W265" s="34"/>
      <c r="X265" s="33"/>
      <c r="Y265" s="33"/>
      <c r="Z265" s="33"/>
      <c r="AA265" s="33"/>
      <c r="AB265" s="33"/>
      <c r="AC265" s="46"/>
      <c r="AD265" s="33"/>
      <c r="AE265" s="33"/>
      <c r="AF265" s="50"/>
      <c r="AG265" s="33"/>
      <c r="AH265" s="33"/>
      <c r="AI265" s="231"/>
      <c r="AJ265" s="50"/>
      <c r="AK265" s="10"/>
      <c r="AL265" s="23"/>
      <c r="AM265" s="24"/>
      <c r="AN265" s="24"/>
      <c r="AO265" s="24"/>
      <c r="AP265" s="24"/>
      <c r="AQ265" s="24"/>
      <c r="AR265" s="504"/>
      <c r="AS265" s="25"/>
      <c r="AT265" s="25"/>
      <c r="AU265" s="24"/>
      <c r="AV265" s="341"/>
      <c r="AW265" s="341"/>
      <c r="AX265" s="24"/>
      <c r="AY265" s="351"/>
      <c r="AZ265" s="10"/>
      <c r="BA265" s="66"/>
      <c r="BB265" s="67"/>
      <c r="BC265" s="67"/>
      <c r="BD265" s="67"/>
      <c r="BE265" s="67"/>
      <c r="BF265" s="67"/>
      <c r="BG265" s="156"/>
      <c r="BH265" s="67"/>
      <c r="BI265" s="183"/>
      <c r="BJ265" s="67"/>
      <c r="BK265" s="67"/>
      <c r="BL265" s="67"/>
      <c r="BM265" s="156"/>
      <c r="BN265" s="66"/>
      <c r="BO265" s="67"/>
      <c r="BP265" s="67"/>
      <c r="BQ265" s="67"/>
      <c r="BR265" s="478"/>
      <c r="BS265" s="67"/>
      <c r="BT265" s="86"/>
      <c r="BU265" s="183"/>
      <c r="BV265" s="1"/>
      <c r="BW265" s="61"/>
    </row>
    <row r="266" spans="2:75" x14ac:dyDescent="0.3">
      <c r="B266" s="171">
        <f t="shared" si="163"/>
        <v>44166</v>
      </c>
      <c r="C266" s="61"/>
      <c r="D266" s="17"/>
      <c r="E266" s="16"/>
      <c r="F266" s="16"/>
      <c r="G266" s="16"/>
      <c r="H266" s="16"/>
      <c r="I266" s="16"/>
      <c r="J266" s="479"/>
      <c r="K266" s="16"/>
      <c r="L266" s="16"/>
      <c r="M266" s="16"/>
      <c r="N266" s="16"/>
      <c r="O266" s="16"/>
      <c r="P266" s="41"/>
      <c r="Q266" s="17"/>
      <c r="R266" s="16"/>
      <c r="S266" s="60"/>
      <c r="T266" s="16"/>
      <c r="U266" s="41"/>
      <c r="V266" s="10"/>
      <c r="W266" s="34"/>
      <c r="X266" s="33"/>
      <c r="Y266" s="33"/>
      <c r="Z266" s="33"/>
      <c r="AA266" s="33"/>
      <c r="AB266" s="33"/>
      <c r="AC266" s="46"/>
      <c r="AD266" s="33"/>
      <c r="AE266" s="33"/>
      <c r="AF266" s="50"/>
      <c r="AG266" s="33"/>
      <c r="AH266" s="33"/>
      <c r="AI266" s="231"/>
      <c r="AJ266" s="50"/>
      <c r="AK266" s="10"/>
      <c r="AL266" s="23"/>
      <c r="AM266" s="24"/>
      <c r="AN266" s="24"/>
      <c r="AO266" s="24"/>
      <c r="AP266" s="24"/>
      <c r="AQ266" s="24"/>
      <c r="AR266" s="504"/>
      <c r="AS266" s="25"/>
      <c r="AT266" s="25"/>
      <c r="AU266" s="24"/>
      <c r="AV266" s="341"/>
      <c r="AW266" s="341"/>
      <c r="AX266" s="24"/>
      <c r="AY266" s="351"/>
      <c r="AZ266" s="10"/>
      <c r="BA266" s="66"/>
      <c r="BB266" s="67"/>
      <c r="BC266" s="67"/>
      <c r="BD266" s="67"/>
      <c r="BE266" s="67"/>
      <c r="BF266" s="67"/>
      <c r="BG266" s="156"/>
      <c r="BH266" s="67"/>
      <c r="BI266" s="183"/>
      <c r="BJ266" s="67"/>
      <c r="BK266" s="67"/>
      <c r="BL266" s="67"/>
      <c r="BM266" s="156"/>
      <c r="BN266" s="66"/>
      <c r="BO266" s="67"/>
      <c r="BP266" s="67"/>
      <c r="BQ266" s="67"/>
      <c r="BR266" s="478"/>
      <c r="BS266" s="67"/>
      <c r="BT266" s="86"/>
      <c r="BU266" s="183"/>
      <c r="BV266" s="1"/>
      <c r="BW266" s="61"/>
    </row>
    <row r="267" spans="2:75" x14ac:dyDescent="0.3">
      <c r="B267" s="171">
        <f t="shared" si="163"/>
        <v>44167</v>
      </c>
      <c r="C267" s="61"/>
      <c r="D267" s="17"/>
      <c r="E267" s="16"/>
      <c r="F267" s="16"/>
      <c r="G267" s="16"/>
      <c r="H267" s="16"/>
      <c r="I267" s="16"/>
      <c r="J267" s="479"/>
      <c r="K267" s="16"/>
      <c r="L267" s="16"/>
      <c r="M267" s="16"/>
      <c r="N267" s="16"/>
      <c r="O267" s="16"/>
      <c r="P267" s="41"/>
      <c r="Q267" s="17"/>
      <c r="R267" s="16"/>
      <c r="S267" s="60"/>
      <c r="T267" s="16"/>
      <c r="U267" s="41"/>
      <c r="V267" s="10"/>
      <c r="W267" s="34"/>
      <c r="X267" s="33"/>
      <c r="Y267" s="33"/>
      <c r="Z267" s="33"/>
      <c r="AA267" s="33"/>
      <c r="AB267" s="33"/>
      <c r="AC267" s="46"/>
      <c r="AD267" s="33"/>
      <c r="AE267" s="33"/>
      <c r="AF267" s="50"/>
      <c r="AG267" s="33"/>
      <c r="AH267" s="33"/>
      <c r="AI267" s="231"/>
      <c r="AJ267" s="50"/>
      <c r="AK267" s="10"/>
      <c r="AL267" s="23"/>
      <c r="AM267" s="24"/>
      <c r="AN267" s="24"/>
      <c r="AO267" s="24"/>
      <c r="AP267" s="24"/>
      <c r="AQ267" s="24"/>
      <c r="AR267" s="504"/>
      <c r="AS267" s="25"/>
      <c r="AT267" s="25"/>
      <c r="AU267" s="24"/>
      <c r="AV267" s="341"/>
      <c r="AW267" s="341"/>
      <c r="AX267" s="24"/>
      <c r="AY267" s="351"/>
      <c r="AZ267" s="10"/>
      <c r="BA267" s="66"/>
      <c r="BB267" s="67"/>
      <c r="BC267" s="67"/>
      <c r="BD267" s="67"/>
      <c r="BE267" s="67"/>
      <c r="BF267" s="67"/>
      <c r="BG267" s="156"/>
      <c r="BH267" s="67"/>
      <c r="BI267" s="183"/>
      <c r="BJ267" s="67"/>
      <c r="BK267" s="67"/>
      <c r="BL267" s="67"/>
      <c r="BM267" s="156"/>
      <c r="BN267" s="66"/>
      <c r="BO267" s="67"/>
      <c r="BP267" s="67"/>
      <c r="BQ267" s="67"/>
      <c r="BR267" s="478"/>
      <c r="BS267" s="67"/>
      <c r="BT267" s="86"/>
      <c r="BU267" s="183"/>
      <c r="BV267" s="1"/>
      <c r="BW267" s="61"/>
    </row>
    <row r="268" spans="2:75" x14ac:dyDescent="0.3">
      <c r="B268" s="171">
        <f t="shared" si="163"/>
        <v>44168</v>
      </c>
      <c r="C268" s="61"/>
      <c r="D268" s="17"/>
      <c r="E268" s="16"/>
      <c r="F268" s="16"/>
      <c r="G268" s="16"/>
      <c r="H268" s="16"/>
      <c r="I268" s="16"/>
      <c r="J268" s="479"/>
      <c r="K268" s="16"/>
      <c r="L268" s="16"/>
      <c r="M268" s="16"/>
      <c r="N268" s="16"/>
      <c r="O268" s="16"/>
      <c r="P268" s="41"/>
      <c r="Q268" s="17"/>
      <c r="R268" s="16"/>
      <c r="S268" s="60"/>
      <c r="T268" s="16"/>
      <c r="U268" s="41"/>
      <c r="V268" s="10"/>
      <c r="W268" s="34"/>
      <c r="X268" s="33"/>
      <c r="Y268" s="33"/>
      <c r="Z268" s="33"/>
      <c r="AA268" s="33"/>
      <c r="AB268" s="33"/>
      <c r="AC268" s="46"/>
      <c r="AD268" s="33"/>
      <c r="AE268" s="33"/>
      <c r="AF268" s="50"/>
      <c r="AG268" s="33"/>
      <c r="AH268" s="33"/>
      <c r="AI268" s="231"/>
      <c r="AJ268" s="50"/>
      <c r="AK268" s="10"/>
      <c r="AL268" s="23"/>
      <c r="AM268" s="24"/>
      <c r="AN268" s="24"/>
      <c r="AO268" s="24"/>
      <c r="AP268" s="24"/>
      <c r="AQ268" s="24"/>
      <c r="AR268" s="504"/>
      <c r="AS268" s="25"/>
      <c r="AT268" s="25"/>
      <c r="AU268" s="24"/>
      <c r="AV268" s="341"/>
      <c r="AW268" s="341"/>
      <c r="AX268" s="24"/>
      <c r="AY268" s="351"/>
      <c r="AZ268" s="10"/>
      <c r="BA268" s="66"/>
      <c r="BB268" s="67"/>
      <c r="BC268" s="67"/>
      <c r="BD268" s="67"/>
      <c r="BE268" s="67"/>
      <c r="BF268" s="67"/>
      <c r="BG268" s="156"/>
      <c r="BH268" s="67"/>
      <c r="BI268" s="183"/>
      <c r="BJ268" s="67"/>
      <c r="BK268" s="67"/>
      <c r="BL268" s="67"/>
      <c r="BM268" s="156"/>
      <c r="BN268" s="66"/>
      <c r="BO268" s="67"/>
      <c r="BP268" s="67"/>
      <c r="BQ268" s="67"/>
      <c r="BR268" s="478"/>
      <c r="BS268" s="67"/>
      <c r="BT268" s="86"/>
      <c r="BU268" s="183"/>
      <c r="BV268" s="1"/>
      <c r="BW268" s="61"/>
    </row>
    <row r="269" spans="2:75" x14ac:dyDescent="0.3">
      <c r="B269" s="171">
        <f t="shared" si="163"/>
        <v>44169</v>
      </c>
      <c r="C269" s="61"/>
      <c r="D269" s="17"/>
      <c r="E269" s="16"/>
      <c r="F269" s="16"/>
      <c r="G269" s="16"/>
      <c r="H269" s="16"/>
      <c r="I269" s="16"/>
      <c r="J269" s="479"/>
      <c r="K269" s="16"/>
      <c r="L269" s="16"/>
      <c r="M269" s="16"/>
      <c r="N269" s="16"/>
      <c r="O269" s="16"/>
      <c r="P269" s="41"/>
      <c r="Q269" s="17"/>
      <c r="R269" s="16"/>
      <c r="S269" s="60"/>
      <c r="T269" s="16"/>
      <c r="U269" s="41"/>
      <c r="V269" s="10"/>
      <c r="W269" s="34"/>
      <c r="X269" s="33"/>
      <c r="Y269" s="33"/>
      <c r="Z269" s="33"/>
      <c r="AA269" s="33"/>
      <c r="AB269" s="33"/>
      <c r="AC269" s="46"/>
      <c r="AD269" s="33"/>
      <c r="AE269" s="33"/>
      <c r="AF269" s="50"/>
      <c r="AG269" s="33"/>
      <c r="AH269" s="33"/>
      <c r="AI269" s="231"/>
      <c r="AJ269" s="50"/>
      <c r="AK269" s="10"/>
      <c r="AL269" s="23"/>
      <c r="AM269" s="24"/>
      <c r="AN269" s="24"/>
      <c r="AO269" s="24"/>
      <c r="AP269" s="24"/>
      <c r="AQ269" s="24"/>
      <c r="AR269" s="504"/>
      <c r="AS269" s="25"/>
      <c r="AT269" s="25"/>
      <c r="AU269" s="24"/>
      <c r="AV269" s="341"/>
      <c r="AW269" s="341"/>
      <c r="AX269" s="24"/>
      <c r="AY269" s="351"/>
      <c r="AZ269" s="10"/>
      <c r="BA269" s="66"/>
      <c r="BB269" s="67"/>
      <c r="BC269" s="67"/>
      <c r="BD269" s="67"/>
      <c r="BE269" s="67"/>
      <c r="BF269" s="67"/>
      <c r="BG269" s="156"/>
      <c r="BH269" s="67"/>
      <c r="BI269" s="183"/>
      <c r="BJ269" s="67"/>
      <c r="BK269" s="67"/>
      <c r="BL269" s="67"/>
      <c r="BM269" s="156"/>
      <c r="BN269" s="66"/>
      <c r="BO269" s="67"/>
      <c r="BP269" s="67"/>
      <c r="BQ269" s="67"/>
      <c r="BR269" s="478"/>
      <c r="BS269" s="67"/>
      <c r="BT269" s="86"/>
      <c r="BU269" s="183"/>
      <c r="BV269" s="1"/>
      <c r="BW269" s="61"/>
    </row>
    <row r="270" spans="2:75" x14ac:dyDescent="0.3">
      <c r="B270" s="171">
        <f t="shared" si="163"/>
        <v>44170</v>
      </c>
      <c r="C270" s="61"/>
      <c r="D270" s="17"/>
      <c r="E270" s="16"/>
      <c r="F270" s="16"/>
      <c r="G270" s="16"/>
      <c r="H270" s="16"/>
      <c r="I270" s="16"/>
      <c r="J270" s="479"/>
      <c r="K270" s="16"/>
      <c r="L270" s="16"/>
      <c r="M270" s="16"/>
      <c r="N270" s="16"/>
      <c r="O270" s="16"/>
      <c r="P270" s="41"/>
      <c r="Q270" s="17"/>
      <c r="R270" s="16"/>
      <c r="S270" s="60"/>
      <c r="T270" s="16"/>
      <c r="U270" s="41"/>
      <c r="V270" s="10"/>
      <c r="W270" s="34"/>
      <c r="X270" s="33"/>
      <c r="Y270" s="33"/>
      <c r="Z270" s="33"/>
      <c r="AA270" s="33"/>
      <c r="AB270" s="33"/>
      <c r="AC270" s="46"/>
      <c r="AD270" s="33"/>
      <c r="AE270" s="33"/>
      <c r="AF270" s="50"/>
      <c r="AG270" s="33"/>
      <c r="AH270" s="33"/>
      <c r="AI270" s="231"/>
      <c r="AJ270" s="50"/>
      <c r="AK270" s="10"/>
      <c r="AL270" s="23"/>
      <c r="AM270" s="24"/>
      <c r="AN270" s="24"/>
      <c r="AO270" s="24"/>
      <c r="AP270" s="24"/>
      <c r="AQ270" s="24"/>
      <c r="AR270" s="504"/>
      <c r="AS270" s="25"/>
      <c r="AT270" s="25"/>
      <c r="AU270" s="24"/>
      <c r="AV270" s="341"/>
      <c r="AW270" s="341"/>
      <c r="AX270" s="24"/>
      <c r="AY270" s="351"/>
      <c r="AZ270" s="10"/>
      <c r="BA270" s="66"/>
      <c r="BB270" s="67"/>
      <c r="BC270" s="67"/>
      <c r="BD270" s="67"/>
      <c r="BE270" s="67"/>
      <c r="BF270" s="67"/>
      <c r="BG270" s="156"/>
      <c r="BH270" s="67"/>
      <c r="BI270" s="183"/>
      <c r="BJ270" s="67"/>
      <c r="BK270" s="592"/>
      <c r="BL270" s="67"/>
      <c r="BM270" s="156"/>
      <c r="BN270" s="66"/>
      <c r="BO270" s="67"/>
      <c r="BP270" s="67"/>
      <c r="BQ270" s="67"/>
      <c r="BR270" s="478"/>
      <c r="BS270" s="67"/>
      <c r="BT270" s="86"/>
      <c r="BU270" s="183"/>
      <c r="BV270" s="1"/>
      <c r="BW270" s="61">
        <f>+BW246+1</f>
        <v>238</v>
      </c>
    </row>
    <row r="271" spans="2:75" x14ac:dyDescent="0.3">
      <c r="B271" s="390">
        <f t="shared" si="163"/>
        <v>44171</v>
      </c>
      <c r="C271" s="61"/>
      <c r="D271" s="17"/>
      <c r="E271" s="16"/>
      <c r="F271" s="16"/>
      <c r="G271" s="16"/>
      <c r="H271" s="16"/>
      <c r="I271" s="16"/>
      <c r="J271" s="479"/>
      <c r="K271" s="16"/>
      <c r="L271" s="16"/>
      <c r="M271" s="16"/>
      <c r="N271" s="16"/>
      <c r="O271" s="16"/>
      <c r="P271" s="41"/>
      <c r="Q271" s="453"/>
      <c r="R271" s="16"/>
      <c r="S271" s="60"/>
      <c r="T271" s="16"/>
      <c r="U271" s="41"/>
      <c r="V271" s="10"/>
      <c r="W271" s="34"/>
      <c r="X271" s="33"/>
      <c r="Y271" s="33"/>
      <c r="Z271" s="33"/>
      <c r="AA271" s="33"/>
      <c r="AB271" s="33"/>
      <c r="AC271" s="46"/>
      <c r="AD271" s="33"/>
      <c r="AE271" s="33"/>
      <c r="AF271" s="50"/>
      <c r="AG271" s="33"/>
      <c r="AH271" s="33"/>
      <c r="AI271" s="231"/>
      <c r="AJ271" s="50"/>
      <c r="AK271" s="10"/>
      <c r="AL271" s="23"/>
      <c r="AM271" s="24"/>
      <c r="AN271" s="24"/>
      <c r="AO271" s="24"/>
      <c r="AP271" s="24"/>
      <c r="AQ271" s="24"/>
      <c r="AR271" s="504"/>
      <c r="AS271" s="25"/>
      <c r="AT271" s="25"/>
      <c r="AU271" s="24"/>
      <c r="AV271" s="341"/>
      <c r="AW271" s="341"/>
      <c r="AX271" s="24"/>
      <c r="AY271" s="351"/>
      <c r="AZ271" s="10"/>
      <c r="BA271" s="66"/>
      <c r="BB271" s="67"/>
      <c r="BC271" s="67"/>
      <c r="BD271" s="67"/>
      <c r="BE271" s="67"/>
      <c r="BF271" s="67"/>
      <c r="BG271" s="156"/>
      <c r="BH271" s="67"/>
      <c r="BI271" s="183"/>
      <c r="BJ271" s="67"/>
      <c r="BK271" s="67"/>
      <c r="BL271" s="67"/>
      <c r="BM271" s="156"/>
      <c r="BN271" s="66"/>
      <c r="BO271" s="67"/>
      <c r="BP271" s="67"/>
      <c r="BQ271" s="67"/>
      <c r="BR271" s="478"/>
      <c r="BS271" s="67"/>
      <c r="BT271" s="86"/>
      <c r="BU271" s="183"/>
      <c r="BV271" s="1"/>
      <c r="BW271" s="61">
        <f t="shared" si="189"/>
        <v>239</v>
      </c>
    </row>
    <row r="272" spans="2:75" x14ac:dyDescent="0.3">
      <c r="B272" s="171">
        <f t="shared" si="163"/>
        <v>44172</v>
      </c>
      <c r="D272" s="18"/>
      <c r="E272" s="19"/>
      <c r="F272" s="19"/>
      <c r="G272" s="19"/>
      <c r="H272" s="19"/>
      <c r="I272" s="19"/>
      <c r="J272" s="39"/>
      <c r="K272" s="19"/>
      <c r="L272" s="19"/>
      <c r="M272" s="19"/>
      <c r="N272" s="19"/>
      <c r="O272" s="19"/>
      <c r="P272" s="43"/>
      <c r="Q272" s="18"/>
      <c r="R272" s="19"/>
      <c r="S272" s="19"/>
      <c r="T272" s="19"/>
      <c r="U272" s="43"/>
      <c r="V272" s="1"/>
      <c r="W272" s="35"/>
      <c r="X272" s="36"/>
      <c r="Y272" s="36"/>
      <c r="Z272" s="36"/>
      <c r="AA272" s="36"/>
      <c r="AB272" s="36"/>
      <c r="AC272" s="47"/>
      <c r="AD272" s="36"/>
      <c r="AE272" s="36"/>
      <c r="AF272" s="51"/>
      <c r="AG272" s="36"/>
      <c r="AH272" s="36"/>
      <c r="AI272" s="36"/>
      <c r="AJ272" s="51"/>
      <c r="AK272" s="1"/>
      <c r="AL272" s="26"/>
      <c r="AM272" s="27"/>
      <c r="AN272" s="27"/>
      <c r="AO272" s="27"/>
      <c r="AP272" s="27"/>
      <c r="AQ272" s="27"/>
      <c r="AR272" s="27"/>
      <c r="AS272" s="27"/>
      <c r="AT272" s="27"/>
      <c r="AU272" s="27"/>
      <c r="AV272" s="343"/>
      <c r="AW272" s="343"/>
      <c r="AX272" s="27"/>
      <c r="AY272" s="350"/>
      <c r="AZ272" s="1"/>
      <c r="BA272" s="68"/>
      <c r="BB272" s="69"/>
      <c r="BC272" s="69"/>
      <c r="BD272" s="69"/>
      <c r="BE272" s="69"/>
      <c r="BF272" s="69"/>
      <c r="BG272" s="69"/>
      <c r="BH272" s="69"/>
      <c r="BI272" s="184"/>
      <c r="BJ272" s="69"/>
      <c r="BK272" s="69"/>
      <c r="BL272" s="69"/>
      <c r="BM272" s="69"/>
      <c r="BN272" s="68"/>
      <c r="BO272" s="69"/>
      <c r="BP272" s="69"/>
      <c r="BQ272" s="69"/>
      <c r="BR272" s="71"/>
      <c r="BS272" s="69"/>
      <c r="BT272" s="69"/>
      <c r="BU272" s="184"/>
      <c r="BV272" s="1"/>
      <c r="BW272" s="61">
        <f t="shared" si="189"/>
        <v>240</v>
      </c>
    </row>
    <row r="273" spans="2:85" x14ac:dyDescent="0.3">
      <c r="B273" s="56"/>
      <c r="D273" s="1"/>
      <c r="E273" s="1"/>
      <c r="F273" s="1"/>
      <c r="G273" s="1"/>
      <c r="H273" s="59"/>
      <c r="I273" s="1"/>
      <c r="J273" s="5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59"/>
      <c r="X273" s="1"/>
      <c r="Y273" s="1"/>
      <c r="Z273" s="1"/>
      <c r="AA273" s="1"/>
      <c r="AB273" s="1"/>
      <c r="AC273" s="59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59"/>
      <c r="BD273" s="1"/>
      <c r="BE273" s="59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</row>
    <row r="274" spans="2:85" x14ac:dyDescent="0.3">
      <c r="B274" s="179" t="s">
        <v>82</v>
      </c>
      <c r="D274" s="56">
        <f>+D264</f>
        <v>138188</v>
      </c>
      <c r="E274" s="56">
        <f t="shared" ref="E274:G274" si="1033">+E238</f>
        <v>0</v>
      </c>
      <c r="F274" s="56">
        <f t="shared" si="1033"/>
        <v>0</v>
      </c>
      <c r="G274" s="56">
        <f t="shared" si="1033"/>
        <v>0</v>
      </c>
      <c r="H274" s="56">
        <f t="shared" ref="H274:BS274" si="1034">+H264</f>
        <v>13539704</v>
      </c>
      <c r="I274" s="56">
        <f t="shared" si="1034"/>
        <v>0</v>
      </c>
      <c r="J274" s="56">
        <f t="shared" si="1034"/>
        <v>1.0311370743429325E-2</v>
      </c>
      <c r="K274" s="56">
        <f t="shared" si="1034"/>
        <v>0</v>
      </c>
      <c r="L274" s="56">
        <f t="shared" si="1034"/>
        <v>0</v>
      </c>
      <c r="M274" s="56">
        <f t="shared" si="1034"/>
        <v>0</v>
      </c>
      <c r="N274" s="56">
        <f t="shared" si="1034"/>
        <v>1083921</v>
      </c>
      <c r="O274" s="56">
        <f t="shared" si="1034"/>
        <v>53096.878431372548</v>
      </c>
      <c r="P274" s="56">
        <f t="shared" si="1034"/>
        <v>0</v>
      </c>
      <c r="Q274" s="56">
        <f t="shared" si="1034"/>
        <v>1083921</v>
      </c>
      <c r="R274" s="56">
        <f t="shared" si="1034"/>
        <v>0</v>
      </c>
      <c r="S274" s="56">
        <f t="shared" si="1034"/>
        <v>-9.5985935051363255E-2</v>
      </c>
      <c r="T274" s="56">
        <f t="shared" si="1034"/>
        <v>0</v>
      </c>
      <c r="U274" s="56">
        <f t="shared" si="1034"/>
        <v>0</v>
      </c>
      <c r="V274" s="56">
        <f t="shared" si="1034"/>
        <v>156</v>
      </c>
      <c r="W274" s="56">
        <f t="shared" si="1034"/>
        <v>819</v>
      </c>
      <c r="X274" s="56">
        <f t="shared" si="1034"/>
        <v>0</v>
      </c>
      <c r="Y274" s="56">
        <f t="shared" si="1034"/>
        <v>0</v>
      </c>
      <c r="Z274" s="56">
        <f t="shared" si="1034"/>
        <v>0</v>
      </c>
      <c r="AA274" s="56">
        <f t="shared" si="1034"/>
        <v>271986</v>
      </c>
      <c r="AB274" s="56">
        <f t="shared" si="1034"/>
        <v>0</v>
      </c>
      <c r="AC274" s="56">
        <f t="shared" si="1034"/>
        <v>2.0088031466566774E-2</v>
      </c>
      <c r="AD274" s="56">
        <f t="shared" si="1034"/>
        <v>0</v>
      </c>
      <c r="AE274" s="56">
        <f t="shared" si="1034"/>
        <v>1066.6117647058823</v>
      </c>
      <c r="AF274" s="56">
        <f t="shared" si="1034"/>
        <v>0</v>
      </c>
      <c r="AG274" s="56">
        <f t="shared" si="1034"/>
        <v>10195</v>
      </c>
      <c r="AH274" s="56">
        <f t="shared" si="1034"/>
        <v>457753426.34662843</v>
      </c>
      <c r="AI274" s="56">
        <f t="shared" si="1034"/>
        <v>-4.7819183711590552E-2</v>
      </c>
      <c r="AJ274" s="56">
        <f t="shared" si="1034"/>
        <v>0</v>
      </c>
      <c r="AK274" s="56">
        <f t="shared" si="1034"/>
        <v>0</v>
      </c>
      <c r="AL274" s="56">
        <f t="shared" si="1034"/>
        <v>65964</v>
      </c>
      <c r="AM274" s="56">
        <f t="shared" si="1034"/>
        <v>0</v>
      </c>
      <c r="AN274" s="56">
        <f t="shared" si="1034"/>
        <v>0</v>
      </c>
      <c r="AO274" s="56">
        <f t="shared" si="1034"/>
        <v>178263</v>
      </c>
      <c r="AP274" s="56">
        <f t="shared" si="1034"/>
        <v>8107203</v>
      </c>
      <c r="AQ274" s="56">
        <f t="shared" si="1034"/>
        <v>0</v>
      </c>
      <c r="AR274" s="56">
        <f t="shared" si="1034"/>
        <v>8.2032134600153028E-3</v>
      </c>
      <c r="AS274" s="56">
        <f t="shared" si="1034"/>
        <v>0</v>
      </c>
      <c r="AT274" s="56">
        <f t="shared" si="1034"/>
        <v>0</v>
      </c>
      <c r="AU274" s="56">
        <f t="shared" si="1034"/>
        <v>0</v>
      </c>
      <c r="AV274" s="56">
        <f t="shared" si="1034"/>
        <v>0.59877254332886454</v>
      </c>
      <c r="AW274" s="56">
        <f t="shared" si="1034"/>
        <v>0</v>
      </c>
      <c r="AX274" s="56">
        <f t="shared" si="1034"/>
        <v>31792.952941176471</v>
      </c>
      <c r="AY274" s="56">
        <f t="shared" si="1034"/>
        <v>0</v>
      </c>
      <c r="AZ274" s="56">
        <f t="shared" si="1034"/>
        <v>0</v>
      </c>
      <c r="BA274" s="56">
        <f t="shared" si="1034"/>
        <v>1238144</v>
      </c>
      <c r="BB274" s="56">
        <f t="shared" si="1034"/>
        <v>0</v>
      </c>
      <c r="BC274" s="56">
        <f t="shared" si="1034"/>
        <v>192271368</v>
      </c>
      <c r="BD274" s="56">
        <f t="shared" si="1034"/>
        <v>0</v>
      </c>
      <c r="BE274" s="56">
        <f t="shared" si="1034"/>
        <v>138188</v>
      </c>
      <c r="BF274" s="56">
        <f t="shared" si="1034"/>
        <v>0</v>
      </c>
      <c r="BG274" s="56">
        <f t="shared" si="1034"/>
        <v>0.11160898893828182</v>
      </c>
      <c r="BH274" s="56">
        <f t="shared" si="1034"/>
        <v>0</v>
      </c>
      <c r="BI274" s="56">
        <f t="shared" si="1034"/>
        <v>0</v>
      </c>
      <c r="BJ274" s="56">
        <f t="shared" si="1034"/>
        <v>0</v>
      </c>
      <c r="BK274" s="56">
        <f t="shared" si="1034"/>
        <v>11598784</v>
      </c>
      <c r="BL274" s="56">
        <f t="shared" si="1034"/>
        <v>0</v>
      </c>
      <c r="BM274" s="56">
        <f t="shared" si="1034"/>
        <v>9.3451261787442549E-2</v>
      </c>
      <c r="BN274" s="56">
        <f t="shared" si="1034"/>
        <v>754005.36470588238</v>
      </c>
      <c r="BO274" s="56">
        <f t="shared" si="1034"/>
        <v>0</v>
      </c>
      <c r="BP274" s="56">
        <f t="shared" si="1034"/>
        <v>13197057</v>
      </c>
      <c r="BQ274" s="56">
        <f t="shared" si="1034"/>
        <v>0</v>
      </c>
      <c r="BR274" s="56">
        <f t="shared" si="1034"/>
        <v>6.8637661120713511E-2</v>
      </c>
      <c r="BS274" s="56">
        <f t="shared" si="1034"/>
        <v>0</v>
      </c>
      <c r="BT274" s="56">
        <f t="shared" ref="BT274" si="1035">+BT264</f>
        <v>0</v>
      </c>
      <c r="BU274" s="56">
        <f t="shared" ref="BT274:BU274" si="1036">+BU261</f>
        <v>0</v>
      </c>
      <c r="BV274" s="10"/>
      <c r="BW274" s="160"/>
      <c r="BX274" s="10"/>
      <c r="BY274" s="62"/>
      <c r="BZ274" s="10"/>
      <c r="CA274" s="160"/>
      <c r="CB274" s="61"/>
      <c r="CC274" s="61"/>
      <c r="CD274" s="61"/>
      <c r="CE274" s="61"/>
      <c r="CF274" s="61"/>
      <c r="CG274" s="157"/>
    </row>
    <row r="275" spans="2:85" x14ac:dyDescent="0.3">
      <c r="B275" t="s">
        <v>118</v>
      </c>
      <c r="D275" s="56">
        <f>+D263-D274</f>
        <v>5185</v>
      </c>
      <c r="E275" s="56">
        <f t="shared" ref="E275:G275" si="1037">+E237-E274</f>
        <v>0</v>
      </c>
      <c r="F275" s="56">
        <f t="shared" si="1037"/>
        <v>0</v>
      </c>
      <c r="G275" s="56">
        <f t="shared" si="1037"/>
        <v>0</v>
      </c>
      <c r="H275" s="56">
        <f t="shared" ref="H275:BS275" si="1038">+H263-H274</f>
        <v>-138188</v>
      </c>
      <c r="I275" s="56">
        <f t="shared" si="1038"/>
        <v>0</v>
      </c>
      <c r="J275" s="56">
        <f t="shared" si="1038"/>
        <v>5.0258713890759081E-4</v>
      </c>
      <c r="K275" s="56">
        <f t="shared" si="1038"/>
        <v>0</v>
      </c>
      <c r="L275" s="56">
        <f t="shared" si="1038"/>
        <v>0</v>
      </c>
      <c r="M275" s="56">
        <f t="shared" si="1038"/>
        <v>0</v>
      </c>
      <c r="N275" s="56">
        <f t="shared" si="1038"/>
        <v>-1561</v>
      </c>
      <c r="O275" s="56">
        <f t="shared" si="1038"/>
        <v>-335.00441562452033</v>
      </c>
      <c r="P275" s="56">
        <f t="shared" si="1038"/>
        <v>0</v>
      </c>
      <c r="Q275" s="56">
        <f t="shared" si="1038"/>
        <v>-1561</v>
      </c>
      <c r="R275" s="56">
        <f t="shared" si="1038"/>
        <v>0</v>
      </c>
      <c r="S275" s="56">
        <f t="shared" si="1038"/>
        <v>-2.5214331575202364E-3</v>
      </c>
      <c r="T275" s="56">
        <f t="shared" si="1038"/>
        <v>0</v>
      </c>
      <c r="U275" s="56">
        <f t="shared" si="1038"/>
        <v>0</v>
      </c>
      <c r="V275" s="56">
        <f t="shared" si="1038"/>
        <v>-1</v>
      </c>
      <c r="W275" s="56">
        <f t="shared" si="1038"/>
        <v>397</v>
      </c>
      <c r="X275" s="56">
        <f t="shared" si="1038"/>
        <v>0</v>
      </c>
      <c r="Y275" s="56">
        <f t="shared" si="1038"/>
        <v>0</v>
      </c>
      <c r="Z275" s="56">
        <f t="shared" si="1038"/>
        <v>0</v>
      </c>
      <c r="AA275" s="56">
        <f t="shared" si="1038"/>
        <v>-819</v>
      </c>
      <c r="AB275" s="56">
        <f t="shared" si="1038"/>
        <v>0</v>
      </c>
      <c r="AC275" s="56">
        <f t="shared" si="1038"/>
        <v>1.4602265089277283E-4</v>
      </c>
      <c r="AD275" s="56">
        <f t="shared" si="1038"/>
        <v>0</v>
      </c>
      <c r="AE275" s="56">
        <f t="shared" si="1038"/>
        <v>0.97484946734607547</v>
      </c>
      <c r="AF275" s="56">
        <f t="shared" si="1038"/>
        <v>0</v>
      </c>
      <c r="AG275" s="56">
        <f t="shared" si="1038"/>
        <v>47</v>
      </c>
      <c r="AH275" s="56">
        <f t="shared" si="1038"/>
        <v>101461</v>
      </c>
      <c r="AI275" s="56">
        <f t="shared" si="1038"/>
        <v>3.0736650122339112E-2</v>
      </c>
      <c r="AJ275" s="56">
        <f t="shared" si="1038"/>
        <v>0</v>
      </c>
      <c r="AK275" s="56">
        <f t="shared" si="1038"/>
        <v>0</v>
      </c>
      <c r="AL275" s="56">
        <f t="shared" si="1038"/>
        <v>29693</v>
      </c>
      <c r="AM275" s="56">
        <f t="shared" si="1038"/>
        <v>0</v>
      </c>
      <c r="AN275" s="56">
        <f t="shared" si="1038"/>
        <v>0</v>
      </c>
      <c r="AO275" s="56">
        <f t="shared" si="1038"/>
        <v>0</v>
      </c>
      <c r="AP275" s="56">
        <f t="shared" si="1038"/>
        <v>-65964</v>
      </c>
      <c r="AQ275" s="56">
        <f t="shared" si="1038"/>
        <v>0</v>
      </c>
      <c r="AR275" s="56">
        <f t="shared" si="1038"/>
        <v>3.8358039461356876E-3</v>
      </c>
      <c r="AS275" s="56">
        <f t="shared" si="1038"/>
        <v>0</v>
      </c>
      <c r="AT275" s="56">
        <f t="shared" si="1038"/>
        <v>0</v>
      </c>
      <c r="AU275" s="56">
        <f t="shared" si="1038"/>
        <v>0</v>
      </c>
      <c r="AV275" s="56">
        <f t="shared" si="1038"/>
        <v>1.252035979924071E-3</v>
      </c>
      <c r="AW275" s="56">
        <f t="shared" si="1038"/>
        <v>0</v>
      </c>
      <c r="AX275" s="56">
        <f t="shared" si="1038"/>
        <v>-134.53168133395229</v>
      </c>
      <c r="AY275" s="56">
        <f t="shared" si="1038"/>
        <v>0</v>
      </c>
      <c r="AZ275" s="56">
        <f t="shared" si="1038"/>
        <v>0</v>
      </c>
      <c r="BA275" s="56">
        <f t="shared" si="1038"/>
        <v>506075</v>
      </c>
      <c r="BB275" s="56">
        <f t="shared" si="1038"/>
        <v>0</v>
      </c>
      <c r="BC275" s="56">
        <f t="shared" si="1038"/>
        <v>-1238144</v>
      </c>
      <c r="BD275" s="56">
        <f t="shared" si="1038"/>
        <v>0</v>
      </c>
      <c r="BE275" s="56">
        <f t="shared" si="1038"/>
        <v>5185</v>
      </c>
      <c r="BF275" s="56">
        <f t="shared" si="1038"/>
        <v>0</v>
      </c>
      <c r="BG275" s="56">
        <f t="shared" si="1038"/>
        <v>-2.9410021950764767E-2</v>
      </c>
      <c r="BH275" s="56">
        <f t="shared" si="1038"/>
        <v>0</v>
      </c>
      <c r="BI275" s="56">
        <f t="shared" si="1038"/>
        <v>0</v>
      </c>
      <c r="BJ275" s="56">
        <f t="shared" si="1038"/>
        <v>0</v>
      </c>
      <c r="BK275" s="56">
        <f t="shared" si="1038"/>
        <v>394733</v>
      </c>
      <c r="BL275" s="56">
        <f t="shared" si="1038"/>
        <v>0</v>
      </c>
      <c r="BM275" s="56">
        <f t="shared" si="1038"/>
        <v>-3.2058400316723329E-3</v>
      </c>
      <c r="BN275" s="56">
        <f t="shared" si="1038"/>
        <v>-1906.057619268191</v>
      </c>
      <c r="BO275" s="56">
        <f t="shared" si="1038"/>
        <v>0</v>
      </c>
      <c r="BP275" s="56">
        <f t="shared" si="1038"/>
        <v>-138188</v>
      </c>
      <c r="BQ275" s="56">
        <f t="shared" si="1038"/>
        <v>0</v>
      </c>
      <c r="BR275" s="56">
        <f t="shared" si="1038"/>
        <v>-2.7851014915267203E-4</v>
      </c>
      <c r="BS275" s="56">
        <f t="shared" si="1038"/>
        <v>0</v>
      </c>
      <c r="BT275" s="56">
        <f t="shared" ref="BT275" si="1039">+BT263-BT274</f>
        <v>0</v>
      </c>
      <c r="BU275" s="56">
        <f t="shared" ref="BT275:BU275" si="1040">+BU260-BU274</f>
        <v>0</v>
      </c>
      <c r="BV275" s="10"/>
      <c r="BW275" s="62"/>
      <c r="BX275" s="10"/>
      <c r="BY275" s="10"/>
      <c r="BZ275" s="10"/>
      <c r="CA275" s="62"/>
      <c r="CB275" s="61"/>
      <c r="CC275" s="61"/>
      <c r="CD275" s="61"/>
      <c r="CE275" s="61"/>
      <c r="CF275" s="61"/>
      <c r="CG275" s="117"/>
    </row>
    <row r="276" spans="2:85" x14ac:dyDescent="0.3">
      <c r="B276" s="56"/>
      <c r="D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  <c r="AG276" s="56"/>
      <c r="AH276" s="56"/>
      <c r="AI276" s="56"/>
      <c r="AJ276" s="56"/>
      <c r="AK276" s="56"/>
      <c r="AL276" s="56"/>
      <c r="AM276" s="56"/>
      <c r="AN276" s="56"/>
      <c r="AO276" s="56"/>
      <c r="AP276" s="56"/>
      <c r="AQ276" s="56"/>
      <c r="AR276" s="56"/>
      <c r="AS276" s="56"/>
      <c r="AT276" s="56"/>
      <c r="AU276" s="56"/>
      <c r="AV276" s="56"/>
      <c r="AW276" s="56"/>
      <c r="AX276" s="56"/>
      <c r="AY276" s="56"/>
      <c r="AZ276" s="56"/>
      <c r="BA276" s="56"/>
      <c r="BB276" s="56"/>
      <c r="BC276" s="56"/>
      <c r="BD276" s="56"/>
      <c r="BE276" s="56"/>
      <c r="BF276" s="56"/>
      <c r="BG276" s="56"/>
      <c r="BH276" s="56"/>
      <c r="BI276" s="56"/>
      <c r="BJ276" s="56"/>
      <c r="BK276" s="56"/>
      <c r="BL276" s="56"/>
      <c r="BM276" s="56"/>
      <c r="BN276" s="56"/>
      <c r="BO276" s="56"/>
      <c r="BP276" s="56"/>
      <c r="BQ276" s="56"/>
      <c r="BR276" s="56"/>
      <c r="BS276" s="10"/>
      <c r="BT276" s="10"/>
      <c r="BU276" s="10"/>
      <c r="BV276" s="10"/>
      <c r="BW276" s="10"/>
      <c r="BX276" s="10"/>
      <c r="BY276" s="10"/>
      <c r="BZ276" s="10"/>
      <c r="CA276" s="10"/>
      <c r="CB276" s="61"/>
      <c r="CC276" s="117"/>
      <c r="CD276" s="117"/>
      <c r="CE276" s="117"/>
      <c r="CF276" s="117"/>
    </row>
    <row r="277" spans="2:85" x14ac:dyDescent="0.3">
      <c r="B277" s="56"/>
      <c r="D277" s="56"/>
      <c r="H277" s="1"/>
      <c r="O277" s="1"/>
      <c r="W277" s="56">
        <f>SUM(W213:W243)</f>
        <v>25465</v>
      </c>
      <c r="AA277" s="59">
        <f>+AA278/W278</f>
        <v>0.16106608684193188</v>
      </c>
      <c r="BA277" s="59"/>
      <c r="BC277" s="56"/>
      <c r="BE277" s="59"/>
      <c r="BJ277" s="61"/>
      <c r="BK277" s="10">
        <f>+BK187</f>
        <v>4928581</v>
      </c>
      <c r="BL277" s="61"/>
      <c r="BM277" s="61"/>
      <c r="BN277" s="61"/>
      <c r="BO277" s="61"/>
      <c r="BP277" s="61"/>
      <c r="BQ277" s="61"/>
      <c r="BR277" s="61"/>
      <c r="BS277" s="10"/>
      <c r="BT277" s="10"/>
    </row>
    <row r="278" spans="2:85" x14ac:dyDescent="0.3">
      <c r="B278" s="56"/>
      <c r="D278" s="56"/>
      <c r="H278" s="56"/>
      <c r="W278" s="56">
        <f>SUM(W144:W174)</f>
        <v>30354</v>
      </c>
      <c r="AA278" s="1">
        <f>+W278-W277</f>
        <v>4889</v>
      </c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56"/>
      <c r="BC278" s="1"/>
      <c r="BE278" s="59"/>
      <c r="BH278" s="108"/>
      <c r="BI278" s="108"/>
      <c r="BJ278" s="108"/>
      <c r="BK278" s="536"/>
      <c r="BL278" s="108"/>
      <c r="BM278" s="108"/>
      <c r="BN278" s="108"/>
      <c r="BO278" s="108"/>
      <c r="BP278" s="108"/>
      <c r="BQ278" s="108"/>
      <c r="BR278" s="90"/>
      <c r="BS278" s="1"/>
      <c r="BT278" s="1"/>
    </row>
    <row r="279" spans="2:85" x14ac:dyDescent="0.3">
      <c r="D279" s="1"/>
      <c r="E279" s="123" t="s">
        <v>28</v>
      </c>
      <c r="F279" s="124"/>
      <c r="H279" s="124" t="s">
        <v>67</v>
      </c>
      <c r="I279" s="116"/>
      <c r="J279" s="116"/>
      <c r="K279" s="61"/>
      <c r="L279" s="10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BC279" s="56"/>
      <c r="BE279" s="59"/>
      <c r="BH279" s="108"/>
      <c r="BI279" s="108"/>
      <c r="BJ279" s="108"/>
      <c r="BK279" s="536">
        <f>+BK194-BK274</f>
        <v>-5835675</v>
      </c>
      <c r="BL279" s="108"/>
      <c r="BM279" s="108"/>
      <c r="BN279" s="108"/>
      <c r="BO279" s="108"/>
      <c r="BP279" s="108"/>
      <c r="BQ279" s="108"/>
      <c r="BR279" s="90"/>
      <c r="BS279" s="1"/>
      <c r="BT279" s="1"/>
    </row>
    <row r="280" spans="2:85" x14ac:dyDescent="0.3">
      <c r="B280" s="56"/>
      <c r="D280" s="1"/>
      <c r="E280" s="123" t="s">
        <v>40</v>
      </c>
      <c r="F280" s="124"/>
      <c r="H280" s="124" t="s">
        <v>42</v>
      </c>
      <c r="I280" s="10"/>
      <c r="J280" s="10"/>
      <c r="K280" s="61"/>
      <c r="L280" s="10"/>
      <c r="AD280" s="1"/>
      <c r="AE280" s="1"/>
      <c r="AF280" s="1"/>
      <c r="AG280" s="1"/>
      <c r="AH280" s="1"/>
      <c r="AI280" s="1">
        <f>SUM(W213:W243)</f>
        <v>25465</v>
      </c>
      <c r="AJ280" s="1"/>
      <c r="AK280" s="1"/>
      <c r="AL280" s="1" t="s">
        <v>17</v>
      </c>
      <c r="AM280" s="1"/>
      <c r="AN280" s="1"/>
      <c r="AO280" s="1"/>
      <c r="BC280" s="56"/>
      <c r="BE280" s="59"/>
      <c r="BH280" s="109"/>
      <c r="BI280" s="109"/>
      <c r="BJ280" s="109"/>
      <c r="BK280" s="536">
        <f>+BK187-BK274</f>
        <v>-6670203</v>
      </c>
      <c r="BL280" s="109"/>
      <c r="BM280" s="109"/>
      <c r="BN280" s="109"/>
      <c r="BO280" s="109"/>
      <c r="BP280" s="109"/>
      <c r="BQ280" s="109"/>
      <c r="BR280" s="90"/>
      <c r="BS280" s="1"/>
      <c r="BT280" s="1"/>
    </row>
    <row r="281" spans="2:85" x14ac:dyDescent="0.3">
      <c r="B281" s="273"/>
      <c r="D281" s="1"/>
      <c r="E281" s="123" t="s">
        <v>47</v>
      </c>
      <c r="F281" s="124"/>
      <c r="H281" s="124" t="s">
        <v>57</v>
      </c>
      <c r="I281" s="10"/>
      <c r="J281" s="10"/>
      <c r="K281" s="61"/>
      <c r="L281" s="10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BC281" s="56"/>
      <c r="BE281" s="59"/>
      <c r="BH281" s="109"/>
      <c r="BI281" s="109"/>
      <c r="BJ281" s="109"/>
      <c r="BK281" s="536"/>
      <c r="BL281" s="109"/>
      <c r="BM281" s="109"/>
      <c r="BN281" s="109"/>
      <c r="BO281" s="109"/>
      <c r="BP281" s="109"/>
      <c r="BQ281" s="109"/>
      <c r="BR281" s="90"/>
      <c r="BS281" s="1"/>
      <c r="BT281" s="1"/>
    </row>
    <row r="282" spans="2:85" x14ac:dyDescent="0.3">
      <c r="D282" s="1"/>
      <c r="E282" s="123" t="s">
        <v>68</v>
      </c>
      <c r="F282" s="61"/>
      <c r="H282" s="93" t="s">
        <v>148</v>
      </c>
      <c r="I282" s="61"/>
      <c r="J282" s="61"/>
      <c r="K282" s="61"/>
      <c r="L282" s="6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BH282" s="109"/>
      <c r="BI282" s="109"/>
      <c r="BJ282" s="109"/>
      <c r="BK282" s="539"/>
      <c r="BL282" s="109"/>
      <c r="BM282" s="109"/>
      <c r="BN282" s="109"/>
      <c r="BO282" s="109"/>
      <c r="BP282" s="109"/>
      <c r="BQ282" s="109"/>
      <c r="BR282" s="90"/>
      <c r="BS282" s="1"/>
      <c r="BT282" s="1"/>
    </row>
    <row r="283" spans="2:85" x14ac:dyDescent="0.3">
      <c r="E283" s="123" t="s">
        <v>149</v>
      </c>
      <c r="H283" s="93" t="s">
        <v>150</v>
      </c>
      <c r="AD283" s="1"/>
      <c r="AE283" s="1"/>
      <c r="AF283" s="1"/>
      <c r="AG283" s="1"/>
      <c r="AH283" s="1"/>
      <c r="AI283" s="1"/>
      <c r="BD283" s="90"/>
      <c r="BE283" s="90"/>
      <c r="BF283" s="90"/>
      <c r="BG283" s="90"/>
      <c r="BH283" s="90"/>
      <c r="BI283" s="90"/>
      <c r="BJ283" s="90"/>
      <c r="BK283" s="537"/>
      <c r="BL283" s="90"/>
      <c r="BM283" s="90"/>
      <c r="BN283" s="90"/>
      <c r="BO283" s="90"/>
      <c r="BP283" s="90"/>
      <c r="BQ283" s="90"/>
      <c r="BR283" s="90"/>
      <c r="BS283" s="1"/>
      <c r="BT283" s="1"/>
    </row>
    <row r="284" spans="2:85" x14ac:dyDescent="0.3">
      <c r="B284" s="56"/>
      <c r="AD284" s="1"/>
      <c r="AE284" s="1"/>
      <c r="AF284" s="1"/>
      <c r="AG284" s="1"/>
      <c r="AH284" s="1"/>
      <c r="AI284" s="1"/>
      <c r="BA284" s="588">
        <v>157602857</v>
      </c>
      <c r="BK284" s="538"/>
    </row>
    <row r="285" spans="2:85" ht="15" thickBot="1" x14ac:dyDescent="0.35">
      <c r="D285" s="56"/>
      <c r="AD285" s="1"/>
      <c r="AE285" s="550"/>
      <c r="AF285" s="590"/>
      <c r="AG285" s="550"/>
      <c r="AH285" s="550"/>
      <c r="AI285" s="550"/>
      <c r="AJ285" s="543"/>
      <c r="AK285" s="543"/>
      <c r="AL285" s="543"/>
      <c r="AM285" s="543"/>
      <c r="AN285" s="543"/>
      <c r="AO285" s="543"/>
      <c r="AP285" s="543"/>
      <c r="AQ285" s="543"/>
      <c r="AR285" s="543"/>
      <c r="AS285" s="543"/>
      <c r="AT285" s="543"/>
      <c r="AU285" s="543"/>
      <c r="AV285" s="543"/>
      <c r="AW285" s="543"/>
      <c r="AX285" s="543"/>
      <c r="AZ285" s="118"/>
      <c r="BA285" s="118"/>
      <c r="BB285" s="118"/>
      <c r="BC285" s="118"/>
      <c r="BK285" s="1"/>
    </row>
    <row r="286" spans="2:85" x14ac:dyDescent="0.3">
      <c r="D286" s="574"/>
      <c r="J286" s="529"/>
      <c r="V286" s="118"/>
      <c r="AA286" s="56"/>
      <c r="AD286" s="1"/>
      <c r="AE286" s="550"/>
      <c r="AF286" s="589"/>
      <c r="AG286" s="1"/>
      <c r="AH286" s="1"/>
      <c r="AI286" s="528"/>
      <c r="AJ286" s="507"/>
      <c r="AK286" s="508"/>
      <c r="AL286" s="508"/>
      <c r="AM286" s="508"/>
      <c r="AN286" s="508"/>
      <c r="AO286" s="508"/>
      <c r="AP286" s="508"/>
      <c r="AQ286" s="508"/>
      <c r="AR286" s="508"/>
      <c r="AS286" s="508"/>
      <c r="AT286" s="508"/>
      <c r="AU286" s="508"/>
      <c r="AV286" s="508"/>
      <c r="AW286" s="509"/>
      <c r="AX286" s="543"/>
      <c r="AZ286" s="118"/>
      <c r="BA286" s="89"/>
      <c r="BB286" s="118"/>
      <c r="BC286" s="118"/>
      <c r="BK286" s="56"/>
    </row>
    <row r="287" spans="2:85" x14ac:dyDescent="0.3">
      <c r="D287" s="1"/>
      <c r="J287" s="232"/>
      <c r="AD287" s="1"/>
      <c r="AE287" s="550"/>
      <c r="AF287" s="589"/>
      <c r="AG287" s="1"/>
      <c r="AH287" s="1"/>
      <c r="AI287" s="528"/>
      <c r="AJ287" s="510"/>
      <c r="AK287" s="594" t="s">
        <v>155</v>
      </c>
      <c r="AL287" s="594"/>
      <c r="AM287" s="594"/>
      <c r="AN287" s="594"/>
      <c r="AO287" s="594"/>
      <c r="AP287" s="594"/>
      <c r="AQ287" s="594"/>
      <c r="AR287" s="594"/>
      <c r="AS287" s="594"/>
      <c r="AT287" s="594"/>
      <c r="AU287" s="594"/>
      <c r="AV287" s="594"/>
      <c r="AW287" s="511"/>
      <c r="AX287" s="543"/>
      <c r="AZ287" s="118"/>
      <c r="BA287" s="118"/>
      <c r="BB287" s="118"/>
      <c r="BC287" s="118"/>
    </row>
    <row r="288" spans="2:85" ht="15.6" x14ac:dyDescent="0.3">
      <c r="J288" s="57"/>
      <c r="AD288" s="1"/>
      <c r="AE288" s="550"/>
      <c r="AF288" s="589"/>
      <c r="AG288" s="1"/>
      <c r="AH288" s="1"/>
      <c r="AI288" s="528"/>
      <c r="AJ288" s="510"/>
      <c r="AK288" s="594" t="s">
        <v>154</v>
      </c>
      <c r="AL288" s="594"/>
      <c r="AM288" s="594"/>
      <c r="AN288" s="594"/>
      <c r="AO288" s="516"/>
      <c r="AP288" s="517" t="s">
        <v>20</v>
      </c>
      <c r="AQ288" s="516"/>
      <c r="AR288" s="517" t="s">
        <v>4</v>
      </c>
      <c r="AS288" s="518"/>
      <c r="AT288" s="518"/>
      <c r="AU288" s="518"/>
      <c r="AV288" s="522" t="s">
        <v>10</v>
      </c>
      <c r="AW288" s="511"/>
      <c r="AX288" s="543"/>
      <c r="AZ288" s="118"/>
      <c r="BA288" s="118"/>
      <c r="BB288" s="118"/>
      <c r="BC288" s="118"/>
    </row>
    <row r="289" spans="2:87" ht="15.6" x14ac:dyDescent="0.3">
      <c r="AD289" s="1"/>
      <c r="AE289" s="550"/>
      <c r="AF289" s="589"/>
      <c r="AG289" s="1"/>
      <c r="AH289" s="1"/>
      <c r="AI289" s="528"/>
      <c r="AJ289" s="510"/>
      <c r="AK289" s="595" t="s">
        <v>151</v>
      </c>
      <c r="AL289" s="595"/>
      <c r="AM289" s="595"/>
      <c r="AN289" s="595"/>
      <c r="AO289" s="516"/>
      <c r="AP289" s="519">
        <f>+AH50</f>
        <v>898992</v>
      </c>
      <c r="AQ289" s="520"/>
      <c r="AR289" s="519">
        <f>+AH51</f>
        <v>55687</v>
      </c>
      <c r="AS289" s="521"/>
      <c r="AT289" s="521"/>
      <c r="AU289" s="521"/>
      <c r="AV289" s="534">
        <f t="shared" ref="AV289:AV295" si="1041">+AR289/AP289</f>
        <v>6.194382152455194E-2</v>
      </c>
      <c r="AW289" s="511"/>
      <c r="AX289" s="543"/>
      <c r="AZ289" s="118"/>
      <c r="BA289" s="89"/>
      <c r="BB289" s="118"/>
      <c r="BC289" s="118"/>
    </row>
    <row r="290" spans="2:87" ht="15.6" x14ac:dyDescent="0.3">
      <c r="D290" s="277"/>
      <c r="AD290" s="1"/>
      <c r="AE290" s="550"/>
      <c r="AF290" s="589"/>
      <c r="AG290" s="1"/>
      <c r="AH290" s="1"/>
      <c r="AI290" s="528"/>
      <c r="AJ290" s="510"/>
      <c r="AK290" s="616" t="s">
        <v>152</v>
      </c>
      <c r="AL290" s="617"/>
      <c r="AM290" s="617"/>
      <c r="AN290" s="617"/>
      <c r="AO290" s="65"/>
      <c r="AP290" s="512">
        <f>+AG83</f>
        <v>742147</v>
      </c>
      <c r="AQ290" s="65"/>
      <c r="AR290" s="512">
        <f>+AG84</f>
        <v>42339</v>
      </c>
      <c r="AS290" s="65"/>
      <c r="AT290" s="65"/>
      <c r="AU290" s="65"/>
      <c r="AV290" s="532">
        <f t="shared" si="1041"/>
        <v>5.7049344671608188E-2</v>
      </c>
      <c r="AW290" s="511"/>
      <c r="AX290" s="543"/>
      <c r="AZ290" s="118"/>
      <c r="BA290" s="89"/>
      <c r="BB290" s="118"/>
      <c r="BC290" s="118"/>
    </row>
    <row r="291" spans="2:87" ht="15.6" x14ac:dyDescent="0.3">
      <c r="AD291" s="1"/>
      <c r="AE291" s="550"/>
      <c r="AF291" s="589"/>
      <c r="AG291" s="1"/>
      <c r="AH291" s="1"/>
      <c r="AI291" s="528"/>
      <c r="AJ291" s="510"/>
      <c r="AK291" s="617" t="s">
        <v>153</v>
      </c>
      <c r="AL291" s="617"/>
      <c r="AM291" s="617"/>
      <c r="AN291" s="617"/>
      <c r="AO291" s="65"/>
      <c r="AP291" s="512">
        <f>+AH113</f>
        <v>869627</v>
      </c>
      <c r="AQ291" s="65"/>
      <c r="AR291" s="512">
        <f>+AH114</f>
        <v>21252</v>
      </c>
      <c r="AS291" s="65"/>
      <c r="AT291" s="65"/>
      <c r="AU291" s="65"/>
      <c r="AV291" s="532">
        <f t="shared" si="1041"/>
        <v>2.4438063675575852E-2</v>
      </c>
      <c r="AW291" s="511"/>
      <c r="AX291" s="543"/>
      <c r="AZ291" s="118"/>
      <c r="BA291" s="118"/>
      <c r="BB291" s="118"/>
      <c r="BC291" s="118"/>
    </row>
    <row r="292" spans="2:87" ht="15.6" x14ac:dyDescent="0.3">
      <c r="D292" s="471"/>
      <c r="AD292" s="1"/>
      <c r="AE292" s="550"/>
      <c r="AF292" s="589"/>
      <c r="AG292" s="1"/>
      <c r="AH292" s="1"/>
      <c r="AI292" s="528"/>
      <c r="AJ292" s="510"/>
      <c r="AK292" s="617" t="s">
        <v>156</v>
      </c>
      <c r="AL292" s="617"/>
      <c r="AM292" s="617"/>
      <c r="AN292" s="617"/>
      <c r="AO292" s="65"/>
      <c r="AP292" s="512">
        <f>+AG298</f>
        <v>1970617</v>
      </c>
      <c r="AQ292" s="65"/>
      <c r="AR292" s="512">
        <f>+AG300</f>
        <v>25901</v>
      </c>
      <c r="AS292" s="65"/>
      <c r="AT292" s="65"/>
      <c r="AU292" s="65"/>
      <c r="AV292" s="532">
        <f t="shared" si="1041"/>
        <v>1.3143599187462607E-2</v>
      </c>
      <c r="AW292" s="511"/>
      <c r="AX292" s="543"/>
    </row>
    <row r="293" spans="2:87" ht="15.6" x14ac:dyDescent="0.3">
      <c r="D293" s="471"/>
      <c r="AD293" s="1"/>
      <c r="AE293" s="550"/>
      <c r="AF293" s="589"/>
      <c r="AG293" s="1"/>
      <c r="AH293" s="1"/>
      <c r="AI293" s="528"/>
      <c r="AJ293" s="510"/>
      <c r="AK293" s="586"/>
      <c r="AL293" s="586" t="s">
        <v>164</v>
      </c>
      <c r="AM293" s="586"/>
      <c r="AN293" s="586"/>
      <c r="AO293" s="65"/>
      <c r="AP293" s="512">
        <f>SUM(D144:D174)</f>
        <v>1493931</v>
      </c>
      <c r="AQ293" s="65"/>
      <c r="AR293" s="512">
        <f>SUM(W144:W174)</f>
        <v>30354</v>
      </c>
      <c r="AS293" s="65"/>
      <c r="AT293" s="65"/>
      <c r="AU293" s="65"/>
      <c r="AV293" s="532">
        <f t="shared" si="1041"/>
        <v>2.0318207467413155E-2</v>
      </c>
      <c r="AW293" s="511"/>
      <c r="AX293" s="543"/>
    </row>
    <row r="294" spans="2:87" ht="15.6" x14ac:dyDescent="0.3">
      <c r="D294" s="471"/>
      <c r="AD294" s="1"/>
      <c r="AE294" s="550"/>
      <c r="AF294" s="589"/>
      <c r="AG294" s="1"/>
      <c r="AH294" s="1"/>
      <c r="AI294" s="528"/>
      <c r="AJ294" s="510"/>
      <c r="AK294" s="586"/>
      <c r="AL294" s="586" t="s">
        <v>165</v>
      </c>
      <c r="AM294" s="586"/>
      <c r="AN294" s="586"/>
      <c r="AO294" s="65"/>
      <c r="AP294" s="512">
        <f>SUM(D175:D204)</f>
        <v>1202331</v>
      </c>
      <c r="AQ294" s="65"/>
      <c r="AR294" s="587">
        <f>SUM(W175:W204)</f>
        <v>24042</v>
      </c>
      <c r="AS294" s="65"/>
      <c r="AT294" s="65"/>
      <c r="AU294" s="65"/>
      <c r="AV294" s="532">
        <f t="shared" si="1041"/>
        <v>1.9996157464125936E-2</v>
      </c>
      <c r="AW294" s="511"/>
      <c r="AX294" s="543"/>
    </row>
    <row r="295" spans="2:87" ht="15.6" x14ac:dyDescent="0.3">
      <c r="D295" s="471"/>
      <c r="AD295" s="1"/>
      <c r="AE295" s="550"/>
      <c r="AF295" s="589"/>
      <c r="AG295" s="1"/>
      <c r="AH295" s="1"/>
      <c r="AI295" s="528"/>
      <c r="AJ295" s="510"/>
      <c r="AK295" s="586"/>
      <c r="AL295" s="586" t="s">
        <v>166</v>
      </c>
      <c r="AM295" s="586"/>
      <c r="AN295" s="586"/>
      <c r="AO295" s="65"/>
      <c r="AP295" s="512">
        <f>SUM(D205:D230)</f>
        <v>1470960</v>
      </c>
      <c r="AQ295" s="65"/>
      <c r="AR295" s="512">
        <f>SUM(W205:W235)</f>
        <v>24156</v>
      </c>
      <c r="AS295" s="65"/>
      <c r="AT295" s="65"/>
      <c r="AU295" s="65"/>
      <c r="AV295" s="532">
        <f t="shared" si="1041"/>
        <v>1.6421928536465982E-2</v>
      </c>
      <c r="AW295" s="511"/>
      <c r="AX295" s="543"/>
      <c r="BA295" s="529">
        <f>+AV289-AV295</f>
        <v>4.5521892988085955E-2</v>
      </c>
    </row>
    <row r="296" spans="2:87" ht="15" thickBot="1" x14ac:dyDescent="0.35">
      <c r="B296" s="470"/>
      <c r="D296" s="277"/>
      <c r="AD296" s="1"/>
      <c r="AE296" s="550"/>
      <c r="AF296" s="589"/>
      <c r="AG296" s="1"/>
      <c r="AH296" s="1"/>
      <c r="AI296" s="528"/>
      <c r="AJ296" s="510"/>
      <c r="AK296" s="523"/>
      <c r="AL296" s="523"/>
      <c r="AM296" s="523"/>
      <c r="AN296" s="523"/>
      <c r="AO296" s="524"/>
      <c r="AP296" s="525"/>
      <c r="AQ296" s="524"/>
      <c r="AR296" s="525"/>
      <c r="AS296" s="524"/>
      <c r="AT296" s="524"/>
      <c r="AU296" s="524"/>
      <c r="AV296" s="526"/>
      <c r="AW296" s="511"/>
      <c r="AX296" s="543"/>
      <c r="BA296">
        <f>+BA295/AV289</f>
        <v>0.73488996751747038</v>
      </c>
    </row>
    <row r="297" spans="2:87" ht="15.6" x14ac:dyDescent="0.3">
      <c r="B297" s="470"/>
      <c r="D297" s="277"/>
      <c r="AD297" s="1"/>
      <c r="AE297" s="550"/>
      <c r="AF297" s="589"/>
      <c r="AG297" s="1"/>
      <c r="AH297" s="1"/>
      <c r="AI297" s="528"/>
      <c r="AJ297" s="510"/>
      <c r="AK297" s="595" t="s">
        <v>151</v>
      </c>
      <c r="AL297" s="595"/>
      <c r="AM297" s="595"/>
      <c r="AN297" s="595"/>
      <c r="AO297" s="65"/>
      <c r="AP297" s="512"/>
      <c r="AQ297" s="65"/>
      <c r="AR297" s="512">
        <f>+AR289</f>
        <v>55687</v>
      </c>
      <c r="AS297" s="65"/>
      <c r="AT297" s="65"/>
      <c r="AU297" s="65"/>
      <c r="AV297" s="156"/>
      <c r="AW297" s="511"/>
      <c r="AX297" s="543"/>
    </row>
    <row r="298" spans="2:87" ht="15.6" x14ac:dyDescent="0.3">
      <c r="B298" s="470"/>
      <c r="D298" s="277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10"/>
      <c r="AE298" s="550"/>
      <c r="AF298" s="589"/>
      <c r="AG298" s="33">
        <f>SUM(D113:D143)</f>
        <v>1970617</v>
      </c>
      <c r="AH298" s="1"/>
      <c r="AI298" s="528"/>
      <c r="AJ298" s="510"/>
      <c r="AK298" s="593" t="s">
        <v>166</v>
      </c>
      <c r="AL298" s="593"/>
      <c r="AM298" s="593"/>
      <c r="AN298" s="593"/>
      <c r="AO298" s="65"/>
      <c r="AP298" s="512"/>
      <c r="AQ298" s="65"/>
      <c r="AR298" s="512">
        <f>+AR295</f>
        <v>24156</v>
      </c>
      <c r="AS298" s="65"/>
      <c r="AT298" s="65"/>
      <c r="AU298" s="65"/>
      <c r="AV298" s="156"/>
      <c r="AW298" s="511"/>
      <c r="AX298" s="543"/>
    </row>
    <row r="299" spans="2:87" ht="15.6" x14ac:dyDescent="0.3">
      <c r="B299" s="470"/>
      <c r="D299" s="277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10"/>
      <c r="AE299" s="550"/>
      <c r="AF299" s="589"/>
      <c r="AG299" s="33">
        <f>SUM(W125:W138)</f>
        <v>12117</v>
      </c>
      <c r="AH299" s="1"/>
      <c r="AI299" s="528"/>
      <c r="AJ299" s="510"/>
      <c r="AK299" s="64"/>
      <c r="AL299" s="540" t="s">
        <v>3</v>
      </c>
      <c r="AM299" s="64"/>
      <c r="AN299" s="64"/>
      <c r="AO299" s="65"/>
      <c r="AP299" s="512"/>
      <c r="AQ299" s="65"/>
      <c r="AR299" s="512">
        <f>+AR297-AR298</f>
        <v>31531</v>
      </c>
      <c r="AS299" s="65"/>
      <c r="AT299" s="65"/>
      <c r="AU299" s="65"/>
      <c r="AV299" s="527">
        <f>+AR299/AR297</f>
        <v>0.5662183274372834</v>
      </c>
      <c r="AW299" s="511"/>
      <c r="AX299" s="543"/>
    </row>
    <row r="300" spans="2:87" ht="15" thickBot="1" x14ac:dyDescent="0.35">
      <c r="D300" s="470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10"/>
      <c r="AE300" s="550"/>
      <c r="AF300" s="591"/>
      <c r="AG300" s="33">
        <f>SUM(W113:W143)</f>
        <v>25901</v>
      </c>
      <c r="AH300" s="1"/>
      <c r="AI300" s="528"/>
      <c r="AJ300" s="513"/>
      <c r="AK300" s="514"/>
      <c r="AL300" s="514"/>
      <c r="AM300" s="514"/>
      <c r="AN300" s="514"/>
      <c r="AO300" s="514"/>
      <c r="AP300" s="514"/>
      <c r="AQ300" s="514"/>
      <c r="AR300" s="514"/>
      <c r="AS300" s="514"/>
      <c r="AT300" s="514"/>
      <c r="AU300" s="514"/>
      <c r="AV300" s="514"/>
      <c r="AW300" s="515"/>
      <c r="AX300" s="543"/>
      <c r="BD300" s="90"/>
      <c r="BE300" s="90"/>
      <c r="BF300" s="90"/>
      <c r="BG300" s="90"/>
      <c r="BH300" s="90"/>
      <c r="BI300" s="90"/>
      <c r="BJ300" s="90"/>
      <c r="BK300" s="90"/>
      <c r="BL300" s="90"/>
      <c r="BM300" s="90"/>
      <c r="BN300" s="90"/>
      <c r="BO300" s="90"/>
      <c r="BP300" s="90"/>
      <c r="BQ300" s="90"/>
      <c r="BR300" s="90"/>
      <c r="BS300" s="1"/>
      <c r="BT300" s="1"/>
      <c r="BU300" s="1"/>
      <c r="BV300" s="1"/>
      <c r="BW300" s="90"/>
      <c r="BX300" s="90"/>
      <c r="BY300" s="90"/>
      <c r="BZ300" s="90"/>
      <c r="CA300" s="90"/>
      <c r="CB300" s="90"/>
      <c r="CC300" s="90"/>
      <c r="CD300" s="90"/>
      <c r="CE300" s="90"/>
      <c r="CF300" s="90"/>
      <c r="CG300" s="90"/>
      <c r="CH300" s="90"/>
      <c r="CI300" s="90"/>
    </row>
    <row r="301" spans="2:87" x14ac:dyDescent="0.3"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10"/>
      <c r="AE301" s="550"/>
      <c r="AF301" s="550"/>
      <c r="AG301" s="550"/>
      <c r="AH301" s="550"/>
      <c r="AI301" s="550"/>
      <c r="AJ301" s="543"/>
      <c r="AK301" s="543"/>
      <c r="AL301" s="543"/>
      <c r="AM301" s="543"/>
      <c r="AN301" s="543"/>
      <c r="AO301" s="543"/>
      <c r="AP301" s="543"/>
      <c r="AQ301" s="543"/>
      <c r="AR301" s="543"/>
      <c r="AS301" s="543"/>
      <c r="AT301" s="543"/>
      <c r="AU301" s="543"/>
      <c r="AV301" s="543"/>
      <c r="AW301" s="543"/>
      <c r="AX301" s="543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89"/>
      <c r="BX301" s="89"/>
      <c r="BY301" s="89"/>
      <c r="BZ301" s="89"/>
      <c r="CA301" s="121"/>
      <c r="CB301" s="1"/>
      <c r="CC301" s="1"/>
      <c r="CD301" s="1"/>
      <c r="CE301" s="1"/>
      <c r="CF301" s="1"/>
      <c r="CG301" s="1"/>
      <c r="CH301" s="1"/>
      <c r="CI301" s="1"/>
    </row>
    <row r="302" spans="2:87" x14ac:dyDescent="0.3">
      <c r="D302">
        <v>10</v>
      </c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10"/>
      <c r="AE302" s="10"/>
      <c r="AF302" s="10"/>
      <c r="AG302" s="10"/>
      <c r="AH302" s="10"/>
      <c r="AI302" s="10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89"/>
      <c r="BX302" s="89"/>
      <c r="BY302" s="89"/>
      <c r="BZ302" s="89"/>
      <c r="CA302" s="89"/>
      <c r="CB302" s="1"/>
      <c r="CC302" s="1"/>
      <c r="CD302" s="1"/>
      <c r="CE302" s="1"/>
      <c r="CF302" s="1"/>
      <c r="CG302" s="1"/>
      <c r="CH302" s="1"/>
      <c r="CI302" s="1"/>
    </row>
    <row r="303" spans="2:87" x14ac:dyDescent="0.3">
      <c r="D303" s="1">
        <v>77000000</v>
      </c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10"/>
      <c r="AE303" s="10"/>
      <c r="AF303" s="10"/>
      <c r="AG303" s="10"/>
      <c r="AH303" s="10"/>
      <c r="AI303" s="10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89"/>
      <c r="BX303" s="89"/>
      <c r="BY303" s="89"/>
      <c r="BZ303" s="89"/>
      <c r="CA303" s="89"/>
      <c r="CB303" s="1"/>
      <c r="CC303" s="1"/>
      <c r="CD303" s="1"/>
      <c r="CE303" s="1"/>
      <c r="CF303" s="1"/>
      <c r="CG303" s="1"/>
    </row>
    <row r="304" spans="2:87" x14ac:dyDescent="0.3">
      <c r="D304" s="57">
        <f>+D303/D306</f>
        <v>0.23262839879154079</v>
      </c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10"/>
      <c r="AE304" s="10"/>
      <c r="AF304" s="10"/>
      <c r="AG304" s="544"/>
      <c r="AH304" s="10"/>
      <c r="AI304" s="10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89"/>
      <c r="BX304" s="89"/>
      <c r="BY304" s="89"/>
      <c r="BZ304" s="89"/>
      <c r="CA304" s="89"/>
      <c r="CB304" s="1"/>
      <c r="CC304" s="1"/>
      <c r="CD304" s="1"/>
      <c r="CE304" s="1"/>
      <c r="CF304" s="1"/>
      <c r="CG304" s="1"/>
    </row>
    <row r="305" spans="2:79" x14ac:dyDescent="0.3"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10"/>
      <c r="AE305" s="10"/>
      <c r="AF305" s="550"/>
      <c r="AG305" s="569"/>
      <c r="AH305" s="550"/>
      <c r="AI305" s="550"/>
      <c r="AJ305" s="543"/>
      <c r="AK305" s="543"/>
      <c r="AL305" s="543"/>
      <c r="AM305" s="543"/>
      <c r="AN305" s="543"/>
      <c r="AO305" s="543"/>
      <c r="AP305" s="543"/>
      <c r="AQ305" s="543"/>
      <c r="AR305" s="543"/>
      <c r="AS305" s="543"/>
      <c r="AT305" s="543"/>
      <c r="AU305" s="543"/>
      <c r="AV305" s="543"/>
      <c r="AW305" s="543"/>
      <c r="AX305" s="543"/>
      <c r="AY305" s="543"/>
      <c r="AZ305" s="543"/>
      <c r="BA305" s="543"/>
      <c r="BB305" s="543"/>
      <c r="BC305" s="543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89"/>
      <c r="BX305" s="89"/>
      <c r="BY305" s="122"/>
      <c r="BZ305" s="89"/>
      <c r="CA305" s="89"/>
    </row>
    <row r="306" spans="2:79" x14ac:dyDescent="0.3">
      <c r="D306" s="1">
        <v>331000000</v>
      </c>
      <c r="H306">
        <v>0.13400000000000001</v>
      </c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10"/>
      <c r="AE306" s="10"/>
      <c r="AF306" s="550"/>
      <c r="AG306" s="570"/>
      <c r="AH306" s="550"/>
      <c r="AI306" s="550"/>
      <c r="AJ306" s="567"/>
      <c r="AK306" s="567"/>
      <c r="AL306" s="568"/>
      <c r="AM306" s="568"/>
      <c r="AN306" s="568"/>
      <c r="AO306" s="568"/>
      <c r="AP306" s="568"/>
      <c r="AQ306" s="568"/>
      <c r="AR306" s="568"/>
      <c r="AS306" s="568"/>
      <c r="AT306" s="568"/>
      <c r="AU306" s="568"/>
      <c r="AV306" s="568"/>
      <c r="AW306" s="568"/>
      <c r="AX306" s="568"/>
      <c r="AY306" s="568"/>
      <c r="AZ306" s="568"/>
      <c r="BA306" s="568"/>
      <c r="BB306" s="567"/>
      <c r="BC306" s="567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89"/>
      <c r="BX306" s="89"/>
      <c r="BY306" s="89"/>
      <c r="BZ306" s="89"/>
      <c r="CA306" s="89"/>
    </row>
    <row r="307" spans="2:79" x14ac:dyDescent="0.3">
      <c r="D307" s="1">
        <f>+D306*H306</f>
        <v>44354000</v>
      </c>
      <c r="H307" s="1">
        <f>+D307*0.001</f>
        <v>44354</v>
      </c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10"/>
      <c r="AE307" s="10"/>
      <c r="AF307" s="550"/>
      <c r="AG307" s="569"/>
      <c r="AH307" s="550"/>
      <c r="AI307" s="550"/>
      <c r="AJ307" s="567"/>
      <c r="AK307" s="567"/>
      <c r="AL307" s="150"/>
      <c r="AM307" s="150"/>
      <c r="AN307" s="150"/>
      <c r="AO307" s="150"/>
      <c r="AP307" s="150"/>
      <c r="AQ307" s="150"/>
      <c r="AR307" s="150"/>
      <c r="AS307" s="90"/>
      <c r="AT307" s="90"/>
      <c r="AU307" s="90"/>
      <c r="AV307" s="110"/>
      <c r="AW307" s="110"/>
      <c r="AX307" s="110"/>
      <c r="AY307" s="110"/>
      <c r="AZ307" s="567"/>
      <c r="BA307" s="567"/>
      <c r="BB307" s="573"/>
      <c r="BC307" s="567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89"/>
      <c r="BX307" s="89"/>
      <c r="BY307" s="89"/>
      <c r="BZ307" s="89"/>
      <c r="CA307" s="89"/>
    </row>
    <row r="308" spans="2:79" x14ac:dyDescent="0.3">
      <c r="D308" s="468">
        <v>7.1999999999999995E-2</v>
      </c>
      <c r="H308" s="1">
        <f>+AA204*H306</f>
        <v>28384.416000000001</v>
      </c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10"/>
      <c r="AE308" s="10"/>
      <c r="AF308" s="550"/>
      <c r="AG308" s="569">
        <v>44031</v>
      </c>
      <c r="AH308" s="550"/>
      <c r="AI308" s="550"/>
      <c r="AJ308" s="567"/>
      <c r="AK308" s="567"/>
      <c r="AL308" s="150"/>
      <c r="AM308" s="150"/>
      <c r="AN308" s="150"/>
      <c r="AO308" s="150"/>
      <c r="AP308" s="150"/>
      <c r="AQ308" s="150"/>
      <c r="AR308" s="150"/>
      <c r="AS308" s="150"/>
      <c r="AT308" s="110"/>
      <c r="AU308" s="90"/>
      <c r="AV308" s="110"/>
      <c r="AW308" s="110"/>
      <c r="AX308" s="110"/>
      <c r="AY308" s="110"/>
      <c r="AZ308" s="567"/>
      <c r="BA308" s="567"/>
      <c r="BB308" s="573"/>
      <c r="BC308" s="567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89"/>
      <c r="BX308" s="89"/>
      <c r="BY308" s="89"/>
      <c r="BZ308" s="89"/>
      <c r="CA308" s="89"/>
    </row>
    <row r="309" spans="2:79" x14ac:dyDescent="0.3"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10"/>
      <c r="AE309" s="10"/>
      <c r="AF309" s="550"/>
      <c r="AG309" s="569">
        <v>44038</v>
      </c>
      <c r="AH309" s="550"/>
      <c r="AI309" s="550"/>
      <c r="AJ309" s="567"/>
      <c r="AK309" s="567"/>
      <c r="AL309" s="90"/>
      <c r="AM309" s="90"/>
      <c r="AN309" s="151"/>
      <c r="AO309" s="151"/>
      <c r="AP309" s="151"/>
      <c r="AQ309" s="151"/>
      <c r="AR309" s="151"/>
      <c r="AS309" s="90"/>
      <c r="AT309" s="90"/>
      <c r="AU309" s="90"/>
      <c r="AV309" s="110"/>
      <c r="AW309" s="110"/>
      <c r="AX309" s="110"/>
      <c r="AY309" s="110"/>
      <c r="AZ309" s="567"/>
      <c r="BA309" s="567"/>
      <c r="BB309" s="573"/>
      <c r="BC309" s="567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89"/>
      <c r="BX309" s="89"/>
      <c r="BY309" s="89"/>
      <c r="BZ309" s="89"/>
      <c r="CA309" s="89"/>
    </row>
    <row r="310" spans="2:79" x14ac:dyDescent="0.3">
      <c r="D310" s="277">
        <v>4.2000000000000003E-2</v>
      </c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10"/>
      <c r="AE310" s="10"/>
      <c r="AF310" s="550"/>
      <c r="AG310" s="569">
        <v>44045</v>
      </c>
      <c r="AH310" s="550"/>
      <c r="AI310" s="550"/>
      <c r="AJ310" s="567"/>
      <c r="AK310" s="567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10"/>
      <c r="AW310" s="110"/>
      <c r="AX310" s="110"/>
      <c r="AY310" s="110"/>
      <c r="AZ310" s="567"/>
      <c r="BA310" s="567"/>
      <c r="BB310" s="573"/>
      <c r="BC310" s="567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</row>
    <row r="311" spans="2:79" x14ac:dyDescent="0.3">
      <c r="D311" s="574">
        <f>+D306*D308*D310</f>
        <v>1000944.0000000001</v>
      </c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10"/>
      <c r="AE311" s="10"/>
      <c r="AF311" s="550"/>
      <c r="AG311" s="569">
        <v>44052</v>
      </c>
      <c r="AH311" s="550"/>
      <c r="AI311" s="550"/>
      <c r="AJ311" s="567"/>
      <c r="AK311" s="567"/>
      <c r="AL311" s="90"/>
      <c r="AM311" s="90"/>
      <c r="AN311" s="151"/>
      <c r="AO311" s="151"/>
      <c r="AP311" s="151"/>
      <c r="AQ311" s="151"/>
      <c r="AR311" s="151"/>
      <c r="AS311" s="151"/>
      <c r="AT311" s="151"/>
      <c r="AU311" s="90"/>
      <c r="AV311" s="110"/>
      <c r="AW311" s="110"/>
      <c r="AX311" s="110"/>
      <c r="AY311" s="110"/>
      <c r="AZ311" s="567"/>
      <c r="BA311" s="567"/>
      <c r="BB311" s="573"/>
      <c r="BC311" s="567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</row>
    <row r="312" spans="2:79" x14ac:dyDescent="0.3"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10"/>
      <c r="AE312" s="10"/>
      <c r="AF312" s="550"/>
      <c r="AG312" s="569"/>
      <c r="AH312" s="550"/>
      <c r="AI312" s="550"/>
      <c r="AJ312" s="567"/>
      <c r="AK312" s="567"/>
      <c r="AL312" s="90"/>
      <c r="AM312" s="90"/>
      <c r="AN312" s="151"/>
      <c r="AO312" s="151"/>
      <c r="AP312" s="151"/>
      <c r="AQ312" s="151"/>
      <c r="AR312" s="151"/>
      <c r="AS312" s="151"/>
      <c r="AT312" s="151"/>
      <c r="AU312" s="90"/>
      <c r="AV312" s="110"/>
      <c r="AW312" s="110"/>
      <c r="AX312" s="110"/>
      <c r="AY312" s="110"/>
      <c r="AZ312" s="567"/>
      <c r="BA312" s="567"/>
      <c r="BB312" s="573"/>
      <c r="BC312" s="567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</row>
    <row r="313" spans="2:79" x14ac:dyDescent="0.3"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10"/>
      <c r="AE313" s="10"/>
      <c r="AF313" s="550"/>
      <c r="AG313" s="569"/>
      <c r="AH313" s="550"/>
      <c r="AI313" s="550"/>
      <c r="AJ313" s="567"/>
      <c r="AK313" s="567"/>
      <c r="AL313" s="90"/>
      <c r="AM313" s="90"/>
      <c r="AN313" s="151"/>
      <c r="AO313" s="151"/>
      <c r="AP313" s="151"/>
      <c r="AQ313" s="151"/>
      <c r="AR313" s="151"/>
      <c r="AS313" s="151"/>
      <c r="AT313" s="151"/>
      <c r="AU313" s="90"/>
      <c r="AV313" s="110"/>
      <c r="AW313" s="110"/>
      <c r="AX313" s="110"/>
      <c r="AY313" s="110"/>
      <c r="AZ313" s="567"/>
      <c r="BA313" s="567"/>
      <c r="BB313" s="573"/>
      <c r="BC313" s="567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</row>
    <row r="314" spans="2:79" x14ac:dyDescent="0.3"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10"/>
      <c r="AE314" s="10"/>
      <c r="AF314" s="550"/>
      <c r="AG314" s="571"/>
      <c r="AH314" s="550"/>
      <c r="AI314" s="550"/>
      <c r="AJ314" s="567"/>
      <c r="AK314" s="567"/>
      <c r="AL314" s="90"/>
      <c r="AM314" s="90"/>
      <c r="AN314" s="151"/>
      <c r="AO314" s="151"/>
      <c r="AP314" s="151"/>
      <c r="AQ314" s="151"/>
      <c r="AR314" s="151"/>
      <c r="AS314" s="151"/>
      <c r="AT314" s="151"/>
      <c r="AU314" s="90"/>
      <c r="AV314" s="110"/>
      <c r="AW314" s="110"/>
      <c r="AX314" s="110"/>
      <c r="AY314" s="110"/>
      <c r="AZ314" s="567"/>
      <c r="BA314" s="567"/>
      <c r="BB314" s="573"/>
      <c r="BC314" s="567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</row>
    <row r="315" spans="2:79" x14ac:dyDescent="0.3"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10"/>
      <c r="AE315" s="10"/>
      <c r="AF315" s="550"/>
      <c r="AG315" s="550"/>
      <c r="AH315" s="550"/>
      <c r="AI315" s="550"/>
      <c r="AJ315" s="567"/>
      <c r="AK315" s="567"/>
      <c r="AL315" s="90"/>
      <c r="AM315" s="90"/>
      <c r="AN315" s="151"/>
      <c r="AO315" s="151"/>
      <c r="AP315" s="151"/>
      <c r="AQ315" s="151"/>
      <c r="AR315" s="151"/>
      <c r="AS315" s="151"/>
      <c r="AT315" s="151"/>
      <c r="AU315" s="90"/>
      <c r="AV315" s="110"/>
      <c r="AW315" s="110"/>
      <c r="AX315" s="110"/>
      <c r="AY315" s="110"/>
      <c r="AZ315" s="567"/>
      <c r="BA315" s="567"/>
      <c r="BB315" s="573"/>
      <c r="BC315" s="567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</row>
    <row r="316" spans="2:79" x14ac:dyDescent="0.3"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10"/>
      <c r="AE316" s="10"/>
      <c r="AF316" s="550"/>
      <c r="AG316" s="550"/>
      <c r="AH316" s="550"/>
      <c r="AI316" s="550"/>
      <c r="AJ316" s="567"/>
      <c r="AK316" s="567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90"/>
      <c r="AW316" s="90"/>
      <c r="AX316" s="90"/>
      <c r="AY316" s="90"/>
      <c r="AZ316" s="567"/>
      <c r="BA316" s="573"/>
      <c r="BB316" s="573"/>
      <c r="BC316" s="567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</row>
    <row r="317" spans="2:79" x14ac:dyDescent="0.3">
      <c r="AD317" s="10"/>
      <c r="AE317" s="10"/>
      <c r="AF317" s="550"/>
      <c r="AG317" s="550"/>
      <c r="AH317" s="550"/>
      <c r="AI317" s="550"/>
      <c r="AJ317" s="567"/>
      <c r="AK317" s="567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90"/>
      <c r="AW317" s="90"/>
      <c r="AX317" s="90"/>
      <c r="AY317" s="90"/>
      <c r="AZ317" s="567"/>
      <c r="BA317" s="573"/>
      <c r="BB317" s="573"/>
      <c r="BC317" s="567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</row>
    <row r="318" spans="2:79" ht="15" thickBot="1" x14ac:dyDescent="0.35">
      <c r="B318" s="543"/>
      <c r="C318" s="543"/>
      <c r="D318" s="543"/>
      <c r="E318" s="543"/>
      <c r="F318" s="543"/>
      <c r="G318" s="543"/>
      <c r="H318" s="543"/>
      <c r="I318" s="543"/>
      <c r="J318" s="543"/>
      <c r="K318" s="543"/>
      <c r="L318" s="543"/>
      <c r="M318" s="543"/>
      <c r="N318" s="543"/>
      <c r="O318" s="543"/>
      <c r="P318" s="543"/>
      <c r="Q318" s="543"/>
      <c r="R318" s="543"/>
      <c r="S318" s="543"/>
      <c r="T318" s="543"/>
      <c r="U318" s="543"/>
      <c r="V318" s="543"/>
      <c r="AD318" s="10"/>
      <c r="AE318" s="10"/>
      <c r="AF318" s="550"/>
      <c r="AG318" s="550"/>
      <c r="AH318" s="550"/>
      <c r="AI318" s="550"/>
      <c r="AJ318" s="567"/>
      <c r="AK318" s="567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90"/>
      <c r="AW318" s="90"/>
      <c r="AX318" s="90"/>
      <c r="AY318" s="90"/>
      <c r="AZ318" s="567"/>
      <c r="BA318" s="573"/>
      <c r="BB318" s="573"/>
      <c r="BC318" s="567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</row>
    <row r="319" spans="2:79" x14ac:dyDescent="0.3">
      <c r="B319" s="543"/>
      <c r="C319" s="553"/>
      <c r="D319" s="400"/>
      <c r="E319" s="400"/>
      <c r="F319" s="400"/>
      <c r="G319" s="400"/>
      <c r="H319" s="400"/>
      <c r="I319" s="400"/>
      <c r="J319" s="400"/>
      <c r="K319" s="400"/>
      <c r="L319" s="400"/>
      <c r="M319" s="400"/>
      <c r="N319" s="400"/>
      <c r="O319" s="400"/>
      <c r="P319" s="554"/>
      <c r="V319" s="543"/>
      <c r="AD319" s="10"/>
      <c r="AE319" s="10"/>
      <c r="AF319" s="550"/>
      <c r="AG319" s="550"/>
      <c r="AH319" s="550"/>
      <c r="AI319" s="550"/>
      <c r="AJ319" s="567"/>
      <c r="AK319" s="567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90"/>
      <c r="AW319" s="90"/>
      <c r="AX319" s="90"/>
      <c r="AY319" s="90"/>
      <c r="AZ319" s="567"/>
      <c r="BA319" s="573"/>
      <c r="BB319" s="573"/>
      <c r="BC319" s="567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</row>
    <row r="320" spans="2:79" x14ac:dyDescent="0.3">
      <c r="B320" s="543"/>
      <c r="C320" s="555"/>
      <c r="D320" s="545" t="s">
        <v>162</v>
      </c>
      <c r="E320" s="430"/>
      <c r="F320" s="430"/>
      <c r="G320" s="430"/>
      <c r="H320" s="630" t="s">
        <v>20</v>
      </c>
      <c r="I320" s="630"/>
      <c r="J320" s="630"/>
      <c r="K320" s="430"/>
      <c r="L320" s="430"/>
      <c r="M320" s="430"/>
      <c r="N320" s="430"/>
      <c r="O320" s="430"/>
      <c r="P320" s="556"/>
      <c r="V320" s="543"/>
      <c r="AD320" s="10"/>
      <c r="AE320" s="10"/>
      <c r="AF320" s="550"/>
      <c r="AG320" s="550"/>
      <c r="AH320" s="550"/>
      <c r="AI320" s="550"/>
      <c r="AJ320" s="567"/>
      <c r="AK320" s="567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90"/>
      <c r="AW320" s="90"/>
      <c r="AX320" s="90"/>
      <c r="AY320" s="90"/>
      <c r="AZ320" s="567"/>
      <c r="BA320" s="573"/>
      <c r="BB320" s="573"/>
      <c r="BC320" s="567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</row>
    <row r="321" spans="2:79" x14ac:dyDescent="0.3">
      <c r="B321" s="543"/>
      <c r="C321" s="555"/>
      <c r="D321" s="557" t="s">
        <v>163</v>
      </c>
      <c r="E321" s="430"/>
      <c r="F321" s="430"/>
      <c r="G321" s="430"/>
      <c r="H321" s="558" t="s">
        <v>160</v>
      </c>
      <c r="I321" s="545"/>
      <c r="J321" s="559" t="s">
        <v>161</v>
      </c>
      <c r="K321" s="545"/>
      <c r="L321" s="545"/>
      <c r="M321" s="545"/>
      <c r="N321" s="545"/>
      <c r="O321" s="560" t="s">
        <v>3</v>
      </c>
      <c r="P321" s="556"/>
      <c r="V321" s="543"/>
      <c r="AD321" s="10"/>
      <c r="AE321" s="10"/>
      <c r="AF321" s="550"/>
      <c r="AG321" s="550"/>
      <c r="AH321" s="550"/>
      <c r="AI321" s="550"/>
      <c r="AJ321" s="567"/>
      <c r="AK321" s="567"/>
      <c r="AL321" s="572"/>
      <c r="AM321" s="572"/>
      <c r="AN321" s="572"/>
      <c r="AO321" s="572"/>
      <c r="AP321" s="572"/>
      <c r="AQ321" s="572"/>
      <c r="AR321" s="572"/>
      <c r="AS321" s="572"/>
      <c r="AT321" s="572"/>
      <c r="AU321" s="572"/>
      <c r="AV321" s="567"/>
      <c r="AW321" s="567"/>
      <c r="AX321" s="567"/>
      <c r="AY321" s="567"/>
      <c r="AZ321" s="567"/>
      <c r="BA321" s="573"/>
      <c r="BB321" s="573"/>
      <c r="BC321" s="567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</row>
    <row r="322" spans="2:79" x14ac:dyDescent="0.3">
      <c r="B322" s="543"/>
      <c r="C322" s="555"/>
      <c r="D322" s="546" t="s">
        <v>159</v>
      </c>
      <c r="E322" s="15"/>
      <c r="F322" s="15"/>
      <c r="G322" s="15"/>
      <c r="H322" s="561">
        <f>SUM(D133:D139)</f>
        <v>471981</v>
      </c>
      <c r="I322" s="15"/>
      <c r="J322" s="16">
        <f>+H322/7</f>
        <v>67425.857142857145</v>
      </c>
      <c r="K322" s="15"/>
      <c r="L322" s="15"/>
      <c r="M322" s="15"/>
      <c r="N322" s="15"/>
      <c r="O322" s="15"/>
      <c r="P322" s="556"/>
      <c r="V322" s="543"/>
      <c r="AD322" s="10"/>
      <c r="AE322" s="10"/>
      <c r="AF322" s="550"/>
      <c r="AG322" s="550"/>
      <c r="AH322" s="550"/>
      <c r="AI322" s="550"/>
      <c r="AJ322" s="567"/>
      <c r="AK322" s="567"/>
      <c r="AL322" s="572"/>
      <c r="AM322" s="572"/>
      <c r="AN322" s="572"/>
      <c r="AO322" s="572"/>
      <c r="AP322" s="572"/>
      <c r="AQ322" s="572"/>
      <c r="AR322" s="572"/>
      <c r="AS322" s="572"/>
      <c r="AT322" s="572"/>
      <c r="AU322" s="572"/>
      <c r="AV322" s="572"/>
      <c r="AW322" s="572"/>
      <c r="AX322" s="572"/>
      <c r="AY322" s="572"/>
      <c r="AZ322" s="567"/>
      <c r="BA322" s="567"/>
      <c r="BB322" s="573"/>
      <c r="BC322" s="567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</row>
    <row r="323" spans="2:79" x14ac:dyDescent="0.3">
      <c r="B323" s="543"/>
      <c r="C323" s="555"/>
      <c r="D323" s="546" t="s">
        <v>158</v>
      </c>
      <c r="E323" s="15"/>
      <c r="F323" s="15"/>
      <c r="G323" s="15"/>
      <c r="H323" s="16">
        <f>SUM(D140:D146)</f>
        <v>427527</v>
      </c>
      <c r="I323" s="15"/>
      <c r="J323" s="16">
        <f>+H323/7</f>
        <v>61075.285714285717</v>
      </c>
      <c r="K323" s="15"/>
      <c r="L323" s="15"/>
      <c r="M323" s="15"/>
      <c r="N323" s="15"/>
      <c r="O323" s="15"/>
      <c r="P323" s="556"/>
      <c r="V323" s="543"/>
      <c r="AJ323" s="110"/>
      <c r="AK323" s="110"/>
      <c r="AL323" s="110"/>
      <c r="AM323" s="110"/>
      <c r="AN323" s="110"/>
      <c r="AO323" s="110"/>
      <c r="AP323" s="110"/>
      <c r="AQ323" s="110"/>
      <c r="AR323" s="110"/>
      <c r="AS323" s="110"/>
      <c r="AT323" s="90"/>
      <c r="AU323" s="110"/>
      <c r="AV323" s="152"/>
      <c r="AW323" s="152"/>
      <c r="AX323" s="152"/>
      <c r="AY323" s="152"/>
      <c r="AZ323" s="110"/>
      <c r="BA323" s="110"/>
      <c r="BB323" s="110"/>
      <c r="BC323" s="110"/>
    </row>
    <row r="324" spans="2:79" x14ac:dyDescent="0.3">
      <c r="B324" s="549"/>
      <c r="C324" s="555"/>
      <c r="D324" s="546" t="s">
        <v>157</v>
      </c>
      <c r="E324" s="15"/>
      <c r="F324" s="15"/>
      <c r="G324" s="15"/>
      <c r="H324" s="16">
        <f>SUM(D147:D153)</f>
        <v>383516</v>
      </c>
      <c r="I324" s="15"/>
      <c r="J324" s="16">
        <f>+H324/7</f>
        <v>54788</v>
      </c>
      <c r="K324" s="15"/>
      <c r="L324" s="15"/>
      <c r="M324" s="15"/>
      <c r="N324" s="15"/>
      <c r="O324" s="561">
        <f>+H322-H324</f>
        <v>88465</v>
      </c>
      <c r="P324" s="556"/>
      <c r="V324" s="543"/>
      <c r="AA324">
        <f>+O324/7</f>
        <v>12637.857142857143</v>
      </c>
      <c r="AJ324" s="110"/>
      <c r="AK324" s="110"/>
      <c r="AL324" s="110"/>
      <c r="AM324" s="110"/>
      <c r="AN324" s="110"/>
      <c r="AO324" s="110"/>
      <c r="AP324" s="110"/>
      <c r="AQ324" s="110"/>
      <c r="AR324" s="110"/>
      <c r="AS324" s="110"/>
      <c r="AT324" s="110"/>
      <c r="AU324" s="110"/>
      <c r="AV324" s="90"/>
      <c r="AW324" s="90"/>
      <c r="AX324" s="90"/>
      <c r="AY324" s="90"/>
      <c r="AZ324" s="110"/>
      <c r="BA324" s="153"/>
      <c r="BB324" s="110"/>
      <c r="BC324" s="110"/>
    </row>
    <row r="325" spans="2:79" x14ac:dyDescent="0.3">
      <c r="B325" s="550"/>
      <c r="C325" s="555"/>
      <c r="D325" s="562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60">
        <f>+O324/H322</f>
        <v>0.18743339244588236</v>
      </c>
      <c r="P325" s="556"/>
      <c r="V325" s="543"/>
      <c r="X325" s="61"/>
      <c r="Y325" s="61"/>
      <c r="Z325" s="110"/>
      <c r="AA325" s="110"/>
      <c r="AB325" s="110"/>
      <c r="AC325" s="110"/>
      <c r="AD325" s="110"/>
      <c r="AE325" s="110"/>
      <c r="AF325" s="110"/>
      <c r="AG325" s="110"/>
      <c r="AH325" s="110"/>
      <c r="AI325" s="110"/>
      <c r="AJ325" s="110"/>
      <c r="AK325" s="110"/>
      <c r="AL325" s="110"/>
      <c r="AM325" s="110"/>
      <c r="AN325" s="110"/>
      <c r="AO325" s="110"/>
      <c r="AP325" s="90">
        <v>480454</v>
      </c>
      <c r="AQ325" s="110"/>
      <c r="AR325" s="110"/>
      <c r="AS325" s="110"/>
      <c r="AT325" s="110"/>
      <c r="AU325" s="110"/>
      <c r="AV325" s="110"/>
      <c r="AW325" s="110"/>
      <c r="AX325" s="110"/>
      <c r="AY325" s="110"/>
      <c r="AZ325" s="110"/>
      <c r="BA325" s="110"/>
      <c r="BB325" s="110"/>
      <c r="BC325" s="110"/>
    </row>
    <row r="326" spans="2:79" ht="15" thickBot="1" x14ac:dyDescent="0.35">
      <c r="B326" s="550"/>
      <c r="C326" s="563"/>
      <c r="D326" s="564"/>
      <c r="E326" s="564"/>
      <c r="F326" s="564"/>
      <c r="G326" s="564"/>
      <c r="H326" s="564"/>
      <c r="I326" s="564"/>
      <c r="J326" s="565"/>
      <c r="K326" s="564"/>
      <c r="L326" s="564"/>
      <c r="M326" s="564"/>
      <c r="N326" s="564"/>
      <c r="O326" s="564"/>
      <c r="P326" s="566"/>
      <c r="V326" s="543"/>
      <c r="X326" s="61"/>
      <c r="Y326" s="61"/>
      <c r="Z326" s="110"/>
      <c r="AA326" s="110"/>
      <c r="AB326" s="110"/>
      <c r="AC326" s="110"/>
      <c r="AD326" s="110"/>
      <c r="AE326" s="110"/>
      <c r="AF326" s="110"/>
      <c r="AG326" s="110"/>
      <c r="AH326" s="110"/>
      <c r="AI326" s="110"/>
      <c r="AJ326" s="110"/>
      <c r="AK326" s="110"/>
      <c r="AL326" s="110"/>
      <c r="AM326" s="110"/>
      <c r="AN326" s="110"/>
      <c r="AO326" s="110"/>
      <c r="AP326" s="152">
        <f>+N201</f>
        <v>290088</v>
      </c>
      <c r="AQ326" s="110"/>
      <c r="AR326" s="110"/>
      <c r="AS326" s="110"/>
      <c r="AT326" s="110"/>
      <c r="AU326" s="110"/>
      <c r="AV326" s="110"/>
      <c r="AW326" s="110"/>
      <c r="AX326" s="110"/>
      <c r="AY326" s="110"/>
      <c r="AZ326" s="110"/>
      <c r="BA326" s="110"/>
      <c r="BB326" s="110"/>
      <c r="BC326" s="110"/>
    </row>
    <row r="327" spans="2:79" x14ac:dyDescent="0.3">
      <c r="B327" s="550"/>
      <c r="C327" s="543"/>
      <c r="D327" s="551"/>
      <c r="E327" s="543"/>
      <c r="F327" s="543"/>
      <c r="G327" s="543"/>
      <c r="H327" s="552"/>
      <c r="I327" s="543"/>
      <c r="J327" s="543"/>
      <c r="K327" s="543"/>
      <c r="L327" s="543"/>
      <c r="M327" s="543"/>
      <c r="N327" s="543"/>
      <c r="O327" s="543"/>
      <c r="P327" s="543"/>
      <c r="Q327" s="543"/>
      <c r="R327" s="543"/>
      <c r="S327" s="543"/>
      <c r="T327" s="543"/>
      <c r="U327" s="543"/>
      <c r="V327" s="543"/>
      <c r="X327" s="61"/>
      <c r="Y327" s="61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0"/>
      <c r="AM327" s="110"/>
      <c r="AN327" s="110"/>
      <c r="AO327" s="110"/>
      <c r="AP327" s="152">
        <f>+AP325-AP326</f>
        <v>190366</v>
      </c>
      <c r="AQ327" s="110"/>
      <c r="AR327" s="110"/>
    </row>
    <row r="328" spans="2:79" x14ac:dyDescent="0.3">
      <c r="B328" s="1"/>
      <c r="D328" s="55"/>
      <c r="X328" s="61"/>
      <c r="Y328" s="61"/>
      <c r="Z328" s="110"/>
      <c r="AA328" s="110"/>
      <c r="AB328" s="110"/>
      <c r="AC328" s="110"/>
      <c r="AD328" s="110"/>
      <c r="AE328" s="110"/>
      <c r="AF328" s="110"/>
      <c r="AG328" s="110"/>
      <c r="AH328" s="110"/>
      <c r="AI328" s="110"/>
      <c r="AJ328" s="110"/>
      <c r="AK328" s="110"/>
      <c r="AL328" s="110"/>
      <c r="AM328" s="110"/>
      <c r="AN328" s="110"/>
      <c r="AO328" s="110"/>
      <c r="AP328" s="96">
        <f>+AP327/AP325</f>
        <v>0.3962210742339537</v>
      </c>
      <c r="AQ328" s="110"/>
      <c r="AR328" s="110"/>
    </row>
    <row r="329" spans="2:79" x14ac:dyDescent="0.3">
      <c r="B329" s="55"/>
      <c r="D329" s="55"/>
      <c r="J329" s="56">
        <f>+J322-J324</f>
        <v>12637.857142857145</v>
      </c>
      <c r="X329" s="61"/>
      <c r="Y329" s="61"/>
      <c r="Z329" s="110"/>
      <c r="AA329" s="110"/>
      <c r="AB329" s="110"/>
      <c r="AC329" s="110"/>
      <c r="AD329" s="110"/>
      <c r="AE329" s="110"/>
      <c r="AF329" s="110"/>
      <c r="AG329" s="110"/>
      <c r="AH329" s="110"/>
      <c r="AI329" s="110"/>
      <c r="AJ329" s="110"/>
      <c r="AK329" s="110"/>
      <c r="AL329" s="110"/>
      <c r="AM329" s="110"/>
      <c r="AN329" s="110"/>
      <c r="AO329" s="110"/>
      <c r="AP329" s="110"/>
      <c r="AQ329" s="110"/>
      <c r="AR329" s="110"/>
    </row>
    <row r="330" spans="2:79" x14ac:dyDescent="0.3">
      <c r="B330" s="57"/>
      <c r="D330" s="55"/>
      <c r="X330" s="61"/>
      <c r="Y330" s="61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</row>
    <row r="331" spans="2:79" x14ac:dyDescent="0.3">
      <c r="B331" s="1"/>
      <c r="D331" s="55"/>
      <c r="X331" s="61"/>
      <c r="Y331" s="61"/>
      <c r="Z331" s="110"/>
      <c r="AA331" s="110"/>
      <c r="AB331" s="110"/>
      <c r="AC331" s="110"/>
      <c r="AD331" s="110"/>
      <c r="AE331" s="110"/>
      <c r="AF331" s="110"/>
      <c r="AG331" s="110"/>
      <c r="AH331" s="110"/>
      <c r="AI331" s="110"/>
      <c r="AJ331" s="110"/>
      <c r="AK331" s="110"/>
      <c r="AL331" s="110"/>
      <c r="AM331" s="110"/>
      <c r="AN331" s="110"/>
      <c r="AO331" s="110"/>
      <c r="AP331" s="110"/>
      <c r="AQ331" s="110"/>
      <c r="AR331" s="110"/>
    </row>
    <row r="332" spans="2:79" x14ac:dyDescent="0.3">
      <c r="B332" s="1"/>
      <c r="D332" s="55"/>
      <c r="Z332" s="118"/>
      <c r="AA332" s="118"/>
      <c r="AB332" s="118"/>
      <c r="AC332" s="118"/>
      <c r="AD332" s="118"/>
      <c r="AE332" s="118"/>
      <c r="AF332" s="118"/>
      <c r="AG332" s="118"/>
      <c r="AH332" s="118"/>
      <c r="AI332" s="118"/>
      <c r="AJ332" s="118"/>
      <c r="AK332" s="118"/>
      <c r="AL332" s="118"/>
      <c r="AM332" s="118"/>
      <c r="AN332" s="118"/>
      <c r="AO332" s="118"/>
      <c r="AP332" s="118"/>
      <c r="AQ332" s="118"/>
      <c r="AR332" s="118"/>
    </row>
    <row r="333" spans="2:79" x14ac:dyDescent="0.3">
      <c r="B333" s="1"/>
      <c r="D333" s="55"/>
      <c r="AT333" s="543"/>
      <c r="AU333" s="543"/>
      <c r="AV333" s="543"/>
      <c r="AW333" s="543"/>
      <c r="AX333" s="543"/>
      <c r="AY333" s="543"/>
      <c r="AZ333" s="543"/>
      <c r="BA333" s="543"/>
      <c r="BB333" s="543"/>
      <c r="BC333" s="543"/>
      <c r="BD333" s="543"/>
      <c r="BE333" s="543"/>
      <c r="BF333" s="543"/>
      <c r="BG333" s="543"/>
      <c r="BH333" s="543"/>
      <c r="BI333" s="543"/>
    </row>
    <row r="334" spans="2:79" ht="15.6" x14ac:dyDescent="0.3">
      <c r="B334" s="1"/>
      <c r="D334" s="55"/>
      <c r="AT334" s="543"/>
      <c r="AU334" s="576"/>
      <c r="AV334" s="577"/>
      <c r="AW334" s="577"/>
      <c r="AX334" s="577"/>
      <c r="AY334" s="577"/>
      <c r="AZ334" s="577"/>
      <c r="BA334" s="577"/>
      <c r="BB334" s="577"/>
      <c r="BC334" s="577"/>
      <c r="BD334" s="577"/>
      <c r="BE334" s="577" t="s">
        <v>169</v>
      </c>
      <c r="BF334" s="577"/>
      <c r="BG334" s="577" t="s">
        <v>2</v>
      </c>
      <c r="BH334" s="576"/>
      <c r="BI334" s="543"/>
    </row>
    <row r="335" spans="2:79" ht="16.2" thickBot="1" x14ac:dyDescent="0.35">
      <c r="B335" s="57" t="e">
        <f>+B334/B333</f>
        <v>#DIV/0!</v>
      </c>
      <c r="D335" s="55"/>
      <c r="AT335" s="543"/>
      <c r="AU335" s="576"/>
      <c r="AV335" s="615" t="s">
        <v>168</v>
      </c>
      <c r="AW335" s="615"/>
      <c r="AX335" s="615"/>
      <c r="AY335" s="577"/>
      <c r="AZ335" s="577"/>
      <c r="BA335" s="578" t="s">
        <v>20</v>
      </c>
      <c r="BB335" s="577"/>
      <c r="BC335" s="578" t="s">
        <v>3</v>
      </c>
      <c r="BD335" s="577"/>
      <c r="BE335" s="578" t="s">
        <v>73</v>
      </c>
      <c r="BF335" s="577"/>
      <c r="BG335" s="578" t="s">
        <v>73</v>
      </c>
      <c r="BH335" s="576"/>
      <c r="BI335" s="543"/>
    </row>
    <row r="336" spans="2:79" ht="21" x14ac:dyDescent="0.4">
      <c r="B336" s="1"/>
      <c r="D336" s="55"/>
      <c r="AT336" s="543"/>
      <c r="AU336" s="576"/>
      <c r="AV336" s="579" t="s">
        <v>156</v>
      </c>
      <c r="AW336" s="576"/>
      <c r="AX336" s="580"/>
      <c r="AY336" s="576"/>
      <c r="AZ336" s="576"/>
      <c r="BA336" s="581">
        <f>+N143</f>
        <v>1970617</v>
      </c>
      <c r="BB336" s="580"/>
      <c r="BC336" s="580"/>
      <c r="BD336" s="580"/>
      <c r="BE336" s="580"/>
      <c r="BF336" s="580"/>
      <c r="BG336" s="580"/>
      <c r="BH336" s="576"/>
      <c r="BI336" s="543"/>
    </row>
    <row r="337" spans="2:61" ht="21" x14ac:dyDescent="0.4">
      <c r="B337" s="1"/>
      <c r="D337" s="55"/>
      <c r="AT337" s="543"/>
      <c r="AU337" s="576"/>
      <c r="AV337" s="579" t="s">
        <v>164</v>
      </c>
      <c r="AW337" s="576"/>
      <c r="AX337" s="580"/>
      <c r="AY337" s="576"/>
      <c r="AZ337" s="576"/>
      <c r="BA337" s="581">
        <f>+N174</f>
        <v>1493931</v>
      </c>
      <c r="BB337" s="580"/>
      <c r="BC337" s="581">
        <f>+BA337-BA336</f>
        <v>-476686</v>
      </c>
      <c r="BD337" s="580"/>
      <c r="BE337" s="582">
        <f>+BC337/BA336</f>
        <v>-0.24189682723735764</v>
      </c>
      <c r="BF337" s="580"/>
      <c r="BG337" s="580"/>
      <c r="BH337" s="576"/>
      <c r="BI337" s="543"/>
    </row>
    <row r="338" spans="2:61" ht="21" x14ac:dyDescent="0.4">
      <c r="B338" s="1">
        <f>+B334*50</f>
        <v>0</v>
      </c>
      <c r="D338" s="55"/>
      <c r="AT338" s="543"/>
      <c r="AU338" s="576"/>
      <c r="AV338" s="579" t="s">
        <v>165</v>
      </c>
      <c r="AW338" s="576"/>
      <c r="AX338" s="580"/>
      <c r="AY338" s="576"/>
      <c r="AZ338" s="576"/>
      <c r="BA338" s="581">
        <f>+N204</f>
        <v>1202331</v>
      </c>
      <c r="BB338" s="580"/>
      <c r="BC338" s="581">
        <f>+BA338-BA337</f>
        <v>-291600</v>
      </c>
      <c r="BD338" s="580"/>
      <c r="BE338" s="582">
        <f>+BC338/BA337</f>
        <v>-0.19518973767864781</v>
      </c>
      <c r="BF338" s="580"/>
      <c r="BG338" s="580"/>
      <c r="BH338" s="576"/>
      <c r="BI338" s="543"/>
    </row>
    <row r="339" spans="2:61" ht="21" x14ac:dyDescent="0.4">
      <c r="B339" s="1"/>
      <c r="D339" s="55"/>
      <c r="AT339" s="543"/>
      <c r="AU339" s="576"/>
      <c r="AV339" s="579" t="s">
        <v>166</v>
      </c>
      <c r="AW339" s="576"/>
      <c r="AX339" s="580"/>
      <c r="AY339" s="576"/>
      <c r="AZ339" s="583" t="s">
        <v>28</v>
      </c>
      <c r="BA339" s="581">
        <f>+N218</f>
        <v>371489</v>
      </c>
      <c r="BB339" s="580"/>
      <c r="BC339" s="581">
        <f>+BA339-BA338</f>
        <v>-830842</v>
      </c>
      <c r="BD339" s="580"/>
      <c r="BE339" s="582">
        <f>+BC339/BA338</f>
        <v>-0.69102601529861574</v>
      </c>
      <c r="BF339" s="580"/>
      <c r="BG339" s="582">
        <f>+(BA339-BA336)/BA336</f>
        <v>-0.81148594577231392</v>
      </c>
      <c r="BH339" s="576"/>
      <c r="BI339" s="543"/>
    </row>
    <row r="340" spans="2:61" x14ac:dyDescent="0.3">
      <c r="B340" s="1"/>
      <c r="D340" s="55"/>
      <c r="AT340" s="543"/>
      <c r="AU340" s="576"/>
      <c r="AV340" s="576"/>
      <c r="AW340" s="576"/>
      <c r="AX340" s="576"/>
      <c r="AY340" s="576"/>
      <c r="AZ340" s="576"/>
      <c r="BA340" s="576"/>
      <c r="BB340" s="576"/>
      <c r="BC340" s="576"/>
      <c r="BD340" s="576"/>
      <c r="BE340" s="576"/>
      <c r="BF340" s="576"/>
      <c r="BG340" s="576"/>
      <c r="BH340" s="576"/>
      <c r="BI340" s="543"/>
    </row>
    <row r="341" spans="2:61" ht="16.2" x14ac:dyDescent="0.3">
      <c r="B341" s="1"/>
      <c r="D341" s="55"/>
      <c r="AT341" s="543"/>
      <c r="AU341" s="576"/>
      <c r="AV341" s="576"/>
      <c r="AW341" s="576"/>
      <c r="AX341" s="584" t="s">
        <v>28</v>
      </c>
      <c r="AY341" s="576"/>
      <c r="AZ341" s="585" t="s">
        <v>167</v>
      </c>
      <c r="BA341" s="576"/>
      <c r="BB341" s="576"/>
      <c r="BC341" s="576"/>
      <c r="BD341" s="576"/>
      <c r="BE341" s="576"/>
      <c r="BF341" s="576"/>
      <c r="BG341" s="576"/>
      <c r="BH341" s="576"/>
      <c r="BI341" s="543"/>
    </row>
    <row r="342" spans="2:61" x14ac:dyDescent="0.3">
      <c r="B342" s="1"/>
      <c r="D342" s="55"/>
      <c r="AT342" s="543"/>
      <c r="AU342" s="576"/>
      <c r="AV342" s="576"/>
      <c r="AW342" s="576"/>
      <c r="AX342" s="576"/>
      <c r="AY342" s="576"/>
      <c r="AZ342" s="576"/>
      <c r="BA342" s="576"/>
      <c r="BB342" s="576"/>
      <c r="BC342" s="576"/>
      <c r="BD342" s="576"/>
      <c r="BE342" s="576"/>
      <c r="BF342" s="576"/>
      <c r="BG342" s="576"/>
      <c r="BH342" s="576"/>
      <c r="BI342" s="543"/>
    </row>
    <row r="343" spans="2:61" x14ac:dyDescent="0.3">
      <c r="B343" s="1"/>
      <c r="D343" s="55"/>
      <c r="AT343" s="575"/>
      <c r="AU343" s="575"/>
      <c r="AV343" s="575"/>
      <c r="AW343" s="575"/>
      <c r="AX343" s="575"/>
      <c r="AY343" s="575"/>
      <c r="AZ343" s="575"/>
      <c r="BA343" s="575"/>
      <c r="BB343" s="575"/>
      <c r="BC343" s="575"/>
      <c r="BD343" s="575"/>
      <c r="BE343" s="575"/>
      <c r="BF343" s="575"/>
      <c r="BG343" s="575"/>
      <c r="BH343" s="575"/>
      <c r="BI343" s="575"/>
    </row>
    <row r="344" spans="2:61" x14ac:dyDescent="0.3">
      <c r="B344" s="1"/>
      <c r="D344" s="55"/>
    </row>
    <row r="345" spans="2:61" x14ac:dyDescent="0.3">
      <c r="B345" s="1"/>
      <c r="D345" s="55"/>
    </row>
    <row r="346" spans="2:61" x14ac:dyDescent="0.3">
      <c r="B346" s="1"/>
      <c r="D346" s="55"/>
    </row>
    <row r="347" spans="2:61" x14ac:dyDescent="0.3">
      <c r="B347" s="1"/>
      <c r="D347" s="55"/>
    </row>
    <row r="348" spans="2:61" x14ac:dyDescent="0.3">
      <c r="B348" s="1"/>
    </row>
    <row r="349" spans="2:61" x14ac:dyDescent="0.3">
      <c r="B349" s="1"/>
    </row>
    <row r="350" spans="2:61" x14ac:dyDescent="0.3">
      <c r="B350" s="1"/>
    </row>
    <row r="351" spans="2:61" x14ac:dyDescent="0.3">
      <c r="B351" s="1"/>
    </row>
    <row r="352" spans="2:61" x14ac:dyDescent="0.3">
      <c r="B352" s="1"/>
    </row>
    <row r="353" spans="2:2" x14ac:dyDescent="0.3">
      <c r="B353" s="1"/>
    </row>
    <row r="354" spans="2:2" x14ac:dyDescent="0.3">
      <c r="B354" s="1"/>
    </row>
    <row r="355" spans="2:2" x14ac:dyDescent="0.3">
      <c r="B355" s="1"/>
    </row>
  </sheetData>
  <mergeCells count="29">
    <mergeCell ref="AV335:AX335"/>
    <mergeCell ref="AK290:AN290"/>
    <mergeCell ref="AK291:AN291"/>
    <mergeCell ref="AK292:AN292"/>
    <mergeCell ref="B1:D1"/>
    <mergeCell ref="B2:D2"/>
    <mergeCell ref="J4:AC4"/>
    <mergeCell ref="D7:J7"/>
    <mergeCell ref="B3:C3"/>
    <mergeCell ref="F6:L6"/>
    <mergeCell ref="Y6:AJ6"/>
    <mergeCell ref="W7:AJ7"/>
    <mergeCell ref="Q6:U6"/>
    <mergeCell ref="H320:J320"/>
    <mergeCell ref="AK297:AN297"/>
    <mergeCell ref="AK288:AN288"/>
    <mergeCell ref="AK298:AN298"/>
    <mergeCell ref="AK287:AV287"/>
    <mergeCell ref="AK289:AN289"/>
    <mergeCell ref="BA8:BC8"/>
    <mergeCell ref="AL4:BU4"/>
    <mergeCell ref="BE6:BU6"/>
    <mergeCell ref="BA7:BU7"/>
    <mergeCell ref="AL7:AY7"/>
    <mergeCell ref="AL6:AY6"/>
    <mergeCell ref="BA6:BC6"/>
    <mergeCell ref="BE8:BI8"/>
    <mergeCell ref="BN8:BP8"/>
    <mergeCell ref="BJ8:BM8"/>
  </mergeCells>
  <printOptions horizontalCentered="1"/>
  <pageMargins left="0.45" right="0.45" top="0.5" bottom="0.5" header="0.3" footer="0.3"/>
  <pageSetup scale="19" orientation="landscape" r:id="rId1"/>
  <headerFooter>
    <oddFooter>&amp;CMAK Table&amp;RAll Rights Reserved</oddFooter>
  </headerFooter>
  <ignoredErrors>
    <ignoredError sqref="AP293:AP295 AR293:AR29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286"/>
  <sheetViews>
    <sheetView topLeftCell="A2" workbookViewId="0">
      <selection activeCell="AF30" sqref="AF30"/>
    </sheetView>
  </sheetViews>
  <sheetFormatPr defaultRowHeight="14.4" outlineLevelRow="1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7" max="7" width="10" bestFit="1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6" t="s">
        <v>5</v>
      </c>
      <c r="D1" s="166"/>
      <c r="E1" s="166"/>
    </row>
    <row r="2" spans="3:40" ht="15.6" x14ac:dyDescent="0.3">
      <c r="C2" s="166" t="s">
        <v>6</v>
      </c>
      <c r="D2" s="166"/>
      <c r="E2" s="166"/>
    </row>
    <row r="3" spans="3:40" x14ac:dyDescent="0.3">
      <c r="C3" s="167" t="s">
        <v>13</v>
      </c>
      <c r="D3" s="167"/>
    </row>
    <row r="4" spans="3:40" x14ac:dyDescent="0.3">
      <c r="D4" s="167"/>
      <c r="E4" s="167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78</v>
      </c>
      <c r="E7" s="631" t="s">
        <v>7</v>
      </c>
      <c r="F7" s="632"/>
      <c r="G7" s="636">
        <v>0.7</v>
      </c>
      <c r="H7" s="636"/>
      <c r="I7" s="636"/>
      <c r="J7" s="636"/>
      <c r="K7" s="636"/>
      <c r="L7" s="636"/>
      <c r="M7" s="636"/>
      <c r="N7" s="636"/>
      <c r="O7" s="636"/>
      <c r="P7" s="636"/>
      <c r="Q7" s="636"/>
      <c r="R7" s="636"/>
      <c r="S7" s="636"/>
      <c r="T7" s="636"/>
      <c r="U7" s="637"/>
    </row>
    <row r="8" spans="3:40" x14ac:dyDescent="0.3">
      <c r="E8" s="633" t="s">
        <v>123</v>
      </c>
      <c r="F8" s="634"/>
      <c r="G8" s="634"/>
      <c r="H8" s="634"/>
      <c r="I8" s="634"/>
      <c r="J8" s="634"/>
      <c r="K8" s="634"/>
      <c r="L8" s="634"/>
      <c r="M8" s="634"/>
      <c r="N8" s="634"/>
      <c r="O8" s="634"/>
      <c r="P8" s="634"/>
      <c r="Q8" s="634"/>
      <c r="R8" s="634"/>
      <c r="S8" s="634"/>
      <c r="T8" s="634"/>
      <c r="U8" s="635"/>
    </row>
    <row r="9" spans="3:40" x14ac:dyDescent="0.3">
      <c r="E9" s="651" t="s">
        <v>37</v>
      </c>
      <c r="F9" s="652"/>
      <c r="G9" s="652"/>
      <c r="H9" s="652"/>
      <c r="I9" s="652"/>
      <c r="J9" s="652"/>
      <c r="K9" s="652"/>
      <c r="L9" s="652"/>
      <c r="M9" s="652"/>
      <c r="N9" s="652"/>
      <c r="O9" s="652"/>
      <c r="P9" s="653"/>
      <c r="Q9" s="649" t="s">
        <v>116</v>
      </c>
      <c r="R9" s="5"/>
      <c r="S9" s="646" t="s">
        <v>4</v>
      </c>
      <c r="T9" s="647"/>
      <c r="U9" s="648"/>
      <c r="W9" s="58" t="s">
        <v>18</v>
      </c>
    </row>
    <row r="10" spans="3:40" x14ac:dyDescent="0.3">
      <c r="E10" s="282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2" t="s">
        <v>79</v>
      </c>
      <c r="N10" s="119"/>
      <c r="O10" s="120" t="s">
        <v>15</v>
      </c>
      <c r="P10" s="371"/>
      <c r="Q10" s="650"/>
      <c r="R10" s="6"/>
      <c r="S10" s="4" t="s">
        <v>4</v>
      </c>
      <c r="T10" s="6"/>
      <c r="U10" s="283" t="s">
        <v>80</v>
      </c>
    </row>
    <row r="11" spans="3:40" x14ac:dyDescent="0.3">
      <c r="C11" s="170">
        <v>43910</v>
      </c>
      <c r="E11" s="28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2"/>
      <c r="R11" s="6"/>
      <c r="S11" s="6"/>
      <c r="T11" s="6"/>
      <c r="U11" s="285"/>
      <c r="W11">
        <v>1</v>
      </c>
      <c r="AL11" s="110"/>
      <c r="AM11" s="110"/>
      <c r="AN11" s="110"/>
    </row>
    <row r="12" spans="3:40" ht="15" thickBot="1" x14ac:dyDescent="0.35">
      <c r="C12" s="170">
        <f>+C11+1</f>
        <v>43911</v>
      </c>
      <c r="E12" s="28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2"/>
      <c r="R12" s="6"/>
      <c r="S12" s="6"/>
      <c r="T12" s="6"/>
      <c r="U12" s="285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0">
        <f>+C12+1</f>
        <v>43912</v>
      </c>
      <c r="E13" s="28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2"/>
      <c r="R13" s="6"/>
      <c r="S13" s="6"/>
      <c r="T13" s="6"/>
      <c r="U13" s="285"/>
      <c r="W13">
        <f t="shared" si="0"/>
        <v>3</v>
      </c>
      <c r="Z13" s="1"/>
      <c r="AA13" s="1"/>
      <c r="AB13" s="1"/>
      <c r="AC13" s="202" t="s">
        <v>60</v>
      </c>
      <c r="AD13" s="203"/>
      <c r="AE13" s="203"/>
      <c r="AF13" s="203"/>
      <c r="AG13" s="203"/>
      <c r="AH13" s="203"/>
      <c r="AI13" s="203"/>
      <c r="AJ13" s="203"/>
      <c r="AK13" s="204"/>
      <c r="AL13" s="154"/>
      <c r="AM13" s="154"/>
      <c r="AN13" s="110"/>
    </row>
    <row r="14" spans="3:40" ht="15" thickBot="1" x14ac:dyDescent="0.35">
      <c r="C14" s="170">
        <f t="shared" ref="C14:C97" si="1">+C13+1</f>
        <v>43913</v>
      </c>
      <c r="E14" s="28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2"/>
      <c r="R14" s="6"/>
      <c r="S14" s="6"/>
      <c r="T14" s="6"/>
      <c r="U14" s="285"/>
      <c r="W14">
        <f t="shared" si="0"/>
        <v>4</v>
      </c>
      <c r="Z14" s="1"/>
      <c r="AA14" s="1"/>
      <c r="AB14" s="1"/>
      <c r="AC14" s="205"/>
      <c r="AD14" s="643" t="s">
        <v>48</v>
      </c>
      <c r="AE14" s="644"/>
      <c r="AF14" s="645"/>
      <c r="AG14" s="206"/>
      <c r="AH14" s="641" t="s">
        <v>32</v>
      </c>
      <c r="AI14" s="207"/>
      <c r="AJ14" s="207"/>
      <c r="AK14" s="208"/>
      <c r="AL14" s="110"/>
      <c r="AM14" s="110"/>
      <c r="AN14" s="110"/>
    </row>
    <row r="15" spans="3:40" ht="15" thickBot="1" x14ac:dyDescent="0.35">
      <c r="C15" s="170">
        <f t="shared" si="1"/>
        <v>43914</v>
      </c>
      <c r="E15" s="28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2"/>
      <c r="R15" s="6"/>
      <c r="S15" s="6"/>
      <c r="T15" s="6"/>
      <c r="U15" s="285"/>
      <c r="W15">
        <f t="shared" si="0"/>
        <v>5</v>
      </c>
      <c r="Z15" s="1"/>
      <c r="AA15" s="1"/>
      <c r="AB15" s="1"/>
      <c r="AC15" s="189"/>
      <c r="AD15" s="168"/>
      <c r="AE15" s="168"/>
      <c r="AF15" s="209" t="s">
        <v>20</v>
      </c>
      <c r="AG15" s="210"/>
      <c r="AH15" s="642"/>
      <c r="AI15" s="211"/>
      <c r="AJ15" s="212" t="s">
        <v>4</v>
      </c>
      <c r="AK15" s="213"/>
      <c r="AL15" s="110"/>
      <c r="AM15" s="110"/>
      <c r="AN15" s="110"/>
    </row>
    <row r="16" spans="3:40" x14ac:dyDescent="0.3">
      <c r="C16" s="170">
        <f t="shared" si="1"/>
        <v>43915</v>
      </c>
      <c r="E16" s="28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2"/>
      <c r="R16" s="6"/>
      <c r="S16" s="6"/>
      <c r="T16" s="6"/>
      <c r="U16" s="285"/>
      <c r="W16">
        <f t="shared" si="0"/>
        <v>6</v>
      </c>
      <c r="Z16" s="1"/>
      <c r="AA16" s="1"/>
      <c r="AB16" s="1"/>
      <c r="AC16" s="189"/>
      <c r="AD16" s="201" t="s">
        <v>39</v>
      </c>
      <c r="AE16" s="168"/>
      <c r="AF16" s="201">
        <f>+K274</f>
        <v>1087856</v>
      </c>
      <c r="AG16" s="200"/>
      <c r="AH16" s="214">
        <f>+AJ31</f>
        <v>3397.2797626483448</v>
      </c>
      <c r="AI16" s="214"/>
      <c r="AJ16" s="215">
        <f>+S274</f>
        <v>56500</v>
      </c>
      <c r="AK16" s="216"/>
      <c r="AL16" s="110"/>
      <c r="AM16" s="110"/>
      <c r="AN16" s="110"/>
    </row>
    <row r="17" spans="3:41" x14ac:dyDescent="0.3">
      <c r="C17" s="170">
        <f t="shared" si="1"/>
        <v>43916</v>
      </c>
      <c r="E17" s="28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2"/>
      <c r="R17" s="6"/>
      <c r="S17" s="6"/>
      <c r="T17" s="6"/>
      <c r="U17" s="285"/>
      <c r="W17">
        <f t="shared" si="0"/>
        <v>7</v>
      </c>
      <c r="Z17" s="61"/>
      <c r="AA17" s="61"/>
      <c r="AB17" s="10"/>
      <c r="AC17" s="189"/>
      <c r="AD17" s="217" t="s">
        <v>58</v>
      </c>
      <c r="AE17" s="168"/>
      <c r="AF17" s="161">
        <v>224964</v>
      </c>
      <c r="AG17" s="201"/>
      <c r="AH17" s="162">
        <v>3264</v>
      </c>
      <c r="AI17" s="214"/>
      <c r="AJ17" s="161">
        <v>10722</v>
      </c>
      <c r="AK17" s="218"/>
      <c r="AL17" s="110"/>
      <c r="AM17" s="90"/>
      <c r="AN17" s="90"/>
    </row>
    <row r="18" spans="3:41" x14ac:dyDescent="0.3">
      <c r="C18" s="170">
        <f t="shared" si="1"/>
        <v>43917</v>
      </c>
      <c r="E18" s="28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3"/>
      <c r="R18" s="44"/>
      <c r="S18" s="6"/>
      <c r="T18" s="6"/>
      <c r="U18" s="286"/>
      <c r="W18">
        <f t="shared" si="0"/>
        <v>8</v>
      </c>
      <c r="Z18" s="1"/>
      <c r="AA18" s="1"/>
      <c r="AB18" s="1"/>
      <c r="AC18" s="189"/>
      <c r="AD18" s="201" t="s">
        <v>90</v>
      </c>
      <c r="AE18" s="168"/>
      <c r="AF18" s="161">
        <v>36094</v>
      </c>
      <c r="AG18" s="201"/>
      <c r="AH18" s="162">
        <v>2819</v>
      </c>
      <c r="AI18" s="214"/>
      <c r="AJ18" s="161">
        <v>10297</v>
      </c>
      <c r="AK18" s="218"/>
      <c r="AL18" s="110"/>
      <c r="AM18" s="90"/>
      <c r="AN18" s="90"/>
    </row>
    <row r="19" spans="3:41" ht="15" thickBot="1" x14ac:dyDescent="0.35">
      <c r="C19" s="170">
        <f t="shared" si="1"/>
        <v>43918</v>
      </c>
      <c r="E19" s="28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5">
        <f>+K19-K18</f>
        <v>9747</v>
      </c>
      <c r="R19" s="44"/>
      <c r="S19" s="7">
        <f>728+140</f>
        <v>868</v>
      </c>
      <c r="T19" s="6"/>
      <c r="U19" s="286">
        <f>+S19/K19</f>
        <v>1.3681788089908893E-2</v>
      </c>
      <c r="W19">
        <f t="shared" si="0"/>
        <v>9</v>
      </c>
      <c r="Z19" s="1"/>
      <c r="AA19" s="1"/>
      <c r="AB19" s="10"/>
      <c r="AC19" s="189"/>
      <c r="AD19" s="168"/>
      <c r="AE19" s="168"/>
      <c r="AF19" s="219">
        <f>SUM(AF16:AF18)</f>
        <v>1348914</v>
      </c>
      <c r="AG19" s="201"/>
      <c r="AH19" s="201"/>
      <c r="AI19" s="201"/>
      <c r="AJ19" s="219">
        <f>SUM(AJ16:AJ18)</f>
        <v>77519</v>
      </c>
      <c r="AK19" s="218"/>
      <c r="AL19" s="110"/>
      <c r="AM19" s="90"/>
      <c r="AN19" s="90"/>
    </row>
    <row r="20" spans="3:41" ht="15" thickTop="1" x14ac:dyDescent="0.3">
      <c r="C20" s="170">
        <f t="shared" si="1"/>
        <v>43919</v>
      </c>
      <c r="E20" s="28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5">
        <f t="shared" ref="Q20:Q61" si="4">+K20-K19</f>
        <v>9457</v>
      </c>
      <c r="R20" s="44"/>
      <c r="S20" s="7">
        <f>965+161</f>
        <v>1126</v>
      </c>
      <c r="T20" s="6"/>
      <c r="U20" s="28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89"/>
      <c r="AD20" s="168"/>
      <c r="AE20" s="168"/>
      <c r="AF20" s="201"/>
      <c r="AG20" s="201"/>
      <c r="AH20" s="201"/>
      <c r="AI20" s="201"/>
      <c r="AJ20" s="201"/>
      <c r="AK20" s="218"/>
      <c r="AL20" s="110"/>
      <c r="AM20" s="90"/>
      <c r="AN20" s="90"/>
    </row>
    <row r="21" spans="3:41" ht="15" thickBot="1" x14ac:dyDescent="0.35">
      <c r="C21" s="170">
        <f t="shared" si="1"/>
        <v>43920</v>
      </c>
      <c r="E21" s="28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5">
        <f t="shared" si="4"/>
        <v>10204</v>
      </c>
      <c r="R21" s="44"/>
      <c r="S21" s="7">
        <f>1218+198</f>
        <v>1416</v>
      </c>
      <c r="T21" s="6"/>
      <c r="U21" s="286">
        <f t="shared" si="5"/>
        <v>1.7039096061514023E-2</v>
      </c>
      <c r="W21">
        <f t="shared" si="0"/>
        <v>11</v>
      </c>
      <c r="Z21" s="1"/>
      <c r="AA21" s="1"/>
      <c r="AB21" s="1"/>
      <c r="AC21" s="189"/>
      <c r="AD21" s="220" t="s">
        <v>29</v>
      </c>
      <c r="AE21" s="168"/>
      <c r="AF21" s="221">
        <f>+AF19/'Main Table'!H274</f>
        <v>9.9626550181599244E-2</v>
      </c>
      <c r="AG21" s="201"/>
      <c r="AH21" s="201"/>
      <c r="AI21" s="201"/>
      <c r="AJ21" s="221">
        <f>+AJ19/'Main Table'!AA274</f>
        <v>0.28501099321288598</v>
      </c>
      <c r="AK21" s="218"/>
      <c r="AL21" s="110"/>
      <c r="AM21" s="96"/>
      <c r="AN21" s="90"/>
    </row>
    <row r="22" spans="3:41" ht="15.6" thickTop="1" thickBot="1" x14ac:dyDescent="0.35">
      <c r="C22" s="170">
        <f t="shared" si="1"/>
        <v>43921</v>
      </c>
      <c r="E22" s="28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5">
        <f t="shared" si="4"/>
        <v>11388</v>
      </c>
      <c r="R22" s="6"/>
      <c r="S22" s="7">
        <f>1550+267</f>
        <v>1817</v>
      </c>
      <c r="T22" s="6"/>
      <c r="U22" s="286">
        <f t="shared" si="5"/>
        <v>1.9229344593665005E-2</v>
      </c>
      <c r="W22">
        <f t="shared" si="0"/>
        <v>12</v>
      </c>
      <c r="Z22" s="1"/>
      <c r="AA22" s="1"/>
      <c r="AB22" s="1"/>
      <c r="AC22" s="194"/>
      <c r="AD22" s="222"/>
      <c r="AE22" s="195"/>
      <c r="AF22" s="223"/>
      <c r="AG22" s="224"/>
      <c r="AH22" s="224"/>
      <c r="AI22" s="224"/>
      <c r="AJ22" s="223"/>
      <c r="AK22" s="225"/>
      <c r="AL22" s="110"/>
      <c r="AM22" s="90"/>
      <c r="AN22" s="90"/>
    </row>
    <row r="23" spans="3:41" x14ac:dyDescent="0.3">
      <c r="C23" s="170">
        <f t="shared" si="1"/>
        <v>43922</v>
      </c>
      <c r="E23" s="28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5">
        <f t="shared" si="4"/>
        <v>11476</v>
      </c>
      <c r="R23" s="6"/>
      <c r="S23" s="7">
        <f>1941+355</f>
        <v>2296</v>
      </c>
      <c r="T23" s="6"/>
      <c r="U23" s="286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/>
      <c r="AN23" s="90"/>
    </row>
    <row r="24" spans="3:41" ht="15" thickBot="1" x14ac:dyDescent="0.35">
      <c r="C24" s="170">
        <f t="shared" si="1"/>
        <v>43923</v>
      </c>
      <c r="E24" s="28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5">
        <f t="shared" si="4"/>
        <v>12129</v>
      </c>
      <c r="R24" s="6"/>
      <c r="S24" s="7">
        <f>2373+537</f>
        <v>2910</v>
      </c>
      <c r="T24" s="6"/>
      <c r="U24" s="286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/>
      <c r="AO24" s="118"/>
    </row>
    <row r="25" spans="3:41" ht="15" thickBot="1" x14ac:dyDescent="0.35">
      <c r="C25" s="170">
        <f t="shared" si="1"/>
        <v>43924</v>
      </c>
      <c r="E25" s="28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5">
        <f t="shared" si="4"/>
        <v>14859</v>
      </c>
      <c r="R25" s="6"/>
      <c r="S25" s="7">
        <f>2935+646</f>
        <v>3581</v>
      </c>
      <c r="T25" s="6"/>
      <c r="U25" s="286">
        <f t="shared" si="5"/>
        <v>2.6933925012222179E-2</v>
      </c>
      <c r="W25">
        <f t="shared" si="0"/>
        <v>15</v>
      </c>
      <c r="Z25" s="1"/>
      <c r="AA25" s="643" t="s">
        <v>133</v>
      </c>
      <c r="AB25" s="644"/>
      <c r="AC25" s="644"/>
      <c r="AD25" s="644"/>
      <c r="AE25" s="644"/>
      <c r="AF25" s="644"/>
      <c r="AG25" s="644"/>
      <c r="AH25" s="644"/>
      <c r="AI25" s="644"/>
      <c r="AJ25" s="644"/>
      <c r="AK25" s="645"/>
      <c r="AL25" s="154"/>
      <c r="AM25" s="154"/>
      <c r="AN25" s="90"/>
      <c r="AO25" s="118"/>
    </row>
    <row r="26" spans="3:41" x14ac:dyDescent="0.3">
      <c r="C26" s="170">
        <f t="shared" si="1"/>
        <v>43925</v>
      </c>
      <c r="E26" s="28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5">
        <f t="shared" si="4"/>
        <v>15002</v>
      </c>
      <c r="R26" s="6"/>
      <c r="S26" s="7">
        <f>3565+846</f>
        <v>4411</v>
      </c>
      <c r="T26" s="6"/>
      <c r="U26" s="286">
        <f t="shared" si="5"/>
        <v>2.9812715856634021E-2</v>
      </c>
      <c r="W26">
        <f t="shared" si="0"/>
        <v>16</v>
      </c>
      <c r="Z26" s="1"/>
      <c r="AA26" s="185"/>
      <c r="AB26" s="186" t="s">
        <v>53</v>
      </c>
      <c r="AC26" s="187"/>
      <c r="AD26" s="186" t="s">
        <v>20</v>
      </c>
      <c r="AE26" s="187"/>
      <c r="AF26" s="186" t="s">
        <v>54</v>
      </c>
      <c r="AG26" s="187"/>
      <c r="AH26" s="186" t="s">
        <v>56</v>
      </c>
      <c r="AI26" s="187"/>
      <c r="AJ26" s="186" t="s">
        <v>55</v>
      </c>
      <c r="AK26" s="188"/>
      <c r="AL26" s="118"/>
      <c r="AM26" s="118"/>
      <c r="AN26" s="96"/>
      <c r="AO26" s="118"/>
    </row>
    <row r="27" spans="3:41" x14ac:dyDescent="0.3">
      <c r="C27" s="170">
        <f t="shared" si="1"/>
        <v>43926</v>
      </c>
      <c r="E27" s="28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5">
        <f t="shared" si="4"/>
        <v>12708</v>
      </c>
      <c r="R27" s="6"/>
      <c r="S27" s="7">
        <f>4150+914</f>
        <v>5064</v>
      </c>
      <c r="T27" s="6"/>
      <c r="U27" s="286">
        <f t="shared" si="5"/>
        <v>3.1518999159742322E-2</v>
      </c>
      <c r="W27">
        <f t="shared" si="0"/>
        <v>17</v>
      </c>
      <c r="Z27" s="1"/>
      <c r="AA27" s="189"/>
      <c r="AB27" s="168" t="s">
        <v>50</v>
      </c>
      <c r="AC27" s="168"/>
      <c r="AD27" s="168">
        <f>+E274</f>
        <v>641161</v>
      </c>
      <c r="AE27" s="168"/>
      <c r="AF27" s="199">
        <v>3296</v>
      </c>
      <c r="AG27" s="168"/>
      <c r="AH27" s="190">
        <f>+AD27/AD$31</f>
        <v>0.48838454624396338</v>
      </c>
      <c r="AI27" s="190"/>
      <c r="AJ27" s="168">
        <f>+AF27*AH27</f>
        <v>1609.7154644201032</v>
      </c>
      <c r="AK27" s="191"/>
      <c r="AL27" s="118"/>
      <c r="AM27" s="90"/>
      <c r="AN27" s="90"/>
      <c r="AO27" s="118"/>
    </row>
    <row r="28" spans="3:41" x14ac:dyDescent="0.3">
      <c r="C28" s="170">
        <f t="shared" si="1"/>
        <v>43927</v>
      </c>
      <c r="E28" s="28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5">
        <f t="shared" si="4"/>
        <v>11985</v>
      </c>
      <c r="R28" s="6"/>
      <c r="S28" s="7">
        <f>4758+1003</f>
        <v>5761</v>
      </c>
      <c r="T28" s="6"/>
      <c r="U28" s="286">
        <f t="shared" si="5"/>
        <v>3.3368085722560094E-2</v>
      </c>
      <c r="W28">
        <f t="shared" si="0"/>
        <v>18</v>
      </c>
      <c r="Z28" s="1"/>
      <c r="AA28" s="189"/>
      <c r="AB28" s="168" t="s">
        <v>51</v>
      </c>
      <c r="AC28" s="168"/>
      <c r="AD28" s="168">
        <f>+G274</f>
        <v>334114</v>
      </c>
      <c r="AE28" s="168"/>
      <c r="AF28" s="199">
        <v>3762</v>
      </c>
      <c r="AG28" s="168"/>
      <c r="AH28" s="190">
        <f>+AD28/AD$31</f>
        <v>0.25450099785195229</v>
      </c>
      <c r="AI28" s="190"/>
      <c r="AJ28" s="168">
        <f>+AF28*AH28</f>
        <v>957.43275391904456</v>
      </c>
      <c r="AK28" s="191"/>
      <c r="AL28" s="118"/>
      <c r="AM28" s="90"/>
      <c r="AN28" s="90"/>
      <c r="AO28" s="118"/>
    </row>
    <row r="29" spans="3:41" x14ac:dyDescent="0.3">
      <c r="C29" s="170">
        <f t="shared" si="1"/>
        <v>43928</v>
      </c>
      <c r="E29" s="284">
        <v>139876</v>
      </c>
      <c r="F29" s="7"/>
      <c r="G29" s="7">
        <f>44416</f>
        <v>44416</v>
      </c>
      <c r="H29" s="7"/>
      <c r="I29" s="7"/>
      <c r="J29" s="287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5">
        <f t="shared" si="4"/>
        <v>11642</v>
      </c>
      <c r="R29" s="6"/>
      <c r="S29" s="7">
        <f>5489+1232+277</f>
        <v>6998</v>
      </c>
      <c r="T29" s="6"/>
      <c r="U29" s="286">
        <f t="shared" si="5"/>
        <v>3.7972348229982855E-2</v>
      </c>
      <c r="W29">
        <f t="shared" si="0"/>
        <v>19</v>
      </c>
      <c r="Z29" s="1"/>
      <c r="AA29" s="189"/>
      <c r="AB29" s="168" t="s">
        <v>52</v>
      </c>
      <c r="AC29" s="168"/>
      <c r="AD29" s="168">
        <f>+I274</f>
        <v>112581</v>
      </c>
      <c r="AE29" s="168"/>
      <c r="AF29" s="199">
        <v>3158</v>
      </c>
      <c r="AG29" s="168"/>
      <c r="AH29" s="190">
        <f>+AD29/AD$31</f>
        <v>8.5755092091832852E-2</v>
      </c>
      <c r="AI29" s="190"/>
      <c r="AJ29" s="168">
        <f>+AF29*AH29</f>
        <v>270.81458082600813</v>
      </c>
      <c r="AK29" s="191"/>
      <c r="AL29" s="118"/>
      <c r="AM29" s="90"/>
      <c r="AN29" s="90"/>
      <c r="AO29" s="118"/>
    </row>
    <row r="30" spans="3:41" x14ac:dyDescent="0.3">
      <c r="C30" s="170">
        <f t="shared" si="1"/>
        <v>43929</v>
      </c>
      <c r="E30" s="284">
        <v>151069</v>
      </c>
      <c r="F30" s="7"/>
      <c r="G30" s="7">
        <f>47437</f>
        <v>47437</v>
      </c>
      <c r="H30" s="7"/>
      <c r="I30" s="7">
        <v>8781</v>
      </c>
      <c r="J30" s="28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5">
        <f t="shared" si="4"/>
        <v>22995</v>
      </c>
      <c r="R30" s="6"/>
      <c r="S30" s="7">
        <f>6268+1504+335</f>
        <v>8107</v>
      </c>
      <c r="T30" s="6"/>
      <c r="U30" s="286">
        <f t="shared" si="5"/>
        <v>3.9110026195564605E-2</v>
      </c>
      <c r="W30">
        <f t="shared" si="0"/>
        <v>20</v>
      </c>
      <c r="Z30" s="1"/>
      <c r="AA30" s="185"/>
      <c r="AB30" s="168" t="s">
        <v>105</v>
      </c>
      <c r="AC30" s="280"/>
      <c r="AD30" s="168">
        <f>+AF17</f>
        <v>224964</v>
      </c>
      <c r="AE30" s="280"/>
      <c r="AF30" s="168">
        <f>+AH17</f>
        <v>3264</v>
      </c>
      <c r="AG30" s="280"/>
      <c r="AH30" s="190">
        <f>+AD30/AD$31</f>
        <v>0.1713593638122515</v>
      </c>
      <c r="AI30" s="280"/>
      <c r="AJ30" s="168">
        <f>+AF30*AH30</f>
        <v>559.31696348318894</v>
      </c>
      <c r="AK30" s="191"/>
      <c r="AL30" s="118"/>
      <c r="AM30" s="90"/>
      <c r="AN30" s="90"/>
      <c r="AO30" s="118"/>
    </row>
    <row r="31" spans="3:41" ht="15" thickBot="1" x14ac:dyDescent="0.35">
      <c r="C31" s="170">
        <f t="shared" si="1"/>
        <v>43930</v>
      </c>
      <c r="E31" s="284">
        <v>161790</v>
      </c>
      <c r="F31" s="7"/>
      <c r="G31" s="7">
        <f>51027</f>
        <v>51027</v>
      </c>
      <c r="H31" s="7"/>
      <c r="I31" s="7">
        <v>9784</v>
      </c>
      <c r="J31" s="28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5">
        <f t="shared" si="4"/>
        <v>15314</v>
      </c>
      <c r="R31" s="6"/>
      <c r="S31" s="7">
        <f>7067+1209+380</f>
        <v>8656</v>
      </c>
      <c r="T31" s="6"/>
      <c r="U31" s="286">
        <f t="shared" si="5"/>
        <v>3.8885719291467696E-2</v>
      </c>
      <c r="W31">
        <f t="shared" si="0"/>
        <v>21</v>
      </c>
      <c r="Z31" s="1"/>
      <c r="AA31" s="189"/>
      <c r="AB31" s="168"/>
      <c r="AC31" s="168"/>
      <c r="AD31" s="192">
        <f>SUM(AD27:AD30)</f>
        <v>1312820</v>
      </c>
      <c r="AE31" s="168"/>
      <c r="AF31" s="168"/>
      <c r="AG31" s="168"/>
      <c r="AH31" s="193">
        <f>SUM(AH27:AH30)</f>
        <v>1</v>
      </c>
      <c r="AI31" s="190"/>
      <c r="AJ31" s="192">
        <f>SUM(AJ27:AJ30)</f>
        <v>3397.2797626483448</v>
      </c>
      <c r="AK31" s="191"/>
      <c r="AL31" s="118"/>
      <c r="AM31" s="90"/>
      <c r="AN31" s="90"/>
      <c r="AO31" s="118"/>
    </row>
    <row r="32" spans="3:41" ht="15.6" thickTop="1" thickBot="1" x14ac:dyDescent="0.35">
      <c r="C32" s="170">
        <f t="shared" si="1"/>
        <v>43931</v>
      </c>
      <c r="E32" s="284">
        <v>174481</v>
      </c>
      <c r="F32" s="7"/>
      <c r="G32" s="7">
        <f>54588</f>
        <v>54588</v>
      </c>
      <c r="H32" s="7"/>
      <c r="I32" s="7">
        <v>10538</v>
      </c>
      <c r="J32" s="28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5">
        <f t="shared" si="4"/>
        <v>17006</v>
      </c>
      <c r="R32" s="6"/>
      <c r="S32" s="7">
        <f>7884+1932+448</f>
        <v>10264</v>
      </c>
      <c r="T32" s="6"/>
      <c r="U32" s="286">
        <f t="shared" si="5"/>
        <v>4.2836811946228619E-2</v>
      </c>
      <c r="W32">
        <f t="shared" si="0"/>
        <v>22</v>
      </c>
      <c r="Z32" s="1"/>
      <c r="AA32" s="194"/>
      <c r="AB32" s="195"/>
      <c r="AC32" s="195"/>
      <c r="AD32" s="195"/>
      <c r="AE32" s="195"/>
      <c r="AF32" s="195"/>
      <c r="AG32" s="195"/>
      <c r="AH32" s="196"/>
      <c r="AI32" s="196"/>
      <c r="AJ32" s="197"/>
      <c r="AK32" s="198"/>
      <c r="AL32" s="118"/>
      <c r="AM32" s="90"/>
      <c r="AN32" s="90"/>
      <c r="AO32" s="118"/>
    </row>
    <row r="33" spans="3:40" x14ac:dyDescent="0.3">
      <c r="C33" s="170">
        <f t="shared" si="1"/>
        <v>43932</v>
      </c>
      <c r="E33" s="284">
        <v>181825</v>
      </c>
      <c r="F33" s="7"/>
      <c r="G33" s="7">
        <f>58151</f>
        <v>58151</v>
      </c>
      <c r="H33" s="7"/>
      <c r="I33" s="7">
        <v>11510</v>
      </c>
      <c r="J33" s="28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5">
        <f t="shared" si="4"/>
        <v>11879</v>
      </c>
      <c r="R33" s="6"/>
      <c r="S33" s="7">
        <f>8650+2183+494</f>
        <v>11327</v>
      </c>
      <c r="T33" s="6"/>
      <c r="U33" s="286">
        <f t="shared" si="5"/>
        <v>4.5040280572278379E-2</v>
      </c>
      <c r="W33">
        <f t="shared" si="0"/>
        <v>23</v>
      </c>
    </row>
    <row r="34" spans="3:40" x14ac:dyDescent="0.3">
      <c r="C34" s="170">
        <f t="shared" si="1"/>
        <v>43933</v>
      </c>
      <c r="E34" s="284">
        <v>189033</v>
      </c>
      <c r="F34" s="7"/>
      <c r="G34" s="7">
        <f>61850</f>
        <v>61850</v>
      </c>
      <c r="H34" s="7"/>
      <c r="I34" s="7">
        <v>12035</v>
      </c>
      <c r="J34" s="28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5">
        <f t="shared" si="4"/>
        <v>11432</v>
      </c>
      <c r="R34" s="6"/>
      <c r="S34" s="7">
        <f>9385+2350+554</f>
        <v>12289</v>
      </c>
      <c r="T34" s="6"/>
      <c r="U34" s="286">
        <f t="shared" si="5"/>
        <v>4.674080892141276E-2</v>
      </c>
      <c r="W34">
        <f t="shared" si="0"/>
        <v>24</v>
      </c>
    </row>
    <row r="35" spans="3:40" ht="15" thickBot="1" x14ac:dyDescent="0.35">
      <c r="C35" s="170">
        <f t="shared" si="1"/>
        <v>43934</v>
      </c>
      <c r="E35" s="284">
        <v>195749</v>
      </c>
      <c r="F35" s="7"/>
      <c r="G35" s="7">
        <f>64584</f>
        <v>64584</v>
      </c>
      <c r="H35" s="7"/>
      <c r="I35" s="7">
        <v>13381</v>
      </c>
      <c r="J35" s="28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5">
        <f t="shared" si="4"/>
        <v>10796</v>
      </c>
      <c r="R35" s="6"/>
      <c r="S35" s="7">
        <f>10058+2443+602</f>
        <v>13103</v>
      </c>
      <c r="T35" s="6"/>
      <c r="U35" s="28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0">
        <f t="shared" si="1"/>
        <v>43935</v>
      </c>
      <c r="E36" s="284">
        <v>203020</v>
      </c>
      <c r="F36" s="7"/>
      <c r="G36" s="7">
        <f>68824</f>
        <v>68824</v>
      </c>
      <c r="H36" s="7"/>
      <c r="I36" s="7">
        <v>13989</v>
      </c>
      <c r="J36" s="28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5">
        <f t="shared" si="4"/>
        <v>12119</v>
      </c>
      <c r="R36" s="6"/>
      <c r="S36" s="7">
        <f>10842+2805+671+3778</f>
        <v>18096</v>
      </c>
      <c r="T36" s="6"/>
      <c r="U36" s="286">
        <f t="shared" si="5"/>
        <v>6.3309694821801543E-2</v>
      </c>
      <c r="W36">
        <f t="shared" si="0"/>
        <v>26</v>
      </c>
      <c r="Z36" s="1"/>
      <c r="AA36" s="638" t="s">
        <v>31</v>
      </c>
      <c r="AB36" s="639"/>
      <c r="AC36" s="639"/>
      <c r="AD36" s="639"/>
      <c r="AE36" s="639"/>
      <c r="AF36" s="639"/>
      <c r="AG36" s="639"/>
      <c r="AH36" s="639"/>
      <c r="AI36" s="640"/>
      <c r="AJ36" s="154"/>
      <c r="AK36" s="154"/>
      <c r="AL36" s="154"/>
      <c r="AM36" s="95"/>
      <c r="AN36" s="95"/>
    </row>
    <row r="37" spans="3:40" x14ac:dyDescent="0.3">
      <c r="C37" s="170">
        <f t="shared" si="1"/>
        <v>43936</v>
      </c>
      <c r="E37" s="284">
        <v>214639</v>
      </c>
      <c r="F37" s="7"/>
      <c r="G37" s="7">
        <f>71030</f>
        <v>71030</v>
      </c>
      <c r="H37" s="7"/>
      <c r="I37" s="7">
        <v>14755</v>
      </c>
      <c r="J37" s="28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5">
        <f t="shared" si="4"/>
        <v>14591</v>
      </c>
      <c r="R37" s="6"/>
      <c r="S37" s="7">
        <f>11620+3156+868-145</f>
        <v>15499</v>
      </c>
      <c r="T37" s="6"/>
      <c r="U37" s="286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6" t="s">
        <v>30</v>
      </c>
      <c r="AG37" s="164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0">
        <f t="shared" si="1"/>
        <v>43937</v>
      </c>
      <c r="E38" s="284">
        <v>223691</v>
      </c>
      <c r="F38" s="7"/>
      <c r="G38" s="7">
        <f>75317</f>
        <v>75317</v>
      </c>
      <c r="H38" s="7"/>
      <c r="I38" s="7">
        <v>15884</v>
      </c>
      <c r="J38" s="28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5">
        <f t="shared" si="4"/>
        <v>14468</v>
      </c>
      <c r="R38" s="6"/>
      <c r="S38" s="7">
        <f>14832+3518+446</f>
        <v>18796</v>
      </c>
      <c r="T38" s="6"/>
      <c r="U38" s="286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5">
        <v>20100000</v>
      </c>
      <c r="AG38" s="164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0">
        <f t="shared" si="1"/>
        <v>43938</v>
      </c>
      <c r="E39" s="284">
        <v>230597</v>
      </c>
      <c r="F39" s="7"/>
      <c r="G39" s="7">
        <f>78467</f>
        <v>78467</v>
      </c>
      <c r="H39" s="7"/>
      <c r="I39" s="7">
        <v>16809</v>
      </c>
      <c r="J39" s="28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5">
        <f t="shared" si="4"/>
        <v>10981</v>
      </c>
      <c r="R39" s="6"/>
      <c r="S39" s="7">
        <f>17131+3840+1036</f>
        <v>22007</v>
      </c>
      <c r="T39" s="6"/>
      <c r="U39" s="286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4">
        <v>4900000</v>
      </c>
      <c r="AG39" s="164"/>
      <c r="AH39" s="100">
        <f>+AF39/AF$43</f>
        <v>1.4848484848484849E-2</v>
      </c>
      <c r="AI39" s="177"/>
      <c r="AJ39" s="175"/>
      <c r="AK39" s="175"/>
      <c r="AL39" s="110"/>
      <c r="AM39" s="108"/>
      <c r="AN39" s="108"/>
    </row>
    <row r="40" spans="3:40" x14ac:dyDescent="0.3">
      <c r="C40" s="332">
        <f t="shared" si="1"/>
        <v>43939</v>
      </c>
      <c r="D40" s="110"/>
      <c r="E40" s="284">
        <v>238767</v>
      </c>
      <c r="F40" s="7"/>
      <c r="G40" s="7">
        <f>81420</f>
        <v>81420</v>
      </c>
      <c r="H40" s="7"/>
      <c r="I40" s="7">
        <v>17550</v>
      </c>
      <c r="J40" s="28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5">
        <f t="shared" si="4"/>
        <v>11864</v>
      </c>
      <c r="R40" s="6"/>
      <c r="S40" s="7">
        <f>17671+4070+1086</f>
        <v>22827</v>
      </c>
      <c r="T40" s="6"/>
      <c r="U40" s="286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91</v>
      </c>
      <c r="AC40" s="102"/>
      <c r="AD40" s="102"/>
      <c r="AE40" s="102"/>
      <c r="AF40" s="164">
        <v>6000000</v>
      </c>
      <c r="AG40" s="164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0">
        <f t="shared" si="1"/>
        <v>43940</v>
      </c>
      <c r="E41" s="284">
        <v>242570</v>
      </c>
      <c r="F41" s="7"/>
      <c r="G41" s="7">
        <f>85301</f>
        <v>85301</v>
      </c>
      <c r="H41" s="7"/>
      <c r="I41" s="7">
        <v>17550</v>
      </c>
      <c r="J41" s="28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5">
        <f t="shared" si="4"/>
        <v>7684</v>
      </c>
      <c r="R41" s="6"/>
      <c r="S41" s="7">
        <f>17428+4362+1086</f>
        <v>22876</v>
      </c>
      <c r="T41" s="6"/>
      <c r="U41" s="286">
        <f t="shared" si="5"/>
        <v>6.6226430935003952E-2</v>
      </c>
      <c r="W41">
        <f t="shared" si="0"/>
        <v>31</v>
      </c>
      <c r="Z41" s="75"/>
      <c r="AA41" s="91"/>
      <c r="AB41" s="164" t="s">
        <v>33</v>
      </c>
      <c r="AC41" s="164"/>
      <c r="AD41" s="164"/>
      <c r="AE41" s="164"/>
      <c r="AF41" s="163">
        <f>SUM(AF38:AG40)</f>
        <v>31000000</v>
      </c>
      <c r="AG41" s="164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0">
        <f t="shared" si="1"/>
        <v>43941</v>
      </c>
      <c r="E42" s="284">
        <v>253060</v>
      </c>
      <c r="F42" s="7"/>
      <c r="G42" s="7">
        <f>88722</f>
        <v>88722</v>
      </c>
      <c r="H42" s="7"/>
      <c r="I42" s="7">
        <v>19815</v>
      </c>
      <c r="J42" s="28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5">
        <f t="shared" si="4"/>
        <v>16176</v>
      </c>
      <c r="R42" s="6"/>
      <c r="S42" s="7">
        <f>18611+4496+1331</f>
        <v>24438</v>
      </c>
      <c r="T42" s="6"/>
      <c r="U42" s="286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1">
        <f t="shared" si="1"/>
        <v>43942</v>
      </c>
      <c r="E43" s="284">
        <v>258361</v>
      </c>
      <c r="F43" s="7"/>
      <c r="G43" s="7">
        <f>92387</f>
        <v>92387</v>
      </c>
      <c r="H43" s="7"/>
      <c r="I43" s="7">
        <v>20360</v>
      </c>
      <c r="J43" s="28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5">
        <f t="shared" si="4"/>
        <v>9511</v>
      </c>
      <c r="R43" s="6"/>
      <c r="S43" s="7">
        <f>18821+4520+1423</f>
        <v>24764</v>
      </c>
      <c r="T43" s="6"/>
      <c r="U43" s="286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3">
        <v>330000000</v>
      </c>
      <c r="AG43" s="164"/>
      <c r="AH43" s="173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1">
        <f t="shared" si="1"/>
        <v>43943</v>
      </c>
      <c r="E44" s="284">
        <v>263292</v>
      </c>
      <c r="F44" s="7"/>
      <c r="G44" s="7">
        <f>95418</f>
        <v>95418</v>
      </c>
      <c r="H44" s="7"/>
      <c r="I44" s="7">
        <v>22469</v>
      </c>
      <c r="J44" s="28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5">
        <f t="shared" si="4"/>
        <v>10071</v>
      </c>
      <c r="R44" s="6"/>
      <c r="S44" s="7">
        <f>19413+5129+1544</f>
        <v>26086</v>
      </c>
      <c r="T44" s="6"/>
      <c r="U44" s="286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78"/>
      <c r="AI44" s="112"/>
      <c r="AJ44" s="109"/>
      <c r="AK44" s="109"/>
      <c r="AL44" s="109"/>
      <c r="AM44" s="109"/>
      <c r="AN44" s="109"/>
    </row>
    <row r="45" spans="3:40" x14ac:dyDescent="0.3">
      <c r="C45" s="171">
        <f t="shared" si="1"/>
        <v>43944</v>
      </c>
      <c r="E45" s="284">
        <v>271145</v>
      </c>
      <c r="F45" s="7"/>
      <c r="G45" s="7">
        <f>99989</f>
        <v>99989</v>
      </c>
      <c r="H45" s="7"/>
      <c r="I45" s="7">
        <v>23128</v>
      </c>
      <c r="J45" s="28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5">
        <f t="shared" si="4"/>
        <v>13083</v>
      </c>
      <c r="R45" s="6"/>
      <c r="S45" s="7">
        <f>20971+5426+1637</f>
        <v>28034</v>
      </c>
      <c r="T45" s="6"/>
      <c r="U45" s="286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1">
        <f t="shared" si="1"/>
        <v>43945</v>
      </c>
      <c r="E46" s="284">
        <v>271590</v>
      </c>
      <c r="F46" s="7"/>
      <c r="G46" s="7">
        <f>100025</f>
        <v>100025</v>
      </c>
      <c r="H46" s="7"/>
      <c r="I46" s="7">
        <v>23936</v>
      </c>
      <c r="J46" s="287"/>
      <c r="K46" s="7">
        <f t="shared" si="6"/>
        <v>395551</v>
      </c>
      <c r="L46" s="6"/>
      <c r="M46" s="474">
        <f t="shared" si="7"/>
        <v>3.2693995363489254E-3</v>
      </c>
      <c r="N46" s="29"/>
      <c r="O46" s="29"/>
      <c r="P46" s="29"/>
      <c r="Q46" s="375">
        <f t="shared" si="4"/>
        <v>1289</v>
      </c>
      <c r="R46" s="6"/>
      <c r="S46" s="7">
        <f>21349+5426+1767</f>
        <v>28542</v>
      </c>
      <c r="T46" s="6"/>
      <c r="U46" s="286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1">
        <f t="shared" si="1"/>
        <v>43946</v>
      </c>
      <c r="E47" s="284">
        <v>282143</v>
      </c>
      <c r="F47" s="7"/>
      <c r="G47" s="7">
        <f>105498</f>
        <v>105498</v>
      </c>
      <c r="H47" s="7"/>
      <c r="I47" s="7">
        <v>24583</v>
      </c>
      <c r="J47" s="28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5">
        <f t="shared" si="4"/>
        <v>16673</v>
      </c>
      <c r="R47" s="6"/>
      <c r="S47" s="7">
        <f>22009+5914+1865</f>
        <v>29788</v>
      </c>
      <c r="T47" s="6"/>
      <c r="U47" s="286">
        <f t="shared" si="5"/>
        <v>7.2261682968483149E-2</v>
      </c>
      <c r="W47">
        <f t="shared" si="0"/>
        <v>37</v>
      </c>
    </row>
    <row r="48" spans="3:40" x14ac:dyDescent="0.3">
      <c r="C48" s="171">
        <f t="shared" si="1"/>
        <v>43947</v>
      </c>
      <c r="E48" s="284">
        <v>288045</v>
      </c>
      <c r="F48" s="7"/>
      <c r="G48" s="7">
        <f>109038</f>
        <v>109038</v>
      </c>
      <c r="H48" s="7"/>
      <c r="I48" s="7">
        <v>25269</v>
      </c>
      <c r="J48" s="28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5">
        <f t="shared" si="4"/>
        <v>10128</v>
      </c>
      <c r="R48" s="6"/>
      <c r="S48" s="7">
        <f>22269+5938+1924</f>
        <v>30131</v>
      </c>
      <c r="T48" s="6"/>
      <c r="U48" s="286">
        <f t="shared" si="5"/>
        <v>7.134096677652764E-2</v>
      </c>
      <c r="W48">
        <f t="shared" si="0"/>
        <v>38</v>
      </c>
      <c r="AF48" s="56"/>
    </row>
    <row r="49" spans="3:36" x14ac:dyDescent="0.3">
      <c r="C49" s="171">
        <f t="shared" si="1"/>
        <v>43948</v>
      </c>
      <c r="E49" s="284">
        <v>291996</v>
      </c>
      <c r="F49" s="7"/>
      <c r="G49" s="7">
        <f>111188</f>
        <v>111188</v>
      </c>
      <c r="H49" s="7"/>
      <c r="I49" s="7">
        <v>25269</v>
      </c>
      <c r="J49" s="28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5">
        <f t="shared" si="4"/>
        <v>6101</v>
      </c>
      <c r="R49" s="6"/>
      <c r="S49" s="7">
        <f>22668+6044+1924</f>
        <v>30636</v>
      </c>
      <c r="T49" s="6"/>
      <c r="U49" s="286">
        <f t="shared" si="5"/>
        <v>7.1503758872034973E-2</v>
      </c>
      <c r="W49">
        <f t="shared" si="0"/>
        <v>39</v>
      </c>
      <c r="AD49" s="1">
        <f>+'Main Table'!AA274</f>
        <v>271986</v>
      </c>
      <c r="AJ49" s="56">
        <f>+AJ19</f>
        <v>77519</v>
      </c>
    </row>
    <row r="50" spans="3:36" x14ac:dyDescent="0.3">
      <c r="C50" s="171">
        <f t="shared" si="1"/>
        <v>43949</v>
      </c>
      <c r="E50" s="284">
        <v>295106</v>
      </c>
      <c r="F50" s="7"/>
      <c r="G50" s="7">
        <f>113856</f>
        <v>113856</v>
      </c>
      <c r="H50" s="7"/>
      <c r="I50" s="7">
        <v>26312</v>
      </c>
      <c r="J50" s="28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5">
        <f t="shared" si="4"/>
        <v>6821</v>
      </c>
      <c r="R50" s="6"/>
      <c r="S50" s="7">
        <f>22912+6442+2087</f>
        <v>31441</v>
      </c>
      <c r="T50" s="6"/>
      <c r="U50" s="286">
        <f t="shared" si="5"/>
        <v>7.223266264467898E-2</v>
      </c>
      <c r="W50">
        <f t="shared" si="0"/>
        <v>40</v>
      </c>
      <c r="AD50" s="56">
        <f>+AJ19</f>
        <v>77519</v>
      </c>
      <c r="AF50" s="273"/>
    </row>
    <row r="51" spans="3:36" x14ac:dyDescent="0.3">
      <c r="C51" s="170">
        <f t="shared" si="1"/>
        <v>43950</v>
      </c>
      <c r="E51" s="284">
        <v>299691</v>
      </c>
      <c r="F51" s="7"/>
      <c r="G51" s="7">
        <f>116365</f>
        <v>116365</v>
      </c>
      <c r="H51" s="7"/>
      <c r="I51" s="7">
        <v>26751</v>
      </c>
      <c r="J51" s="28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5">
        <f t="shared" si="4"/>
        <v>7533</v>
      </c>
      <c r="R51" s="6"/>
      <c r="S51" s="7">
        <f>23477+6711+2169</f>
        <v>32357</v>
      </c>
      <c r="T51" s="6"/>
      <c r="U51" s="286">
        <f t="shared" si="5"/>
        <v>7.3072467237419461E-2</v>
      </c>
      <c r="W51">
        <f t="shared" si="0"/>
        <v>41</v>
      </c>
      <c r="AD51" s="56">
        <f>+AD49-AD50</f>
        <v>194467</v>
      </c>
    </row>
    <row r="52" spans="3:36" x14ac:dyDescent="0.3">
      <c r="C52" s="170">
        <f t="shared" si="1"/>
        <v>43951</v>
      </c>
      <c r="E52" s="284">
        <v>304372</v>
      </c>
      <c r="F52" s="7"/>
      <c r="G52" s="7">
        <v>118652</v>
      </c>
      <c r="H52" s="7"/>
      <c r="I52" s="7">
        <v>27700</v>
      </c>
      <c r="J52" s="28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5">
        <f t="shared" si="4"/>
        <v>7917</v>
      </c>
      <c r="R52" s="6"/>
      <c r="S52" s="7">
        <f>23545+7228+2257</f>
        <v>33030</v>
      </c>
      <c r="T52" s="6"/>
      <c r="U52" s="286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0">
        <f t="shared" si="1"/>
        <v>43952</v>
      </c>
      <c r="E53" s="284">
        <v>308314</v>
      </c>
      <c r="F53" s="7"/>
      <c r="G53" s="7">
        <v>121190</v>
      </c>
      <c r="H53" s="7"/>
      <c r="I53" s="7">
        <v>28855</v>
      </c>
      <c r="J53" s="28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5">
        <f t="shared" si="4"/>
        <v>7635</v>
      </c>
      <c r="R53" s="6"/>
      <c r="S53" s="7">
        <f>23981+7538+2341</f>
        <v>33860</v>
      </c>
      <c r="T53" s="6"/>
      <c r="U53" s="286">
        <f t="shared" ref="U53:U65" si="10">+S53/K53</f>
        <v>7.3872226791663304E-2</v>
      </c>
      <c r="W53">
        <f t="shared" si="0"/>
        <v>43</v>
      </c>
      <c r="AD53" s="1">
        <f>+AD51*AD52</f>
        <v>81676.14</v>
      </c>
    </row>
    <row r="54" spans="3:36" x14ac:dyDescent="0.3">
      <c r="C54" s="170">
        <f t="shared" si="1"/>
        <v>43953</v>
      </c>
      <c r="E54" s="284">
        <v>312977</v>
      </c>
      <c r="F54" s="7"/>
      <c r="G54" s="7">
        <v>123717</v>
      </c>
      <c r="H54" s="7"/>
      <c r="I54" s="7">
        <v>29346</v>
      </c>
      <c r="J54" s="28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5">
        <f t="shared" si="4"/>
        <v>7681</v>
      </c>
      <c r="R54" s="6"/>
      <c r="S54" s="7">
        <f>24198+7742+2437</f>
        <v>34377</v>
      </c>
      <c r="T54" s="6"/>
      <c r="U54" s="286">
        <f t="shared" si="10"/>
        <v>7.3764054587589042E-2</v>
      </c>
      <c r="W54">
        <f t="shared" si="0"/>
        <v>44</v>
      </c>
    </row>
    <row r="55" spans="3:36" x14ac:dyDescent="0.3">
      <c r="C55" s="170">
        <f t="shared" si="1"/>
        <v>43954</v>
      </c>
      <c r="E55" s="284">
        <v>316415</v>
      </c>
      <c r="F55" s="7"/>
      <c r="G55" s="7">
        <v>126744</v>
      </c>
      <c r="H55" s="7"/>
      <c r="I55" s="7">
        <v>29087</v>
      </c>
      <c r="J55" s="28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5">
        <f t="shared" si="4"/>
        <v>6206</v>
      </c>
      <c r="R55" s="6"/>
      <c r="S55" s="7">
        <f>24708+7871+2436</f>
        <v>35015</v>
      </c>
      <c r="T55" s="6"/>
      <c r="U55" s="286">
        <f t="shared" si="10"/>
        <v>7.4145678311727359E-2</v>
      </c>
      <c r="W55">
        <f t="shared" si="0"/>
        <v>45</v>
      </c>
      <c r="AD55" s="56">
        <f>+AD51-AD53</f>
        <v>112790.86</v>
      </c>
    </row>
    <row r="56" spans="3:36" x14ac:dyDescent="0.3">
      <c r="C56" s="171">
        <f t="shared" si="1"/>
        <v>43955</v>
      </c>
      <c r="E56" s="284">
        <v>318953</v>
      </c>
      <c r="F56" s="7"/>
      <c r="G56" s="7">
        <v>128269</v>
      </c>
      <c r="H56" s="7"/>
      <c r="I56" s="7">
        <v>29973</v>
      </c>
      <c r="J56" s="28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5">
        <f t="shared" si="4"/>
        <v>4949</v>
      </c>
      <c r="R56" s="6"/>
      <c r="S56" s="7">
        <f>24999+7910+2556</f>
        <v>35465</v>
      </c>
      <c r="T56" s="6"/>
      <c r="U56" s="286">
        <f t="shared" si="10"/>
        <v>7.4319722545290706E-2</v>
      </c>
      <c r="W56">
        <f t="shared" si="0"/>
        <v>46</v>
      </c>
    </row>
    <row r="57" spans="3:36" x14ac:dyDescent="0.3">
      <c r="C57" s="171">
        <f t="shared" si="1"/>
        <v>43956</v>
      </c>
      <c r="E57" s="284">
        <v>321192</v>
      </c>
      <c r="F57" s="7"/>
      <c r="G57" s="7">
        <v>130593</v>
      </c>
      <c r="H57" s="7"/>
      <c r="I57" s="7">
        <v>30621</v>
      </c>
      <c r="J57" s="28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5">
        <f t="shared" si="4"/>
        <v>5211</v>
      </c>
      <c r="R57" s="6"/>
      <c r="S57" s="7">
        <f>25124+8244+2633</f>
        <v>36001</v>
      </c>
      <c r="T57" s="6"/>
      <c r="U57" s="286">
        <f t="shared" si="10"/>
        <v>7.4628010431047706E-2</v>
      </c>
      <c r="W57">
        <f t="shared" si="0"/>
        <v>47</v>
      </c>
      <c r="AD57" s="273">
        <f>+AD55/AD49</f>
        <v>0.41469362393652615</v>
      </c>
    </row>
    <row r="58" spans="3:36" x14ac:dyDescent="0.3">
      <c r="C58" s="171">
        <f t="shared" si="1"/>
        <v>43957</v>
      </c>
      <c r="E58" s="284">
        <v>323978</v>
      </c>
      <c r="F58" s="7"/>
      <c r="G58" s="7">
        <v>131890</v>
      </c>
      <c r="H58" s="7"/>
      <c r="I58" s="7">
        <v>30995</v>
      </c>
      <c r="J58" s="28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5">
        <f t="shared" si="4"/>
        <v>4457</v>
      </c>
      <c r="R58" s="6"/>
      <c r="S58" s="7">
        <f>25346+8549+2718</f>
        <v>36613</v>
      </c>
      <c r="T58" s="6"/>
      <c r="U58" s="286">
        <f t="shared" si="10"/>
        <v>7.5201853498828214E-2</v>
      </c>
      <c r="W58">
        <f t="shared" si="0"/>
        <v>48</v>
      </c>
    </row>
    <row r="59" spans="3:36" x14ac:dyDescent="0.3">
      <c r="C59" s="171">
        <f t="shared" si="1"/>
        <v>43958</v>
      </c>
      <c r="E59" s="284">
        <v>327469</v>
      </c>
      <c r="F59" s="7"/>
      <c r="G59" s="7">
        <v>133991</v>
      </c>
      <c r="H59" s="7"/>
      <c r="I59" s="7">
        <v>31784</v>
      </c>
      <c r="J59" s="28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5">
        <f t="shared" si="4"/>
        <v>6381</v>
      </c>
      <c r="R59" s="6"/>
      <c r="S59" s="7">
        <f>26144+8807+2797</f>
        <v>37748</v>
      </c>
      <c r="T59" s="6"/>
      <c r="U59" s="286">
        <f t="shared" si="10"/>
        <v>7.6530074364817416E-2</v>
      </c>
      <c r="W59">
        <f t="shared" si="0"/>
        <v>49</v>
      </c>
    </row>
    <row r="60" spans="3:36" hidden="1" outlineLevel="1" x14ac:dyDescent="0.3">
      <c r="C60" s="171">
        <f t="shared" si="1"/>
        <v>43959</v>
      </c>
      <c r="E60" s="284">
        <v>330407</v>
      </c>
      <c r="F60" s="7"/>
      <c r="G60" s="7">
        <v>135840</v>
      </c>
      <c r="H60" s="7"/>
      <c r="I60" s="7">
        <v>32411</v>
      </c>
      <c r="J60" s="28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5">
        <f t="shared" si="4"/>
        <v>5414</v>
      </c>
      <c r="R60" s="6"/>
      <c r="S60" s="7">
        <f>26243+8960+2874</f>
        <v>38077</v>
      </c>
      <c r="T60" s="6"/>
      <c r="U60" s="286">
        <f t="shared" si="10"/>
        <v>7.6358947414861489E-2</v>
      </c>
      <c r="W60">
        <f t="shared" si="0"/>
        <v>50</v>
      </c>
    </row>
    <row r="61" spans="3:36" hidden="1" outlineLevel="1" x14ac:dyDescent="0.3">
      <c r="C61" s="171">
        <f t="shared" si="1"/>
        <v>43960</v>
      </c>
      <c r="E61" s="284">
        <v>333122</v>
      </c>
      <c r="F61" s="7"/>
      <c r="G61" s="7">
        <v>137397</v>
      </c>
      <c r="H61" s="7"/>
      <c r="I61" s="7">
        <v>32984</v>
      </c>
      <c r="J61" s="28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5">
        <f t="shared" si="4"/>
        <v>4845</v>
      </c>
      <c r="R61" s="6"/>
      <c r="S61" s="7">
        <f>26563+9116+2932</f>
        <v>38611</v>
      </c>
      <c r="T61" s="6"/>
      <c r="U61" s="286">
        <f t="shared" si="10"/>
        <v>7.6684746664865952E-2</v>
      </c>
      <c r="W61">
        <f t="shared" si="0"/>
        <v>51</v>
      </c>
    </row>
    <row r="62" spans="3:36" hidden="1" outlineLevel="1" x14ac:dyDescent="0.3">
      <c r="C62" s="171">
        <f t="shared" si="1"/>
        <v>43961</v>
      </c>
      <c r="E62" s="284">
        <v>335395</v>
      </c>
      <c r="F62" s="7"/>
      <c r="G62" s="7">
        <v>138754</v>
      </c>
      <c r="H62" s="7"/>
      <c r="I62" s="7">
        <v>33554</v>
      </c>
      <c r="J62" s="28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5">
        <f t="shared" ref="Q62:Q97" si="11">+K62-K61</f>
        <v>4200</v>
      </c>
      <c r="R62" s="6"/>
      <c r="S62" s="7">
        <f>26641+9256+2967</f>
        <v>38864</v>
      </c>
      <c r="T62" s="6"/>
      <c r="U62" s="286">
        <f t="shared" si="10"/>
        <v>7.6548690868480193E-2</v>
      </c>
      <c r="W62">
        <f t="shared" si="0"/>
        <v>52</v>
      </c>
    </row>
    <row r="63" spans="3:36" hidden="1" outlineLevel="1" x14ac:dyDescent="0.3">
      <c r="C63" s="171">
        <f t="shared" si="1"/>
        <v>43962</v>
      </c>
      <c r="E63" s="284">
        <v>337055</v>
      </c>
      <c r="F63" s="7"/>
      <c r="G63" s="7">
        <v>140206</v>
      </c>
      <c r="H63" s="7"/>
      <c r="I63" s="7">
        <v>33765</v>
      </c>
      <c r="J63" s="28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5">
        <f t="shared" si="11"/>
        <v>3323</v>
      </c>
      <c r="R63" s="6"/>
      <c r="S63" s="7">
        <f>26721+9340+3008</f>
        <v>39069</v>
      </c>
      <c r="T63" s="6"/>
      <c r="U63" s="286">
        <f t="shared" si="10"/>
        <v>7.6452078759202069E-2</v>
      </c>
      <c r="W63">
        <f t="shared" si="0"/>
        <v>53</v>
      </c>
    </row>
    <row r="64" spans="3:36" hidden="1" outlineLevel="1" x14ac:dyDescent="0.3">
      <c r="C64" s="170">
        <f t="shared" si="1"/>
        <v>43963</v>
      </c>
      <c r="E64" s="284">
        <v>338485</v>
      </c>
      <c r="F64" s="7"/>
      <c r="G64" s="7">
        <v>140917</v>
      </c>
      <c r="H64" s="7"/>
      <c r="I64" s="7">
        <v>34333</v>
      </c>
      <c r="J64" s="28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5">
        <f t="shared" si="11"/>
        <v>2709</v>
      </c>
      <c r="R64" s="6"/>
      <c r="S64" s="7">
        <f>27284+9531+3041</f>
        <v>39856</v>
      </c>
      <c r="T64" s="6"/>
      <c r="U64" s="286">
        <f t="shared" si="10"/>
        <v>7.7580853942207553E-2</v>
      </c>
      <c r="W64">
        <f t="shared" si="0"/>
        <v>54</v>
      </c>
    </row>
    <row r="65" spans="3:23" hidden="1" outlineLevel="1" x14ac:dyDescent="0.3">
      <c r="C65" s="170">
        <f t="shared" si="1"/>
        <v>43964</v>
      </c>
      <c r="E65" s="284">
        <v>340661</v>
      </c>
      <c r="F65" s="7"/>
      <c r="G65" s="7">
        <v>141560</v>
      </c>
      <c r="H65" s="7"/>
      <c r="I65" s="7">
        <v>34895</v>
      </c>
      <c r="J65" s="28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5">
        <f t="shared" si="11"/>
        <v>3381</v>
      </c>
      <c r="R65" s="6"/>
      <c r="S65" s="7">
        <f>27477+9714+3125</f>
        <v>40316</v>
      </c>
      <c r="T65" s="6"/>
      <c r="U65" s="286">
        <f t="shared" si="10"/>
        <v>7.7963164937847607E-2</v>
      </c>
      <c r="W65">
        <f t="shared" si="0"/>
        <v>55</v>
      </c>
    </row>
    <row r="66" spans="3:23" hidden="1" outlineLevel="1" x14ac:dyDescent="0.3">
      <c r="C66" s="170">
        <f t="shared" si="1"/>
        <v>43965</v>
      </c>
      <c r="E66" s="284">
        <v>343051</v>
      </c>
      <c r="F66" s="7"/>
      <c r="G66" s="7">
        <v>142704</v>
      </c>
      <c r="H66" s="7"/>
      <c r="I66" s="7">
        <v>35464</v>
      </c>
      <c r="J66" s="287"/>
      <c r="K66" s="7">
        <f t="shared" ref="K66:K97" si="12">SUM(E66:I66)</f>
        <v>521219</v>
      </c>
      <c r="L66" s="6"/>
      <c r="M66" s="29">
        <f t="shared" ref="M66:M97" si="13">+(K66-K65)/K65</f>
        <v>7.9343899627936487E-3</v>
      </c>
      <c r="N66" s="29"/>
      <c r="O66" s="29"/>
      <c r="P66" s="29"/>
      <c r="Q66" s="375">
        <f t="shared" si="11"/>
        <v>4103</v>
      </c>
      <c r="R66" s="6"/>
      <c r="S66" s="7">
        <f>27607+9946+3219</f>
        <v>40772</v>
      </c>
      <c r="T66" s="6"/>
      <c r="U66" s="286">
        <f t="shared" ref="U66:U97" si="14">+S66/K66</f>
        <v>7.8224316458149076E-2</v>
      </c>
      <c r="W66">
        <f t="shared" si="0"/>
        <v>56</v>
      </c>
    </row>
    <row r="67" spans="3:23" hidden="1" outlineLevel="1" x14ac:dyDescent="0.3">
      <c r="C67" s="170">
        <f t="shared" si="1"/>
        <v>43966</v>
      </c>
      <c r="E67" s="284">
        <v>345813</v>
      </c>
      <c r="F67" s="7"/>
      <c r="G67" s="7">
        <v>143984</v>
      </c>
      <c r="H67" s="7"/>
      <c r="I67" s="7">
        <v>36805</v>
      </c>
      <c r="J67" s="287"/>
      <c r="K67" s="7">
        <f t="shared" si="12"/>
        <v>526602</v>
      </c>
      <c r="L67" s="6"/>
      <c r="M67" s="29">
        <f t="shared" si="13"/>
        <v>1.032771253542177E-2</v>
      </c>
      <c r="N67" s="29"/>
      <c r="O67" s="29"/>
      <c r="P67" s="29"/>
      <c r="Q67" s="375">
        <f t="shared" si="11"/>
        <v>5383</v>
      </c>
      <c r="R67" s="6"/>
      <c r="S67" s="7">
        <f>27607+9946+3219</f>
        <v>40772</v>
      </c>
      <c r="T67" s="6"/>
      <c r="U67" s="286">
        <f t="shared" si="14"/>
        <v>7.7424696450070454E-2</v>
      </c>
      <c r="W67">
        <f t="shared" si="0"/>
        <v>57</v>
      </c>
    </row>
    <row r="68" spans="3:23" hidden="1" outlineLevel="1" x14ac:dyDescent="0.3">
      <c r="C68" s="170">
        <f t="shared" si="1"/>
        <v>43967</v>
      </c>
      <c r="E68" s="284">
        <v>348232</v>
      </c>
      <c r="F68" s="7"/>
      <c r="G68" s="7">
        <v>145089</v>
      </c>
      <c r="H68" s="7"/>
      <c r="I68" s="7">
        <v>36703</v>
      </c>
      <c r="J68" s="287"/>
      <c r="K68" s="7">
        <f t="shared" si="12"/>
        <v>530024</v>
      </c>
      <c r="L68" s="6"/>
      <c r="M68" s="29">
        <f t="shared" si="13"/>
        <v>6.4982662428171561E-3</v>
      </c>
      <c r="N68" s="29"/>
      <c r="O68" s="29"/>
      <c r="P68" s="29"/>
      <c r="Q68" s="375">
        <f t="shared" si="11"/>
        <v>3422</v>
      </c>
      <c r="R68" s="6"/>
      <c r="S68" s="7">
        <f>28049+10261+3339</f>
        <v>41649</v>
      </c>
      <c r="T68" s="6"/>
      <c r="U68" s="286">
        <f t="shared" si="14"/>
        <v>7.8579460552729685E-2</v>
      </c>
      <c r="W68">
        <f t="shared" si="0"/>
        <v>58</v>
      </c>
    </row>
    <row r="69" spans="3:23" hidden="1" outlineLevel="1" x14ac:dyDescent="0.3">
      <c r="C69" s="170">
        <f t="shared" si="1"/>
        <v>43968</v>
      </c>
      <c r="E69" s="284">
        <v>350121</v>
      </c>
      <c r="F69" s="7"/>
      <c r="G69" s="7">
        <v>146504</v>
      </c>
      <c r="H69" s="7"/>
      <c r="I69" s="7">
        <v>37419</v>
      </c>
      <c r="J69" s="287"/>
      <c r="K69" s="7">
        <f t="shared" si="12"/>
        <v>534044</v>
      </c>
      <c r="L69" s="6"/>
      <c r="M69" s="29">
        <f t="shared" si="13"/>
        <v>7.5845622085037659E-3</v>
      </c>
      <c r="N69" s="29"/>
      <c r="O69" s="29"/>
      <c r="P69" s="29"/>
      <c r="Q69" s="375">
        <f t="shared" si="11"/>
        <v>4020</v>
      </c>
      <c r="R69" s="6"/>
      <c r="S69" s="7">
        <f>28232+10363+3408</f>
        <v>42003</v>
      </c>
      <c r="T69" s="6"/>
      <c r="U69" s="286">
        <f t="shared" si="14"/>
        <v>7.8650822778647447E-2</v>
      </c>
      <c r="W69">
        <f t="shared" si="0"/>
        <v>59</v>
      </c>
    </row>
    <row r="70" spans="3:23" hidden="1" outlineLevel="1" x14ac:dyDescent="0.3">
      <c r="C70" s="170">
        <f t="shared" si="1"/>
        <v>43969</v>
      </c>
      <c r="E70" s="284">
        <v>351371</v>
      </c>
      <c r="F70" s="7"/>
      <c r="G70" s="7">
        <v>148240</v>
      </c>
      <c r="H70" s="7"/>
      <c r="I70" s="7">
        <v>38116</v>
      </c>
      <c r="J70" s="287"/>
      <c r="K70" s="7">
        <f t="shared" si="12"/>
        <v>537727</v>
      </c>
      <c r="L70" s="6"/>
      <c r="M70" s="29">
        <f t="shared" si="13"/>
        <v>6.8964354996966541E-3</v>
      </c>
      <c r="N70" s="29"/>
      <c r="O70" s="29"/>
      <c r="P70" s="29"/>
      <c r="Q70" s="375">
        <f t="shared" si="11"/>
        <v>3683</v>
      </c>
      <c r="R70" s="6"/>
      <c r="S70" s="7">
        <f>28339+10439+5862</f>
        <v>44640</v>
      </c>
      <c r="T70" s="6"/>
      <c r="U70" s="286">
        <f t="shared" si="14"/>
        <v>8.3016102966747066E-2</v>
      </c>
      <c r="W70">
        <f t="shared" si="0"/>
        <v>60</v>
      </c>
    </row>
    <row r="71" spans="3:23" hidden="1" outlineLevel="1" x14ac:dyDescent="0.3">
      <c r="C71" s="170">
        <f t="shared" si="1"/>
        <v>43970</v>
      </c>
      <c r="E71" s="284">
        <v>352845</v>
      </c>
      <c r="F71" s="7"/>
      <c r="G71" s="7">
        <v>149356</v>
      </c>
      <c r="H71" s="7"/>
      <c r="I71" s="7">
        <v>38430</v>
      </c>
      <c r="J71" s="287"/>
      <c r="K71" s="7">
        <f t="shared" si="12"/>
        <v>540631</v>
      </c>
      <c r="L71" s="6"/>
      <c r="M71" s="29">
        <f t="shared" si="13"/>
        <v>5.4005099241808572E-3</v>
      </c>
      <c r="N71" s="29"/>
      <c r="O71" s="29"/>
      <c r="P71" s="29"/>
      <c r="Q71" s="375">
        <f t="shared" si="11"/>
        <v>2904</v>
      </c>
      <c r="R71" s="6"/>
      <c r="S71" s="7">
        <f>28558+10587+3472</f>
        <v>42617</v>
      </c>
      <c r="T71" s="6"/>
      <c r="U71" s="286">
        <f t="shared" si="14"/>
        <v>7.8828258091008463E-2</v>
      </c>
      <c r="W71">
        <f t="shared" si="0"/>
        <v>61</v>
      </c>
    </row>
    <row r="72" spans="3:23" hidden="1" outlineLevel="1" x14ac:dyDescent="0.3">
      <c r="C72" s="170">
        <f t="shared" si="1"/>
        <v>43971</v>
      </c>
      <c r="E72" s="284">
        <v>354370</v>
      </c>
      <c r="F72" s="7"/>
      <c r="G72" s="7">
        <v>150776</v>
      </c>
      <c r="H72" s="7"/>
      <c r="I72" s="7">
        <v>39017</v>
      </c>
      <c r="J72" s="287"/>
      <c r="K72" s="7">
        <f t="shared" si="12"/>
        <v>544163</v>
      </c>
      <c r="L72" s="6"/>
      <c r="M72" s="29">
        <f t="shared" si="13"/>
        <v>6.5331066845963331E-3</v>
      </c>
      <c r="N72" s="29"/>
      <c r="O72" s="29"/>
      <c r="P72" s="29"/>
      <c r="Q72" s="375">
        <f t="shared" si="11"/>
        <v>3532</v>
      </c>
      <c r="R72" s="6"/>
      <c r="S72" s="7">
        <f>28636+10749+3529</f>
        <v>42914</v>
      </c>
      <c r="T72" s="6"/>
      <c r="U72" s="286">
        <f t="shared" si="14"/>
        <v>7.8862399685388385E-2</v>
      </c>
      <c r="W72">
        <f t="shared" si="0"/>
        <v>62</v>
      </c>
    </row>
    <row r="73" spans="3:23" hidden="1" outlineLevel="1" x14ac:dyDescent="0.3">
      <c r="C73" s="170">
        <f t="shared" si="1"/>
        <v>43972</v>
      </c>
      <c r="E73" s="284">
        <v>356458</v>
      </c>
      <c r="F73" s="7"/>
      <c r="G73" s="7">
        <v>151586</v>
      </c>
      <c r="H73" s="7"/>
      <c r="I73" s="7">
        <v>39208</v>
      </c>
      <c r="J73" s="287"/>
      <c r="K73" s="7">
        <f t="shared" si="12"/>
        <v>547252</v>
      </c>
      <c r="L73" s="6"/>
      <c r="M73" s="29">
        <f t="shared" si="13"/>
        <v>5.6766079281391785E-3</v>
      </c>
      <c r="N73" s="29"/>
      <c r="O73" s="29"/>
      <c r="P73" s="29"/>
      <c r="Q73" s="375">
        <f t="shared" si="11"/>
        <v>3089</v>
      </c>
      <c r="R73" s="6"/>
      <c r="S73" s="7">
        <f>28743+10846+3583</f>
        <v>43172</v>
      </c>
      <c r="T73" s="6"/>
      <c r="U73" s="286">
        <f t="shared" si="14"/>
        <v>7.888870209702295E-2</v>
      </c>
      <c r="W73">
        <f t="shared" si="0"/>
        <v>63</v>
      </c>
    </row>
    <row r="74" spans="3:23" hidden="1" outlineLevel="1" x14ac:dyDescent="0.3">
      <c r="C74" s="170">
        <f t="shared" si="1"/>
        <v>43973</v>
      </c>
      <c r="E74" s="284">
        <v>358154</v>
      </c>
      <c r="F74" s="7"/>
      <c r="G74" s="7">
        <v>152579</v>
      </c>
      <c r="H74" s="7"/>
      <c r="I74" s="7">
        <v>39640</v>
      </c>
      <c r="J74" s="287"/>
      <c r="K74" s="7">
        <f t="shared" si="12"/>
        <v>550373</v>
      </c>
      <c r="L74" s="6"/>
      <c r="M74" s="29">
        <f t="shared" si="13"/>
        <v>5.7030399157974752E-3</v>
      </c>
      <c r="N74" s="29"/>
      <c r="O74" s="29"/>
      <c r="P74" s="29"/>
      <c r="Q74" s="375">
        <f t="shared" si="11"/>
        <v>3121</v>
      </c>
      <c r="R74" s="6"/>
      <c r="S74" s="7">
        <f>28853+10985+3637</f>
        <v>43475</v>
      </c>
      <c r="T74" s="6"/>
      <c r="U74" s="286">
        <f t="shared" si="14"/>
        <v>7.899188368615466E-2</v>
      </c>
      <c r="W74">
        <f t="shared" si="0"/>
        <v>64</v>
      </c>
    </row>
    <row r="75" spans="3:23" hidden="1" outlineLevel="1" x14ac:dyDescent="0.3">
      <c r="C75" s="170">
        <f t="shared" si="1"/>
        <v>43974</v>
      </c>
      <c r="E75" s="284">
        <v>359926</v>
      </c>
      <c r="F75" s="7"/>
      <c r="G75" s="7">
        <v>153140</v>
      </c>
      <c r="H75" s="7"/>
      <c r="I75" s="7">
        <v>39640</v>
      </c>
      <c r="J75" s="287"/>
      <c r="K75" s="7">
        <f t="shared" si="12"/>
        <v>552706</v>
      </c>
      <c r="L75" s="6"/>
      <c r="M75" s="29">
        <f t="shared" si="13"/>
        <v>4.2389434074709331E-3</v>
      </c>
      <c r="N75" s="29"/>
      <c r="O75" s="29"/>
      <c r="P75" s="29"/>
      <c r="Q75" s="375">
        <f t="shared" si="11"/>
        <v>2333</v>
      </c>
      <c r="R75" s="6"/>
      <c r="S75" s="7">
        <f>28926+11082+3637</f>
        <v>43645</v>
      </c>
      <c r="T75" s="6"/>
      <c r="U75" s="286">
        <f t="shared" si="14"/>
        <v>7.896603257427999E-2</v>
      </c>
      <c r="W75">
        <f t="shared" si="0"/>
        <v>65</v>
      </c>
    </row>
    <row r="76" spans="3:23" hidden="1" outlineLevel="1" x14ac:dyDescent="0.3">
      <c r="C76" s="170">
        <f t="shared" si="1"/>
        <v>43975</v>
      </c>
      <c r="E76" s="284">
        <v>361515</v>
      </c>
      <c r="F76" s="7"/>
      <c r="G76" s="7">
        <v>154154</v>
      </c>
      <c r="H76" s="7"/>
      <c r="I76" s="7">
        <v>40468</v>
      </c>
      <c r="J76" s="287"/>
      <c r="K76" s="7">
        <f t="shared" si="12"/>
        <v>556137</v>
      </c>
      <c r="L76" s="6"/>
      <c r="M76" s="29">
        <f t="shared" si="13"/>
        <v>6.2076402282587846E-3</v>
      </c>
      <c r="N76" s="29"/>
      <c r="O76" s="29"/>
      <c r="P76" s="29"/>
      <c r="Q76" s="375">
        <f t="shared" si="11"/>
        <v>3431</v>
      </c>
      <c r="R76" s="6"/>
      <c r="S76" s="7">
        <f>29141+11138+3696</f>
        <v>43975</v>
      </c>
      <c r="T76" s="6"/>
      <c r="U76" s="286">
        <f t="shared" si="14"/>
        <v>7.9072242990486152E-2</v>
      </c>
      <c r="W76">
        <f t="shared" si="0"/>
        <v>66</v>
      </c>
    </row>
    <row r="77" spans="3:23" hidden="1" outlineLevel="1" x14ac:dyDescent="0.3">
      <c r="C77" s="170">
        <f t="shared" si="1"/>
        <v>43976</v>
      </c>
      <c r="E77" s="284">
        <v>362764</v>
      </c>
      <c r="F77" s="7"/>
      <c r="G77" s="7">
        <v>155092</v>
      </c>
      <c r="H77" s="7"/>
      <c r="I77" s="7">
        <v>40873</v>
      </c>
      <c r="J77" s="287"/>
      <c r="K77" s="7">
        <f t="shared" si="12"/>
        <v>558729</v>
      </c>
      <c r="L77" s="6"/>
      <c r="M77" s="29">
        <f t="shared" si="13"/>
        <v>4.6607220882624242E-3</v>
      </c>
      <c r="N77" s="29"/>
      <c r="O77" s="29"/>
      <c r="P77" s="29"/>
      <c r="Q77" s="375">
        <f t="shared" si="11"/>
        <v>2592</v>
      </c>
      <c r="R77" s="6"/>
      <c r="S77" s="7">
        <f>29229+11147+3742</f>
        <v>44118</v>
      </c>
      <c r="T77" s="6"/>
      <c r="U77" s="286">
        <f t="shared" si="14"/>
        <v>7.8961356936905008E-2</v>
      </c>
      <c r="W77">
        <f t="shared" si="0"/>
        <v>67</v>
      </c>
    </row>
    <row r="78" spans="3:23" hidden="1" outlineLevel="1" x14ac:dyDescent="0.3">
      <c r="C78" s="170">
        <f t="shared" si="1"/>
        <v>43977</v>
      </c>
      <c r="E78" s="284">
        <v>363836</v>
      </c>
      <c r="F78" s="7"/>
      <c r="G78" s="7">
        <v>155764</v>
      </c>
      <c r="H78" s="7"/>
      <c r="I78" s="7">
        <v>41303</v>
      </c>
      <c r="J78" s="287"/>
      <c r="K78" s="7">
        <f t="shared" si="12"/>
        <v>560903</v>
      </c>
      <c r="L78" s="6"/>
      <c r="M78" s="29">
        <f t="shared" si="13"/>
        <v>3.8909739784403529E-3</v>
      </c>
      <c r="N78" s="29"/>
      <c r="O78" s="29"/>
      <c r="P78" s="29"/>
      <c r="Q78" s="375">
        <f t="shared" si="11"/>
        <v>2174</v>
      </c>
      <c r="R78" s="6"/>
      <c r="S78" s="7">
        <f>29302+11194+3769</f>
        <v>44265</v>
      </c>
      <c r="T78" s="6"/>
      <c r="U78" s="286">
        <f t="shared" si="14"/>
        <v>7.8917388568076827E-2</v>
      </c>
      <c r="W78">
        <f t="shared" si="0"/>
        <v>68</v>
      </c>
    </row>
    <row r="79" spans="3:23" hidden="1" outlineLevel="1" x14ac:dyDescent="0.3">
      <c r="C79" s="170">
        <f t="shared" si="1"/>
        <v>43978</v>
      </c>
      <c r="E79" s="284">
        <v>364965</v>
      </c>
      <c r="F79" s="7"/>
      <c r="G79" s="7">
        <v>156628</v>
      </c>
      <c r="H79" s="7"/>
      <c r="I79" s="7">
        <v>41288</v>
      </c>
      <c r="J79" s="287"/>
      <c r="K79" s="7">
        <f t="shared" si="12"/>
        <v>562881</v>
      </c>
      <c r="L79" s="6"/>
      <c r="M79" s="29">
        <f t="shared" si="13"/>
        <v>3.5264564461234831E-3</v>
      </c>
      <c r="N79" s="29"/>
      <c r="O79" s="29"/>
      <c r="P79" s="29"/>
      <c r="Q79" s="375">
        <f t="shared" si="11"/>
        <v>1978</v>
      </c>
      <c r="R79" s="6"/>
      <c r="S79" s="7">
        <f>29484+11339+3803</f>
        <v>44626</v>
      </c>
      <c r="T79" s="6"/>
      <c r="U79" s="286">
        <f t="shared" si="14"/>
        <v>7.9281411168612897E-2</v>
      </c>
      <c r="W79">
        <f t="shared" si="0"/>
        <v>69</v>
      </c>
    </row>
    <row r="80" spans="3:23" hidden="1" outlineLevel="1" x14ac:dyDescent="0.3">
      <c r="C80" s="170">
        <f t="shared" si="1"/>
        <v>43979</v>
      </c>
      <c r="E80" s="284">
        <v>366733</v>
      </c>
      <c r="F80" s="7"/>
      <c r="G80" s="7">
        <v>157185</v>
      </c>
      <c r="H80" s="7"/>
      <c r="I80" s="7">
        <v>41559</v>
      </c>
      <c r="J80" s="287"/>
      <c r="K80" s="7">
        <f t="shared" si="12"/>
        <v>565477</v>
      </c>
      <c r="L80" s="6"/>
      <c r="M80" s="29">
        <f t="shared" si="13"/>
        <v>4.6119872584080828E-3</v>
      </c>
      <c r="N80" s="29"/>
      <c r="O80" s="29"/>
      <c r="P80" s="29"/>
      <c r="Q80" s="375">
        <f t="shared" si="11"/>
        <v>2596</v>
      </c>
      <c r="R80" s="6"/>
      <c r="S80" s="7">
        <f>29484+11339+3803</f>
        <v>44626</v>
      </c>
      <c r="T80" s="6"/>
      <c r="U80" s="286">
        <f t="shared" si="14"/>
        <v>7.8917444918184115E-2</v>
      </c>
      <c r="W80">
        <f t="shared" si="0"/>
        <v>70</v>
      </c>
    </row>
    <row r="81" spans="3:25" hidden="1" outlineLevel="1" x14ac:dyDescent="0.3">
      <c r="C81" s="170">
        <f t="shared" si="1"/>
        <v>43980</v>
      </c>
      <c r="E81" s="284">
        <v>368284</v>
      </c>
      <c r="F81" s="7"/>
      <c r="G81" s="7">
        <v>158844</v>
      </c>
      <c r="H81" s="7"/>
      <c r="I81" s="7">
        <v>41762</v>
      </c>
      <c r="J81" s="287"/>
      <c r="K81" s="7">
        <f t="shared" si="12"/>
        <v>568890</v>
      </c>
      <c r="L81" s="6"/>
      <c r="M81" s="29">
        <f t="shared" si="13"/>
        <v>6.035612412175915E-3</v>
      </c>
      <c r="N81" s="29"/>
      <c r="O81" s="29"/>
      <c r="P81" s="29"/>
      <c r="Q81" s="375">
        <f t="shared" si="11"/>
        <v>3413</v>
      </c>
      <c r="R81" s="6"/>
      <c r="S81" s="7">
        <f>29646+11531+3868</f>
        <v>45045</v>
      </c>
      <c r="T81" s="6"/>
      <c r="U81" s="286">
        <f t="shared" si="14"/>
        <v>7.9180509413067549E-2</v>
      </c>
      <c r="W81">
        <f t="shared" si="0"/>
        <v>71</v>
      </c>
    </row>
    <row r="82" spans="3:25" hidden="1" outlineLevel="1" x14ac:dyDescent="0.3">
      <c r="C82" s="170">
        <f t="shared" si="1"/>
        <v>43981</v>
      </c>
      <c r="E82" s="284">
        <v>369660</v>
      </c>
      <c r="F82" s="7"/>
      <c r="G82" s="7">
        <v>159608</v>
      </c>
      <c r="H82" s="7"/>
      <c r="I82" s="7">
        <v>42022</v>
      </c>
      <c r="J82" s="287"/>
      <c r="K82" s="7">
        <f t="shared" si="12"/>
        <v>571290</v>
      </c>
      <c r="L82" s="6"/>
      <c r="M82" s="29">
        <f t="shared" si="13"/>
        <v>4.2187417602699995E-3</v>
      </c>
      <c r="N82" s="29"/>
      <c r="O82" s="29"/>
      <c r="P82" s="29"/>
      <c r="Q82" s="375">
        <f t="shared" si="11"/>
        <v>2400</v>
      </c>
      <c r="R82" s="6"/>
      <c r="S82" s="7">
        <f>29646+11531+3868</f>
        <v>45045</v>
      </c>
      <c r="T82" s="6"/>
      <c r="U82" s="286">
        <f t="shared" si="14"/>
        <v>7.8847870608622597E-2</v>
      </c>
      <c r="W82">
        <f t="shared" si="0"/>
        <v>72</v>
      </c>
    </row>
    <row r="83" spans="3:25" hidden="1" outlineLevel="1" x14ac:dyDescent="0.3">
      <c r="C83" s="170">
        <f t="shared" si="1"/>
        <v>43982</v>
      </c>
      <c r="E83" s="284">
        <v>370770</v>
      </c>
      <c r="F83" s="7"/>
      <c r="G83" s="7">
        <v>160445</v>
      </c>
      <c r="H83" s="7"/>
      <c r="I83" s="7">
        <v>42201</v>
      </c>
      <c r="J83" s="287"/>
      <c r="K83" s="7">
        <f t="shared" si="12"/>
        <v>573416</v>
      </c>
      <c r="L83" s="6"/>
      <c r="M83" s="29">
        <f t="shared" si="13"/>
        <v>3.7214024400917221E-3</v>
      </c>
      <c r="N83" s="29"/>
      <c r="O83" s="29"/>
      <c r="P83" s="29"/>
      <c r="Q83" s="375">
        <f t="shared" si="11"/>
        <v>2126</v>
      </c>
      <c r="R83" s="6"/>
      <c r="S83" s="7">
        <f>29784+11698+3944</f>
        <v>45426</v>
      </c>
      <c r="T83" s="6"/>
      <c r="U83" s="286">
        <f t="shared" si="14"/>
        <v>7.9219972934135074E-2</v>
      </c>
      <c r="W83">
        <f t="shared" si="0"/>
        <v>73</v>
      </c>
    </row>
    <row r="84" spans="3:25" hidden="1" outlineLevel="1" x14ac:dyDescent="0.3">
      <c r="C84" s="170">
        <f t="shared" si="1"/>
        <v>43983</v>
      </c>
      <c r="E84" s="284">
        <v>371711</v>
      </c>
      <c r="F84" s="7"/>
      <c r="G84" s="7">
        <v>160918</v>
      </c>
      <c r="H84" s="7"/>
      <c r="I84" s="7">
        <v>42201</v>
      </c>
      <c r="J84" s="287"/>
      <c r="K84" s="7">
        <f t="shared" si="12"/>
        <v>574830</v>
      </c>
      <c r="L84" s="6"/>
      <c r="M84" s="29">
        <f t="shared" si="13"/>
        <v>2.4659235180043808E-3</v>
      </c>
      <c r="N84" s="29"/>
      <c r="O84" s="29"/>
      <c r="P84" s="29"/>
      <c r="Q84" s="375">
        <f t="shared" si="11"/>
        <v>1414</v>
      </c>
      <c r="R84" s="6"/>
      <c r="S84" s="7">
        <f>29833+11723+3971</f>
        <v>45527</v>
      </c>
      <c r="T84" s="6"/>
      <c r="U84" s="286">
        <f t="shared" si="14"/>
        <v>7.9200807195170753E-2</v>
      </c>
      <c r="W84">
        <f t="shared" si="0"/>
        <v>74</v>
      </c>
    </row>
    <row r="85" spans="3:25" hidden="1" outlineLevel="1" x14ac:dyDescent="0.3">
      <c r="C85" s="170">
        <f t="shared" si="1"/>
        <v>43984</v>
      </c>
      <c r="E85" s="284">
        <v>373040</v>
      </c>
      <c r="F85" s="7"/>
      <c r="G85" s="7">
        <v>161545</v>
      </c>
      <c r="H85" s="7"/>
      <c r="I85" s="7">
        <v>42979</v>
      </c>
      <c r="J85" s="287"/>
      <c r="K85" s="7">
        <f t="shared" si="12"/>
        <v>577564</v>
      </c>
      <c r="L85" s="6"/>
      <c r="M85" s="29">
        <f t="shared" si="13"/>
        <v>4.7561887862498479E-3</v>
      </c>
      <c r="N85" s="29"/>
      <c r="O85" s="29"/>
      <c r="P85" s="29"/>
      <c r="Q85" s="375">
        <f t="shared" si="11"/>
        <v>2734</v>
      </c>
      <c r="R85" s="6"/>
      <c r="S85" s="7">
        <f>29968+11771+3972</f>
        <v>45711</v>
      </c>
      <c r="T85" s="6"/>
      <c r="U85" s="286">
        <f t="shared" si="14"/>
        <v>7.9144475763724881E-2</v>
      </c>
      <c r="W85">
        <f t="shared" si="0"/>
        <v>75</v>
      </c>
    </row>
    <row r="86" spans="3:25" hidden="1" outlineLevel="1" x14ac:dyDescent="0.3">
      <c r="C86" s="170">
        <f t="shared" si="1"/>
        <v>43985</v>
      </c>
      <c r="E86" s="284">
        <v>374085</v>
      </c>
      <c r="F86" s="7"/>
      <c r="G86" s="7">
        <v>162068</v>
      </c>
      <c r="H86" s="7"/>
      <c r="I86" s="7">
        <v>43091</v>
      </c>
      <c r="J86" s="287"/>
      <c r="K86" s="7">
        <f t="shared" si="12"/>
        <v>579244</v>
      </c>
      <c r="L86" s="6"/>
      <c r="M86" s="29">
        <f t="shared" si="13"/>
        <v>2.9087685520565688E-3</v>
      </c>
      <c r="N86" s="29"/>
      <c r="O86" s="29"/>
      <c r="P86" s="29"/>
      <c r="Q86" s="375">
        <f t="shared" si="11"/>
        <v>1680</v>
      </c>
      <c r="R86" s="6"/>
      <c r="S86" s="7">
        <f>30019+11880+3989</f>
        <v>45888</v>
      </c>
      <c r="T86" s="6"/>
      <c r="U86" s="286">
        <f t="shared" si="14"/>
        <v>7.9220501205018959E-2</v>
      </c>
      <c r="W86">
        <f t="shared" si="0"/>
        <v>76</v>
      </c>
    </row>
    <row r="87" spans="3:25" hidden="1" outlineLevel="1" x14ac:dyDescent="0.3">
      <c r="C87" s="170">
        <f t="shared" si="1"/>
        <v>43986</v>
      </c>
      <c r="E87" s="284">
        <v>375133</v>
      </c>
      <c r="F87" s="7"/>
      <c r="G87" s="7">
        <v>162530</v>
      </c>
      <c r="H87" s="7"/>
      <c r="I87" s="7">
        <v>43239</v>
      </c>
      <c r="J87" s="287"/>
      <c r="K87" s="7">
        <f t="shared" si="12"/>
        <v>580902</v>
      </c>
      <c r="L87" s="6"/>
      <c r="M87" s="29">
        <f t="shared" si="13"/>
        <v>2.8623516169351774E-3</v>
      </c>
      <c r="N87" s="29"/>
      <c r="O87" s="29"/>
      <c r="P87" s="29"/>
      <c r="Q87" s="375">
        <f t="shared" si="11"/>
        <v>1658</v>
      </c>
      <c r="R87" s="6"/>
      <c r="S87" s="7">
        <f>30090+11970+4007</f>
        <v>46067</v>
      </c>
      <c r="T87" s="6"/>
      <c r="U87" s="286">
        <f t="shared" si="14"/>
        <v>7.9302532957366306E-2</v>
      </c>
      <c r="W87">
        <f t="shared" si="0"/>
        <v>77</v>
      </c>
    </row>
    <row r="88" spans="3:25" hidden="1" outlineLevel="1" x14ac:dyDescent="0.3">
      <c r="C88" s="170">
        <f t="shared" si="1"/>
        <v>43987</v>
      </c>
      <c r="E88" s="284">
        <v>376208</v>
      </c>
      <c r="F88" s="7"/>
      <c r="G88" s="7">
        <v>163336</v>
      </c>
      <c r="H88" s="7"/>
      <c r="I88" s="7">
        <v>43460</v>
      </c>
      <c r="J88" s="287"/>
      <c r="K88" s="7">
        <f t="shared" si="12"/>
        <v>583004</v>
      </c>
      <c r="L88" s="6"/>
      <c r="M88" s="29">
        <f t="shared" si="13"/>
        <v>3.6185105232896426E-3</v>
      </c>
      <c r="N88" s="29"/>
      <c r="O88" s="29"/>
      <c r="P88" s="29"/>
      <c r="Q88" s="375">
        <f t="shared" si="11"/>
        <v>2102</v>
      </c>
      <c r="R88" s="6"/>
      <c r="S88" s="7">
        <f>30236+12049+4038</f>
        <v>46323</v>
      </c>
      <c r="T88" s="6"/>
      <c r="U88" s="286">
        <f t="shared" si="14"/>
        <v>7.9455715569704502E-2</v>
      </c>
      <c r="W88">
        <f t="shared" si="0"/>
        <v>78</v>
      </c>
    </row>
    <row r="89" spans="3:25" hidden="1" outlineLevel="1" x14ac:dyDescent="0.3">
      <c r="C89" s="170">
        <f t="shared" si="1"/>
        <v>43988</v>
      </c>
      <c r="E89" s="284">
        <v>377316</v>
      </c>
      <c r="F89" s="7"/>
      <c r="G89" s="7">
        <v>163893</v>
      </c>
      <c r="H89" s="7"/>
      <c r="I89" s="7">
        <v>43818</v>
      </c>
      <c r="J89" s="287"/>
      <c r="K89" s="7">
        <f t="shared" si="12"/>
        <v>585027</v>
      </c>
      <c r="L89" s="6"/>
      <c r="M89" s="29">
        <f t="shared" si="13"/>
        <v>3.4699590397321458E-3</v>
      </c>
      <c r="N89" s="29"/>
      <c r="O89" s="29"/>
      <c r="P89" s="29"/>
      <c r="Q89" s="375">
        <f t="shared" si="11"/>
        <v>2023</v>
      </c>
      <c r="R89" s="6"/>
      <c r="S89" s="7">
        <f>30280+12106+4055</f>
        <v>46441</v>
      </c>
      <c r="T89" s="6"/>
      <c r="U89" s="286">
        <f t="shared" si="14"/>
        <v>7.9382660971203042E-2</v>
      </c>
      <c r="W89">
        <f t="shared" si="0"/>
        <v>79</v>
      </c>
      <c r="X89" s="56"/>
    </row>
    <row r="90" spans="3:25" hidden="1" outlineLevel="1" x14ac:dyDescent="0.3">
      <c r="C90" s="170">
        <f t="shared" si="1"/>
        <v>43989</v>
      </c>
      <c r="E90" s="284">
        <v>378097</v>
      </c>
      <c r="F90" s="7"/>
      <c r="G90" s="7">
        <v>164164</v>
      </c>
      <c r="H90" s="7"/>
      <c r="I90" s="7">
        <v>43968</v>
      </c>
      <c r="J90" s="287"/>
      <c r="K90" s="7">
        <f t="shared" si="12"/>
        <v>586229</v>
      </c>
      <c r="L90" s="6"/>
      <c r="M90" s="29">
        <f t="shared" si="13"/>
        <v>2.0546060267303901E-3</v>
      </c>
      <c r="N90" s="29"/>
      <c r="O90" s="29"/>
      <c r="P90" s="29"/>
      <c r="Q90" s="375">
        <f t="shared" si="11"/>
        <v>1202</v>
      </c>
      <c r="R90" s="6"/>
      <c r="S90" s="7">
        <f>30374+12176+4071</f>
        <v>46621</v>
      </c>
      <c r="T90" s="6"/>
      <c r="U90" s="286">
        <f t="shared" si="14"/>
        <v>7.9526942542931175E-2</v>
      </c>
      <c r="W90">
        <f t="shared" si="0"/>
        <v>80</v>
      </c>
    </row>
    <row r="91" spans="3:25" hidden="1" outlineLevel="1" x14ac:dyDescent="0.3">
      <c r="C91" s="170">
        <f t="shared" si="1"/>
        <v>43990</v>
      </c>
      <c r="E91" s="284">
        <v>378799</v>
      </c>
      <c r="F91" s="7"/>
      <c r="G91" s="7">
        <v>164497</v>
      </c>
      <c r="H91" s="7"/>
      <c r="I91" s="7">
        <v>44093</v>
      </c>
      <c r="J91" s="287"/>
      <c r="K91" s="7">
        <f t="shared" si="12"/>
        <v>587389</v>
      </c>
      <c r="L91" s="6"/>
      <c r="M91" s="29">
        <f t="shared" si="13"/>
        <v>1.978748918937821E-3</v>
      </c>
      <c r="N91" s="29"/>
      <c r="O91" s="29"/>
      <c r="P91" s="29"/>
      <c r="Q91" s="375">
        <f t="shared" si="11"/>
        <v>1160</v>
      </c>
      <c r="R91" s="6"/>
      <c r="S91" s="7">
        <f>30417+12214+4084</f>
        <v>46715</v>
      </c>
      <c r="T91" s="6"/>
      <c r="U91" s="286">
        <f t="shared" si="14"/>
        <v>7.952991969546587E-2</v>
      </c>
      <c r="W91">
        <f t="shared" si="0"/>
        <v>81</v>
      </c>
    </row>
    <row r="92" spans="3:25" hidden="1" outlineLevel="1" x14ac:dyDescent="0.3">
      <c r="C92" s="170">
        <f t="shared" si="1"/>
        <v>43991</v>
      </c>
      <c r="E92" s="284">
        <v>379482</v>
      </c>
      <c r="F92" s="7"/>
      <c r="G92" s="7">
        <v>164796</v>
      </c>
      <c r="H92" s="7"/>
      <c r="I92" s="7">
        <v>44179</v>
      </c>
      <c r="J92" s="287"/>
      <c r="K92" s="7">
        <f t="shared" si="12"/>
        <v>588457</v>
      </c>
      <c r="L92" s="6"/>
      <c r="M92" s="474">
        <f t="shared" si="13"/>
        <v>1.8182158671680947E-3</v>
      </c>
      <c r="N92" s="29"/>
      <c r="O92" s="29"/>
      <c r="P92" s="29"/>
      <c r="Q92" s="375">
        <f t="shared" si="11"/>
        <v>1068</v>
      </c>
      <c r="R92" s="6"/>
      <c r="S92" s="7">
        <f>30458+12303+4097</f>
        <v>46858</v>
      </c>
      <c r="T92" s="6"/>
      <c r="U92" s="286">
        <f t="shared" si="14"/>
        <v>7.9628587985188376E-2</v>
      </c>
      <c r="W92">
        <f t="shared" si="0"/>
        <v>82</v>
      </c>
    </row>
    <row r="93" spans="3:25" hidden="1" outlineLevel="1" x14ac:dyDescent="0.3">
      <c r="C93" s="170">
        <f t="shared" si="1"/>
        <v>43992</v>
      </c>
      <c r="E93" s="284">
        <v>380156</v>
      </c>
      <c r="F93" s="7"/>
      <c r="G93" s="7">
        <v>165346</v>
      </c>
      <c r="H93" s="7"/>
      <c r="I93" s="7">
        <v>44347</v>
      </c>
      <c r="J93" s="287"/>
      <c r="K93" s="7">
        <f t="shared" si="12"/>
        <v>589849</v>
      </c>
      <c r="L93" s="6"/>
      <c r="M93" s="474">
        <f t="shared" si="13"/>
        <v>2.3655084398690133E-3</v>
      </c>
      <c r="N93" s="29"/>
      <c r="O93" s="29"/>
      <c r="P93" s="29"/>
      <c r="Q93" s="375">
        <f t="shared" si="11"/>
        <v>1392</v>
      </c>
      <c r="R93" s="6"/>
      <c r="S93" s="7">
        <f>30458+12303+4097</f>
        <v>46858</v>
      </c>
      <c r="T93" s="6"/>
      <c r="U93" s="286">
        <f t="shared" si="14"/>
        <v>7.9440670408867348E-2</v>
      </c>
      <c r="W93">
        <f t="shared" si="0"/>
        <v>83</v>
      </c>
    </row>
    <row r="94" spans="3:25" hidden="1" outlineLevel="1" x14ac:dyDescent="0.3">
      <c r="C94" s="170">
        <f t="shared" si="1"/>
        <v>43993</v>
      </c>
      <c r="E94" s="284">
        <v>380892</v>
      </c>
      <c r="F94" s="7"/>
      <c r="G94" s="7">
        <v>165816</v>
      </c>
      <c r="H94" s="7"/>
      <c r="I94" s="7">
        <v>44461</v>
      </c>
      <c r="J94" s="287"/>
      <c r="K94" s="7">
        <f t="shared" si="12"/>
        <v>591169</v>
      </c>
      <c r="L94" s="6"/>
      <c r="M94" s="474">
        <f t="shared" si="13"/>
        <v>2.237860876258161E-3</v>
      </c>
      <c r="N94" s="29"/>
      <c r="O94" s="29"/>
      <c r="P94" s="29"/>
      <c r="Q94" s="375">
        <f t="shared" si="11"/>
        <v>1320</v>
      </c>
      <c r="R94" s="6"/>
      <c r="S94" s="7">
        <f>30575+12443+4148</f>
        <v>47166</v>
      </c>
      <c r="T94" s="6"/>
      <c r="U94" s="286">
        <f t="shared" si="14"/>
        <v>7.9784291801498389E-2</v>
      </c>
      <c r="W94">
        <f t="shared" si="0"/>
        <v>84</v>
      </c>
    </row>
    <row r="95" spans="3:25" hidden="1" outlineLevel="1" x14ac:dyDescent="0.3">
      <c r="C95" s="170">
        <f t="shared" si="1"/>
        <v>43994</v>
      </c>
      <c r="E95" s="284">
        <v>381714</v>
      </c>
      <c r="F95" s="7"/>
      <c r="G95" s="7">
        <v>166164</v>
      </c>
      <c r="H95" s="7"/>
      <c r="I95" s="7">
        <v>44689</v>
      </c>
      <c r="J95" s="287"/>
      <c r="K95" s="7">
        <f t="shared" si="12"/>
        <v>592567</v>
      </c>
      <c r="L95" s="6"/>
      <c r="M95" s="474">
        <f t="shared" si="13"/>
        <v>2.3648060030211325E-3</v>
      </c>
      <c r="N95" s="29"/>
      <c r="O95" s="29"/>
      <c r="P95" s="29"/>
      <c r="Q95" s="375">
        <f t="shared" si="11"/>
        <v>1398</v>
      </c>
      <c r="R95" s="6"/>
      <c r="S95" s="7">
        <f>30758+12489+4159</f>
        <v>47406</v>
      </c>
      <c r="T95" s="6"/>
      <c r="U95" s="286">
        <f t="shared" si="14"/>
        <v>8.000108004664451E-2</v>
      </c>
      <c r="W95">
        <f t="shared" si="0"/>
        <v>85</v>
      </c>
    </row>
    <row r="96" spans="3:25" hidden="1" outlineLevel="1" x14ac:dyDescent="0.3">
      <c r="C96" s="170">
        <f t="shared" si="1"/>
        <v>43995</v>
      </c>
      <c r="E96" s="284">
        <v>382630</v>
      </c>
      <c r="F96" s="7"/>
      <c r="G96" s="7">
        <v>166605</v>
      </c>
      <c r="H96" s="7"/>
      <c r="I96" s="7">
        <v>44994</v>
      </c>
      <c r="J96" s="287"/>
      <c r="K96" s="7">
        <f t="shared" si="12"/>
        <v>594229</v>
      </c>
      <c r="L96" s="6"/>
      <c r="M96" s="474">
        <f t="shared" si="13"/>
        <v>2.804746129973488E-3</v>
      </c>
      <c r="N96" s="29"/>
      <c r="O96" s="29"/>
      <c r="P96" s="29"/>
      <c r="Q96" s="375">
        <f t="shared" si="11"/>
        <v>1662</v>
      </c>
      <c r="R96" s="6"/>
      <c r="S96" s="7">
        <f>30795+12621+4186</f>
        <v>47602</v>
      </c>
      <c r="T96" s="6"/>
      <c r="U96" s="286">
        <f t="shared" si="14"/>
        <v>8.010716407310986E-2</v>
      </c>
      <c r="W96">
        <f t="shared" si="0"/>
        <v>86</v>
      </c>
      <c r="Y96" s="56"/>
    </row>
    <row r="97" spans="3:25" hidden="1" outlineLevel="1" x14ac:dyDescent="0.3">
      <c r="C97" s="170">
        <f t="shared" si="1"/>
        <v>43996</v>
      </c>
      <c r="E97" s="284">
        <v>383324</v>
      </c>
      <c r="F97" s="7"/>
      <c r="G97" s="7">
        <v>166881</v>
      </c>
      <c r="H97" s="7"/>
      <c r="I97" s="7">
        <v>45088</v>
      </c>
      <c r="J97" s="287"/>
      <c r="K97" s="7">
        <f t="shared" si="12"/>
        <v>595293</v>
      </c>
      <c r="L97" s="6"/>
      <c r="M97" s="474">
        <f t="shared" si="13"/>
        <v>1.7905554929160308E-3</v>
      </c>
      <c r="N97" s="29"/>
      <c r="O97" s="29"/>
      <c r="P97" s="29"/>
      <c r="Q97" s="375">
        <f t="shared" si="11"/>
        <v>1064</v>
      </c>
      <c r="R97" s="6"/>
      <c r="S97" s="7">
        <f>30825+12659+4201</f>
        <v>47685</v>
      </c>
      <c r="T97" s="6"/>
      <c r="U97" s="286">
        <f t="shared" si="14"/>
        <v>8.010341126134525E-2</v>
      </c>
      <c r="W97">
        <f t="shared" si="0"/>
        <v>87</v>
      </c>
      <c r="Y97" s="56"/>
    </row>
    <row r="98" spans="3:25" hidden="1" outlineLevel="1" x14ac:dyDescent="0.3">
      <c r="C98" s="170">
        <f t="shared" ref="C98:C272" si="15">+C97+1</f>
        <v>43997</v>
      </c>
      <c r="E98" s="284">
        <v>383944</v>
      </c>
      <c r="F98" s="7"/>
      <c r="G98" s="7">
        <v>167106</v>
      </c>
      <c r="H98" s="7"/>
      <c r="I98" s="7">
        <v>45235</v>
      </c>
      <c r="J98" s="287"/>
      <c r="K98" s="7">
        <f t="shared" ref="K98:K109" si="16">SUM(E98:I98)</f>
        <v>596285</v>
      </c>
      <c r="L98" s="6"/>
      <c r="M98" s="474">
        <f t="shared" ref="M98:M109" si="17">+(K98-K97)/K97</f>
        <v>1.6664062906837473E-3</v>
      </c>
      <c r="N98" s="29"/>
      <c r="O98" s="29"/>
      <c r="P98" s="29"/>
      <c r="Q98" s="375">
        <f t="shared" ref="Q98:Q109" si="18">+K98-K97</f>
        <v>992</v>
      </c>
      <c r="R98" s="6"/>
      <c r="S98" s="7">
        <f>30856+12708+4204</f>
        <v>47768</v>
      </c>
      <c r="T98" s="6"/>
      <c r="U98" s="286">
        <f t="shared" ref="U98:U109" si="19">+S98/K98</f>
        <v>8.0109343686324497E-2</v>
      </c>
      <c r="W98">
        <f t="shared" ref="W98:W272" si="20">+W97+1</f>
        <v>88</v>
      </c>
      <c r="Y98" s="56"/>
    </row>
    <row r="99" spans="3:25" hidden="1" outlineLevel="1" x14ac:dyDescent="0.3">
      <c r="C99" s="170">
        <f t="shared" si="15"/>
        <v>43998</v>
      </c>
      <c r="E99" s="284">
        <v>384475</v>
      </c>
      <c r="F99" s="7"/>
      <c r="G99" s="7">
        <v>167426</v>
      </c>
      <c r="H99" s="7"/>
      <c r="I99" s="7">
        <v>45349</v>
      </c>
      <c r="J99" s="287"/>
      <c r="K99" s="7">
        <f t="shared" si="16"/>
        <v>597250</v>
      </c>
      <c r="L99" s="6"/>
      <c r="M99" s="474">
        <f t="shared" si="17"/>
        <v>1.6183536396186388E-3</v>
      </c>
      <c r="N99" s="29"/>
      <c r="O99" s="29"/>
      <c r="P99" s="29"/>
      <c r="Q99" s="375">
        <f t="shared" si="18"/>
        <v>965</v>
      </c>
      <c r="R99" s="6"/>
      <c r="S99" s="7">
        <f>30882+12792+4210</f>
        <v>47884</v>
      </c>
      <c r="T99" s="6"/>
      <c r="U99" s="286">
        <f t="shared" si="19"/>
        <v>8.017413143574717E-2</v>
      </c>
      <c r="W99">
        <f t="shared" si="20"/>
        <v>89</v>
      </c>
      <c r="Y99" s="56"/>
    </row>
    <row r="100" spans="3:25" hidden="1" outlineLevel="1" x14ac:dyDescent="0.3">
      <c r="C100" s="170">
        <f t="shared" si="15"/>
        <v>43999</v>
      </c>
      <c r="E100" s="284">
        <v>385042</v>
      </c>
      <c r="F100" s="7"/>
      <c r="G100" s="7">
        <v>167703</v>
      </c>
      <c r="H100" s="7"/>
      <c r="I100" s="7">
        <v>45429</v>
      </c>
      <c r="J100" s="287"/>
      <c r="K100" s="7">
        <f t="shared" si="16"/>
        <v>598174</v>
      </c>
      <c r="L100" s="6"/>
      <c r="M100" s="474">
        <f t="shared" si="17"/>
        <v>1.5470908329845124E-3</v>
      </c>
      <c r="N100" s="29"/>
      <c r="O100" s="29"/>
      <c r="P100" s="29"/>
      <c r="Q100" s="375">
        <f t="shared" si="18"/>
        <v>924</v>
      </c>
      <c r="R100" s="6"/>
      <c r="S100" s="7">
        <f>30939+12835+4219</f>
        <v>47993</v>
      </c>
      <c r="T100" s="6"/>
      <c r="U100" s="286">
        <f t="shared" si="19"/>
        <v>8.0232507598123629E-2</v>
      </c>
      <c r="W100">
        <f t="shared" si="20"/>
        <v>90</v>
      </c>
      <c r="Y100" s="56"/>
    </row>
    <row r="101" spans="3:25" hidden="1" outlineLevel="1" x14ac:dyDescent="0.3">
      <c r="C101" s="170">
        <f t="shared" si="15"/>
        <v>44000</v>
      </c>
      <c r="E101" s="284">
        <v>385560</v>
      </c>
      <c r="F101" s="7"/>
      <c r="G101" s="7">
        <v>168067</v>
      </c>
      <c r="H101" s="7"/>
      <c r="I101" s="7">
        <v>45440</v>
      </c>
      <c r="J101" s="287"/>
      <c r="K101" s="7">
        <f t="shared" si="16"/>
        <v>599067</v>
      </c>
      <c r="L101" s="6"/>
      <c r="M101" s="474">
        <f t="shared" si="17"/>
        <v>1.4928766546188901E-3</v>
      </c>
      <c r="N101" s="29"/>
      <c r="O101" s="29"/>
      <c r="P101" s="29"/>
      <c r="Q101" s="375">
        <f t="shared" si="18"/>
        <v>893</v>
      </c>
      <c r="R101" s="6"/>
      <c r="S101" s="7">
        <f>30974+12869+4226</f>
        <v>48069</v>
      </c>
      <c r="T101" s="6"/>
      <c r="U101" s="286">
        <f t="shared" si="19"/>
        <v>8.0239772846776733E-2</v>
      </c>
      <c r="W101">
        <f t="shared" si="20"/>
        <v>91</v>
      </c>
      <c r="Y101" s="56"/>
    </row>
    <row r="102" spans="3:25" hidden="1" outlineLevel="1" x14ac:dyDescent="0.3">
      <c r="C102" s="170">
        <f t="shared" si="15"/>
        <v>44001</v>
      </c>
      <c r="E102" s="284">
        <v>386556</v>
      </c>
      <c r="F102" s="7"/>
      <c r="G102" s="7">
        <v>168496</v>
      </c>
      <c r="H102" s="7"/>
      <c r="I102" s="7">
        <v>45557</v>
      </c>
      <c r="J102" s="287"/>
      <c r="K102" s="7">
        <f t="shared" si="16"/>
        <v>600609</v>
      </c>
      <c r="L102" s="6"/>
      <c r="M102" s="474">
        <f t="shared" si="17"/>
        <v>2.5740025740025739E-3</v>
      </c>
      <c r="N102" s="29"/>
      <c r="O102" s="29"/>
      <c r="P102" s="29"/>
      <c r="Q102" s="375">
        <f t="shared" si="18"/>
        <v>1542</v>
      </c>
      <c r="R102" s="6"/>
      <c r="S102" s="7">
        <f>31015+12902+4238</f>
        <v>48155</v>
      </c>
      <c r="T102" s="6"/>
      <c r="U102" s="286">
        <f t="shared" si="19"/>
        <v>8.0176953725302147E-2</v>
      </c>
      <c r="W102">
        <f t="shared" si="20"/>
        <v>92</v>
      </c>
      <c r="Y102" s="56"/>
    </row>
    <row r="103" spans="3:25" hidden="1" outlineLevel="1" x14ac:dyDescent="0.3">
      <c r="C103" s="170">
        <f t="shared" si="15"/>
        <v>44002</v>
      </c>
      <c r="E103" s="284">
        <v>387272</v>
      </c>
      <c r="F103" s="7"/>
      <c r="G103" s="7">
        <v>168834</v>
      </c>
      <c r="H103" s="7"/>
      <c r="I103" s="7">
        <v>45715</v>
      </c>
      <c r="J103" s="287"/>
      <c r="K103" s="7">
        <f t="shared" si="16"/>
        <v>601821</v>
      </c>
      <c r="L103" s="6"/>
      <c r="M103" s="474">
        <f t="shared" si="17"/>
        <v>2.0179517789443713E-3</v>
      </c>
      <c r="N103" s="29"/>
      <c r="O103" s="29"/>
      <c r="P103" s="29"/>
      <c r="Q103" s="375">
        <f t="shared" si="18"/>
        <v>1212</v>
      </c>
      <c r="R103" s="6"/>
      <c r="S103" s="7">
        <f>31083+12924+4251</f>
        <v>48258</v>
      </c>
      <c r="T103" s="6"/>
      <c r="U103" s="286">
        <f t="shared" si="19"/>
        <v>8.0186633567123786E-2</v>
      </c>
      <c r="W103">
        <f t="shared" si="20"/>
        <v>93</v>
      </c>
      <c r="Y103" s="56"/>
    </row>
    <row r="104" spans="3:25" hidden="1" outlineLevel="1" x14ac:dyDescent="0.3">
      <c r="C104" s="170">
        <f t="shared" si="15"/>
        <v>44003</v>
      </c>
      <c r="E104" s="284">
        <v>387936</v>
      </c>
      <c r="F104" s="7"/>
      <c r="G104" s="7">
        <v>169142</v>
      </c>
      <c r="H104" s="7"/>
      <c r="I104" s="7">
        <v>45755</v>
      </c>
      <c r="J104" s="287"/>
      <c r="K104" s="7">
        <f t="shared" si="16"/>
        <v>602833</v>
      </c>
      <c r="L104" s="6"/>
      <c r="M104" s="474">
        <f t="shared" si="17"/>
        <v>1.6815631225896072E-3</v>
      </c>
      <c r="N104" s="29"/>
      <c r="O104" s="29"/>
      <c r="P104" s="29"/>
      <c r="Q104" s="375">
        <f t="shared" si="18"/>
        <v>1012</v>
      </c>
      <c r="R104" s="6"/>
      <c r="S104" s="7">
        <f>31083+12924+4251</f>
        <v>48258</v>
      </c>
      <c r="T104" s="6"/>
      <c r="U104" s="286">
        <f t="shared" si="19"/>
        <v>8.0052021040653051E-2</v>
      </c>
      <c r="W104">
        <f t="shared" si="20"/>
        <v>94</v>
      </c>
      <c r="Y104" s="56"/>
    </row>
    <row r="105" spans="3:25" hidden="1" outlineLevel="1" x14ac:dyDescent="0.3">
      <c r="C105" s="170">
        <f t="shared" si="15"/>
        <v>44004</v>
      </c>
      <c r="E105" s="284">
        <v>388488</v>
      </c>
      <c r="F105" s="7"/>
      <c r="G105" s="7">
        <v>169415</v>
      </c>
      <c r="H105" s="7"/>
      <c r="I105" s="7">
        <v>45782</v>
      </c>
      <c r="J105" s="287"/>
      <c r="K105" s="7">
        <f t="shared" si="16"/>
        <v>603685</v>
      </c>
      <c r="L105" s="6"/>
      <c r="M105" s="474">
        <f t="shared" si="17"/>
        <v>1.4133267422320941E-3</v>
      </c>
      <c r="N105" s="29"/>
      <c r="O105" s="29"/>
      <c r="P105" s="29"/>
      <c r="Q105" s="375">
        <f t="shared" si="18"/>
        <v>852</v>
      </c>
      <c r="R105" s="6"/>
      <c r="S105" s="7">
        <f>31125+12939+4260</f>
        <v>48324</v>
      </c>
      <c r="T105" s="6"/>
      <c r="U105" s="286">
        <f t="shared" si="19"/>
        <v>8.0048369596726773E-2</v>
      </c>
      <c r="W105">
        <f t="shared" si="20"/>
        <v>95</v>
      </c>
      <c r="Y105" s="56"/>
    </row>
    <row r="106" spans="3:25" hidden="1" outlineLevel="1" x14ac:dyDescent="0.3">
      <c r="C106" s="170">
        <f t="shared" si="15"/>
        <v>44005</v>
      </c>
      <c r="E106" s="284">
        <v>389085</v>
      </c>
      <c r="F106" s="7"/>
      <c r="G106" s="7">
        <v>169734</v>
      </c>
      <c r="H106" s="7"/>
      <c r="I106" s="7">
        <v>45899</v>
      </c>
      <c r="J106" s="287"/>
      <c r="K106" s="7">
        <f t="shared" si="16"/>
        <v>604718</v>
      </c>
      <c r="L106" s="6"/>
      <c r="M106" s="474">
        <f t="shared" si="17"/>
        <v>1.7111573088614096E-3</v>
      </c>
      <c r="N106" s="29"/>
      <c r="O106" s="29"/>
      <c r="P106" s="29"/>
      <c r="Q106" s="375">
        <f t="shared" si="18"/>
        <v>1033</v>
      </c>
      <c r="R106" s="6"/>
      <c r="S106" s="7">
        <f>31232+13025+4277</f>
        <v>48534</v>
      </c>
      <c r="T106" s="6"/>
      <c r="U106" s="286">
        <f t="shared" si="19"/>
        <v>8.025889753571086E-2</v>
      </c>
      <c r="W106">
        <f t="shared" si="20"/>
        <v>96</v>
      </c>
      <c r="Y106" s="56"/>
    </row>
    <row r="107" spans="3:25" hidden="1" outlineLevel="1" x14ac:dyDescent="0.3">
      <c r="C107" s="170">
        <f t="shared" si="15"/>
        <v>44006</v>
      </c>
      <c r="E107" s="284">
        <v>389666</v>
      </c>
      <c r="F107" s="7"/>
      <c r="G107" s="7">
        <v>169892</v>
      </c>
      <c r="H107" s="7"/>
      <c r="I107" s="7">
        <v>45913</v>
      </c>
      <c r="J107" s="287"/>
      <c r="K107" s="7">
        <f t="shared" si="16"/>
        <v>605471</v>
      </c>
      <c r="L107" s="6"/>
      <c r="M107" s="474">
        <f t="shared" si="17"/>
        <v>1.2452085104131183E-3</v>
      </c>
      <c r="N107" s="29"/>
      <c r="O107" s="29"/>
      <c r="P107" s="29"/>
      <c r="Q107" s="375">
        <f t="shared" si="18"/>
        <v>753</v>
      </c>
      <c r="R107" s="6"/>
      <c r="S107" s="7">
        <f>31257+13076+4287</f>
        <v>48620</v>
      </c>
      <c r="T107" s="6"/>
      <c r="U107" s="286">
        <f t="shared" si="19"/>
        <v>8.0301120945511839E-2</v>
      </c>
      <c r="W107">
        <f t="shared" si="20"/>
        <v>97</v>
      </c>
      <c r="Y107" s="56"/>
    </row>
    <row r="108" spans="3:25" hidden="1" outlineLevel="1" x14ac:dyDescent="0.3">
      <c r="C108" s="170">
        <f t="shared" si="15"/>
        <v>44007</v>
      </c>
      <c r="E108" s="284">
        <v>390415</v>
      </c>
      <c r="F108" s="7"/>
      <c r="G108" s="7">
        <v>170186</v>
      </c>
      <c r="H108" s="7"/>
      <c r="I108" s="7">
        <v>45994</v>
      </c>
      <c r="J108" s="287"/>
      <c r="K108" s="7">
        <f t="shared" si="16"/>
        <v>606595</v>
      </c>
      <c r="L108" s="6"/>
      <c r="M108" s="474">
        <f t="shared" si="17"/>
        <v>1.8564060045815573E-3</v>
      </c>
      <c r="N108" s="29"/>
      <c r="O108" s="29"/>
      <c r="P108" s="29"/>
      <c r="Q108" s="375">
        <f t="shared" si="18"/>
        <v>1124</v>
      </c>
      <c r="R108" s="6"/>
      <c r="S108" s="7">
        <f>31301+14872+4208</f>
        <v>50381</v>
      </c>
      <c r="T108" s="6"/>
      <c r="U108" s="286">
        <f t="shared" si="19"/>
        <v>8.30554158870416E-2</v>
      </c>
      <c r="W108">
        <f t="shared" si="20"/>
        <v>98</v>
      </c>
      <c r="Y108" s="56"/>
    </row>
    <row r="109" spans="3:25" hidden="1" outlineLevel="1" x14ac:dyDescent="0.3">
      <c r="C109" s="170">
        <f t="shared" si="15"/>
        <v>44008</v>
      </c>
      <c r="E109" s="284">
        <v>391220</v>
      </c>
      <c r="F109" s="7"/>
      <c r="G109" s="7">
        <v>170584</v>
      </c>
      <c r="H109" s="7"/>
      <c r="I109" s="7">
        <v>46059</v>
      </c>
      <c r="J109" s="287"/>
      <c r="K109" s="7">
        <f t="shared" si="16"/>
        <v>607863</v>
      </c>
      <c r="L109" s="6"/>
      <c r="M109" s="474">
        <f t="shared" si="17"/>
        <v>2.0903568278670282E-3</v>
      </c>
      <c r="N109" s="29"/>
      <c r="O109" s="29"/>
      <c r="P109" s="29"/>
      <c r="Q109" s="375">
        <f t="shared" si="18"/>
        <v>1268</v>
      </c>
      <c r="R109" s="6"/>
      <c r="S109" s="7">
        <f>31342+14915+4307</f>
        <v>50564</v>
      </c>
      <c r="T109" s="6"/>
      <c r="U109" s="286">
        <f t="shared" si="19"/>
        <v>8.3183217270996923E-2</v>
      </c>
      <c r="W109">
        <f t="shared" si="20"/>
        <v>99</v>
      </c>
      <c r="Y109" s="56"/>
    </row>
    <row r="110" spans="3:25" hidden="1" outlineLevel="1" x14ac:dyDescent="0.3">
      <c r="C110" s="170">
        <f t="shared" si="15"/>
        <v>44009</v>
      </c>
      <c r="E110" s="284">
        <v>391323</v>
      </c>
      <c r="F110" s="7"/>
      <c r="G110" s="7">
        <v>170873</v>
      </c>
      <c r="H110" s="7"/>
      <c r="I110" s="7">
        <v>46206</v>
      </c>
      <c r="J110" s="287"/>
      <c r="K110" s="7">
        <f t="shared" ref="K110:K127" si="21">SUM(E110:I110)</f>
        <v>608402</v>
      </c>
      <c r="L110" s="6"/>
      <c r="M110" s="474">
        <f t="shared" ref="M110:M127" si="22">+(K110-K109)/K109</f>
        <v>8.8671295999262988E-4</v>
      </c>
      <c r="N110" s="29"/>
      <c r="O110" s="29"/>
      <c r="P110" s="29"/>
      <c r="Q110" s="375">
        <f t="shared" ref="Q110:Q127" si="23">+K110-K109</f>
        <v>539</v>
      </c>
      <c r="R110" s="6"/>
      <c r="S110" s="7">
        <f>31368+14984+4311</f>
        <v>50663</v>
      </c>
      <c r="T110" s="6"/>
      <c r="U110" s="286">
        <f t="shared" ref="U110:U127" si="24">+S110/K110</f>
        <v>8.3272244338447279E-2</v>
      </c>
      <c r="W110">
        <f t="shared" si="20"/>
        <v>100</v>
      </c>
      <c r="Y110" s="56"/>
    </row>
    <row r="111" spans="3:25" hidden="1" outlineLevel="1" x14ac:dyDescent="0.3">
      <c r="C111" s="170">
        <f t="shared" si="15"/>
        <v>44010</v>
      </c>
      <c r="E111" s="284">
        <v>392539</v>
      </c>
      <c r="F111" s="7"/>
      <c r="G111" s="7">
        <v>171182</v>
      </c>
      <c r="H111" s="7"/>
      <c r="I111" s="7">
        <v>46303</v>
      </c>
      <c r="J111" s="287"/>
      <c r="K111" s="7">
        <f t="shared" si="21"/>
        <v>610024</v>
      </c>
      <c r="L111" s="6"/>
      <c r="M111" s="481">
        <f t="shared" si="22"/>
        <v>2.6660004404982234E-3</v>
      </c>
      <c r="N111" s="29"/>
      <c r="O111" s="29"/>
      <c r="P111" s="29"/>
      <c r="Q111" s="375">
        <f t="shared" si="23"/>
        <v>1622</v>
      </c>
      <c r="R111" s="6"/>
      <c r="S111" s="7">
        <f>31397+14975+4316</f>
        <v>50688</v>
      </c>
      <c r="T111" s="6"/>
      <c r="U111" s="286">
        <f t="shared" si="24"/>
        <v>8.3091812781136476E-2</v>
      </c>
      <c r="W111">
        <f t="shared" si="20"/>
        <v>101</v>
      </c>
      <c r="Y111" s="56"/>
    </row>
    <row r="112" spans="3:25" hidden="1" outlineLevel="1" x14ac:dyDescent="0.3">
      <c r="C112" s="170">
        <f t="shared" si="15"/>
        <v>44011</v>
      </c>
      <c r="E112" s="284">
        <v>393069</v>
      </c>
      <c r="F112" s="7"/>
      <c r="G112" s="7">
        <v>171272</v>
      </c>
      <c r="H112" s="7"/>
      <c r="I112" s="7">
        <v>46362</v>
      </c>
      <c r="J112" s="287"/>
      <c r="K112" s="7">
        <f t="shared" si="21"/>
        <v>610703</v>
      </c>
      <c r="L112" s="6"/>
      <c r="M112" s="481">
        <f t="shared" si="22"/>
        <v>1.1130709611425124E-3</v>
      </c>
      <c r="N112" s="29"/>
      <c r="O112" s="29"/>
      <c r="P112" s="29"/>
      <c r="Q112" s="375">
        <f t="shared" si="23"/>
        <v>679</v>
      </c>
      <c r="R112" s="6"/>
      <c r="S112" s="7">
        <f>31403+14992+4320</f>
        <v>50715</v>
      </c>
      <c r="T112" s="6"/>
      <c r="U112" s="286">
        <f t="shared" si="24"/>
        <v>8.3043639870771888E-2</v>
      </c>
      <c r="W112">
        <f t="shared" si="20"/>
        <v>102</v>
      </c>
      <c r="Y112" s="56"/>
    </row>
    <row r="113" spans="3:25" hidden="1" outlineLevel="1" x14ac:dyDescent="0.3">
      <c r="C113" s="170">
        <f t="shared" si="15"/>
        <v>44012</v>
      </c>
      <c r="E113" s="284">
        <v>393254</v>
      </c>
      <c r="F113" s="7"/>
      <c r="G113" s="7">
        <v>171617</v>
      </c>
      <c r="H113" s="7"/>
      <c r="I113" s="7">
        <v>46474</v>
      </c>
      <c r="J113" s="287"/>
      <c r="K113" s="7">
        <f t="shared" si="21"/>
        <v>611345</v>
      </c>
      <c r="L113" s="6"/>
      <c r="M113" s="481">
        <f t="shared" si="22"/>
        <v>1.0512474967373667E-3</v>
      </c>
      <c r="N113" s="29"/>
      <c r="O113" s="29"/>
      <c r="P113" s="29"/>
      <c r="Q113" s="375">
        <f t="shared" si="23"/>
        <v>642</v>
      </c>
      <c r="R113" s="6"/>
      <c r="S113" s="7">
        <f>32032+15035+4322</f>
        <v>51389</v>
      </c>
      <c r="T113" s="6"/>
      <c r="U113" s="286">
        <f t="shared" si="24"/>
        <v>8.4058919268170995E-2</v>
      </c>
      <c r="W113">
        <f t="shared" si="20"/>
        <v>103</v>
      </c>
      <c r="Y113" s="56"/>
    </row>
    <row r="114" spans="3:25" hidden="1" outlineLevel="1" x14ac:dyDescent="0.3">
      <c r="C114" s="170">
        <f t="shared" si="15"/>
        <v>44013</v>
      </c>
      <c r="E114" s="284">
        <v>394079</v>
      </c>
      <c r="F114" s="7"/>
      <c r="G114" s="7">
        <v>171928</v>
      </c>
      <c r="H114" s="7"/>
      <c r="I114" s="7">
        <v>46572</v>
      </c>
      <c r="J114" s="287"/>
      <c r="K114" s="7">
        <f t="shared" si="21"/>
        <v>612579</v>
      </c>
      <c r="L114" s="6"/>
      <c r="M114" s="481">
        <f t="shared" si="22"/>
        <v>2.0185001921991675E-3</v>
      </c>
      <c r="N114" s="29"/>
      <c r="O114" s="29"/>
      <c r="P114" s="29"/>
      <c r="Q114" s="375">
        <f t="shared" si="23"/>
        <v>1234</v>
      </c>
      <c r="R114" s="6"/>
      <c r="S114" s="7">
        <f>32043+15078+4324</f>
        <v>51445</v>
      </c>
      <c r="T114" s="6"/>
      <c r="U114" s="286">
        <f t="shared" si="24"/>
        <v>8.3981004898959974E-2</v>
      </c>
      <c r="W114">
        <f t="shared" si="20"/>
        <v>104</v>
      </c>
      <c r="Y114" s="56"/>
    </row>
    <row r="115" spans="3:25" hidden="1" outlineLevel="1" x14ac:dyDescent="0.3">
      <c r="C115" s="170">
        <f t="shared" si="15"/>
        <v>44014</v>
      </c>
      <c r="E115" s="284">
        <v>394954</v>
      </c>
      <c r="F115" s="7"/>
      <c r="G115" s="7">
        <v>172356</v>
      </c>
      <c r="H115" s="7"/>
      <c r="I115" s="7">
        <v>46646</v>
      </c>
      <c r="J115" s="287"/>
      <c r="K115" s="7">
        <f t="shared" si="21"/>
        <v>613956</v>
      </c>
      <c r="L115" s="6"/>
      <c r="M115" s="481">
        <f t="shared" si="22"/>
        <v>2.2478733355208065E-3</v>
      </c>
      <c r="N115" s="29"/>
      <c r="O115" s="29"/>
      <c r="P115" s="29"/>
      <c r="Q115" s="375">
        <f t="shared" si="23"/>
        <v>1377</v>
      </c>
      <c r="R115" s="6"/>
      <c r="S115" s="7">
        <f>32064+15107+4328</f>
        <v>51499</v>
      </c>
      <c r="T115" s="6"/>
      <c r="U115" s="286">
        <f t="shared" si="24"/>
        <v>8.3880603821772245E-2</v>
      </c>
      <c r="W115">
        <f t="shared" si="20"/>
        <v>105</v>
      </c>
      <c r="Y115" s="56"/>
    </row>
    <row r="116" spans="3:25" hidden="1" outlineLevel="1" x14ac:dyDescent="0.3">
      <c r="C116" s="170">
        <f t="shared" si="15"/>
        <v>44015</v>
      </c>
      <c r="E116" s="284">
        <v>395872</v>
      </c>
      <c r="F116" s="7"/>
      <c r="G116" s="7">
        <v>172742</v>
      </c>
      <c r="H116" s="7"/>
      <c r="I116" s="7">
        <v>46717</v>
      </c>
      <c r="J116" s="287"/>
      <c r="K116" s="7">
        <f t="shared" si="21"/>
        <v>615331</v>
      </c>
      <c r="L116" s="6"/>
      <c r="M116" s="481">
        <f t="shared" si="22"/>
        <v>2.2395741714389956E-3</v>
      </c>
      <c r="N116" s="29"/>
      <c r="O116" s="29"/>
      <c r="P116" s="29"/>
      <c r="Q116" s="375">
        <f t="shared" si="23"/>
        <v>1375</v>
      </c>
      <c r="R116" s="6"/>
      <c r="S116" s="7">
        <f>32081+15164+4335</f>
        <v>51580</v>
      </c>
      <c r="T116" s="6"/>
      <c r="U116" s="286">
        <f t="shared" si="24"/>
        <v>8.3824803235981932E-2</v>
      </c>
      <c r="W116">
        <f t="shared" si="20"/>
        <v>106</v>
      </c>
      <c r="Y116" s="56"/>
    </row>
    <row r="117" spans="3:25" hidden="1" outlineLevel="1" x14ac:dyDescent="0.3">
      <c r="C117" s="170">
        <f t="shared" si="15"/>
        <v>44016</v>
      </c>
      <c r="E117" s="284">
        <v>395598</v>
      </c>
      <c r="F117" s="7"/>
      <c r="G117" s="7">
        <v>173033</v>
      </c>
      <c r="H117" s="7"/>
      <c r="I117" s="7">
        <v>46717</v>
      </c>
      <c r="J117" s="287"/>
      <c r="K117" s="7">
        <f t="shared" si="21"/>
        <v>615348</v>
      </c>
      <c r="L117" s="6"/>
      <c r="M117" s="481">
        <f t="shared" si="22"/>
        <v>2.7627407037838173E-5</v>
      </c>
      <c r="N117" s="29"/>
      <c r="O117" s="29"/>
      <c r="P117" s="29"/>
      <c r="Q117" s="375">
        <f t="shared" si="23"/>
        <v>17</v>
      </c>
      <c r="R117" s="6"/>
      <c r="S117" s="7">
        <f>32157+15189+4355</f>
        <v>51701</v>
      </c>
      <c r="T117" s="6"/>
      <c r="U117" s="286">
        <f t="shared" si="24"/>
        <v>8.4019124137886203E-2</v>
      </c>
      <c r="W117">
        <f t="shared" si="20"/>
        <v>107</v>
      </c>
      <c r="Y117" s="56"/>
    </row>
    <row r="118" spans="3:25" hidden="1" outlineLevel="1" x14ac:dyDescent="0.3">
      <c r="C118" s="170">
        <f t="shared" si="15"/>
        <v>44017</v>
      </c>
      <c r="E118" s="284">
        <v>397131</v>
      </c>
      <c r="F118" s="7"/>
      <c r="G118" s="7">
        <v>173402</v>
      </c>
      <c r="H118" s="7"/>
      <c r="I118" s="7">
        <v>46717</v>
      </c>
      <c r="J118" s="287"/>
      <c r="K118" s="7">
        <f t="shared" si="21"/>
        <v>617250</v>
      </c>
      <c r="L118" s="6"/>
      <c r="M118" s="481">
        <f t="shared" si="22"/>
        <v>3.0909339105676787E-3</v>
      </c>
      <c r="N118" s="29"/>
      <c r="O118" s="29"/>
      <c r="P118" s="29"/>
      <c r="Q118" s="375">
        <f t="shared" si="23"/>
        <v>1902</v>
      </c>
      <c r="R118" s="6"/>
      <c r="S118" s="7">
        <f>32189+15211+4335</f>
        <v>51735</v>
      </c>
      <c r="T118" s="6"/>
      <c r="U118" s="286">
        <f t="shared" si="24"/>
        <v>8.3815309842041316E-2</v>
      </c>
      <c r="W118">
        <f t="shared" si="20"/>
        <v>108</v>
      </c>
      <c r="Y118" s="56"/>
    </row>
    <row r="119" spans="3:25" hidden="1" outlineLevel="1" x14ac:dyDescent="0.3">
      <c r="C119" s="170">
        <f t="shared" si="15"/>
        <v>44018</v>
      </c>
      <c r="E119" s="284">
        <v>397649</v>
      </c>
      <c r="F119" s="7"/>
      <c r="G119" s="7">
        <v>173611</v>
      </c>
      <c r="H119" s="7"/>
      <c r="I119" s="7">
        <v>46976</v>
      </c>
      <c r="J119" s="287"/>
      <c r="K119" s="7">
        <f t="shared" si="21"/>
        <v>618236</v>
      </c>
      <c r="L119" s="6"/>
      <c r="M119" s="481">
        <f t="shared" si="22"/>
        <v>1.5974078574321588E-3</v>
      </c>
      <c r="N119" s="29"/>
      <c r="O119" s="29"/>
      <c r="P119" s="29"/>
      <c r="Q119" s="375">
        <f t="shared" si="23"/>
        <v>986</v>
      </c>
      <c r="R119" s="6"/>
      <c r="S119" s="7">
        <f>32219+15229+4388</f>
        <v>51836</v>
      </c>
      <c r="T119" s="6"/>
      <c r="U119" s="286">
        <f t="shared" si="24"/>
        <v>8.3845004173163651E-2</v>
      </c>
      <c r="W119">
        <f t="shared" si="20"/>
        <v>109</v>
      </c>
      <c r="Y119" s="56"/>
    </row>
    <row r="120" spans="3:25" hidden="1" outlineLevel="1" x14ac:dyDescent="0.3">
      <c r="C120" s="170">
        <f t="shared" si="15"/>
        <v>44019</v>
      </c>
      <c r="E120" s="284">
        <v>398237</v>
      </c>
      <c r="F120" s="7"/>
      <c r="G120" s="7">
        <v>173878</v>
      </c>
      <c r="H120" s="7"/>
      <c r="I120" s="7">
        <v>47033</v>
      </c>
      <c r="J120" s="287"/>
      <c r="K120" s="7">
        <f t="shared" si="21"/>
        <v>619148</v>
      </c>
      <c r="L120" s="6"/>
      <c r="M120" s="481">
        <f t="shared" si="22"/>
        <v>1.4751648237889738E-3</v>
      </c>
      <c r="N120" s="29"/>
      <c r="O120" s="29"/>
      <c r="P120" s="29"/>
      <c r="Q120" s="375">
        <f t="shared" si="23"/>
        <v>912</v>
      </c>
      <c r="R120" s="6"/>
      <c r="S120" s="7">
        <f>32243+15281+4338</f>
        <v>51862</v>
      </c>
      <c r="T120" s="6"/>
      <c r="U120" s="286">
        <f t="shared" si="24"/>
        <v>8.3763494350300741E-2</v>
      </c>
      <c r="W120">
        <f t="shared" si="20"/>
        <v>110</v>
      </c>
      <c r="Y120" s="56"/>
    </row>
    <row r="121" spans="3:25" hidden="1" outlineLevel="1" x14ac:dyDescent="0.3">
      <c r="C121" s="170">
        <f t="shared" si="15"/>
        <v>44020</v>
      </c>
      <c r="E121" s="284">
        <f>398909</f>
        <v>398909</v>
      </c>
      <c r="F121" s="7"/>
      <c r="G121" s="7">
        <v>174039</v>
      </c>
      <c r="H121" s="7"/>
      <c r="I121" s="7">
        <v>47108</v>
      </c>
      <c r="J121" s="287"/>
      <c r="K121" s="7">
        <f t="shared" si="21"/>
        <v>620056</v>
      </c>
      <c r="L121" s="6"/>
      <c r="M121" s="481">
        <f t="shared" si="22"/>
        <v>1.4665314270578278E-3</v>
      </c>
      <c r="N121" s="29"/>
      <c r="O121" s="29"/>
      <c r="P121" s="29"/>
      <c r="Q121" s="375">
        <f t="shared" si="23"/>
        <v>908</v>
      </c>
      <c r="R121" s="6"/>
      <c r="S121" s="7">
        <f>32251+15332+4343</f>
        <v>51926</v>
      </c>
      <c r="T121" s="6"/>
      <c r="U121" s="286">
        <f t="shared" si="24"/>
        <v>8.3744048924613262E-2</v>
      </c>
      <c r="W121">
        <f t="shared" si="20"/>
        <v>111</v>
      </c>
      <c r="Y121" s="56"/>
    </row>
    <row r="122" spans="3:25" hidden="1" outlineLevel="1" x14ac:dyDescent="0.3">
      <c r="C122" s="170">
        <f t="shared" si="15"/>
        <v>44021</v>
      </c>
      <c r="E122" s="284">
        <v>399477</v>
      </c>
      <c r="F122" s="7"/>
      <c r="G122" s="7">
        <v>174270</v>
      </c>
      <c r="H122" s="7"/>
      <c r="I122" s="7">
        <v>47209</v>
      </c>
      <c r="J122" s="287"/>
      <c r="K122" s="7">
        <f t="shared" si="21"/>
        <v>620956</v>
      </c>
      <c r="L122" s="6"/>
      <c r="M122" s="481">
        <f t="shared" si="22"/>
        <v>1.4514818016437224E-3</v>
      </c>
      <c r="N122" s="29"/>
      <c r="O122" s="29"/>
      <c r="P122" s="29"/>
      <c r="Q122" s="375">
        <f t="shared" si="23"/>
        <v>900</v>
      </c>
      <c r="R122" s="6"/>
      <c r="S122" s="7">
        <f>32283+15448+4348</f>
        <v>52079</v>
      </c>
      <c r="T122" s="6"/>
      <c r="U122" s="286">
        <f t="shared" si="24"/>
        <v>8.3869066407281673E-2</v>
      </c>
      <c r="W122">
        <f t="shared" si="20"/>
        <v>112</v>
      </c>
      <c r="Y122" s="56"/>
    </row>
    <row r="123" spans="3:25" hidden="1" outlineLevel="1" x14ac:dyDescent="0.3">
      <c r="C123" s="170">
        <f t="shared" si="15"/>
        <v>44022</v>
      </c>
      <c r="E123" s="284">
        <v>400299</v>
      </c>
      <c r="F123" s="7"/>
      <c r="G123" s="7">
        <v>174628</v>
      </c>
      <c r="H123" s="7"/>
      <c r="I123" s="7">
        <v>47287</v>
      </c>
      <c r="J123" s="287"/>
      <c r="K123" s="7">
        <f t="shared" si="21"/>
        <v>622214</v>
      </c>
      <c r="L123" s="6"/>
      <c r="M123" s="481">
        <f t="shared" si="22"/>
        <v>2.0259084379569566E-3</v>
      </c>
      <c r="N123" s="29"/>
      <c r="O123" s="29"/>
      <c r="P123" s="29"/>
      <c r="Q123" s="375">
        <f t="shared" si="23"/>
        <v>1258</v>
      </c>
      <c r="R123" s="6"/>
      <c r="S123" s="7">
        <f>32307+15479+4348</f>
        <v>52134</v>
      </c>
      <c r="T123" s="6"/>
      <c r="U123" s="286">
        <f t="shared" si="24"/>
        <v>8.378789291144205E-2</v>
      </c>
      <c r="W123">
        <f t="shared" si="20"/>
        <v>113</v>
      </c>
      <c r="Y123" s="56"/>
    </row>
    <row r="124" spans="3:25" hidden="1" outlineLevel="1" x14ac:dyDescent="0.3">
      <c r="C124" s="170">
        <f t="shared" si="15"/>
        <v>44023</v>
      </c>
      <c r="E124" s="284">
        <v>401029</v>
      </c>
      <c r="F124" s="7"/>
      <c r="G124" s="7">
        <v>174959</v>
      </c>
      <c r="H124" s="7"/>
      <c r="I124" s="7">
        <v>47237</v>
      </c>
      <c r="J124" s="287"/>
      <c r="K124" s="7">
        <f t="shared" si="21"/>
        <v>623225</v>
      </c>
      <c r="L124" s="6"/>
      <c r="M124" s="481">
        <f t="shared" si="22"/>
        <v>1.6248428997097462E-3</v>
      </c>
      <c r="N124" s="29"/>
      <c r="O124" s="29"/>
      <c r="P124" s="29"/>
      <c r="Q124" s="375">
        <f t="shared" si="23"/>
        <v>1011</v>
      </c>
      <c r="R124" s="6"/>
      <c r="S124" s="7">
        <f>32343+15525+4348</f>
        <v>52216</v>
      </c>
      <c r="T124" s="6"/>
      <c r="U124" s="286">
        <f t="shared" si="24"/>
        <v>8.3783545268562715E-2</v>
      </c>
      <c r="W124">
        <f t="shared" si="20"/>
        <v>114</v>
      </c>
      <c r="Y124" s="56"/>
    </row>
    <row r="125" spans="3:25" hidden="1" outlineLevel="1" x14ac:dyDescent="0.3">
      <c r="C125" s="170">
        <f t="shared" si="15"/>
        <v>44024</v>
      </c>
      <c r="E125" s="284">
        <v>401556</v>
      </c>
      <c r="F125" s="7"/>
      <c r="G125" s="7">
        <v>175298</v>
      </c>
      <c r="H125" s="7"/>
      <c r="I125" s="7">
        <v>47287</v>
      </c>
      <c r="J125" s="287"/>
      <c r="K125" s="7">
        <f t="shared" si="21"/>
        <v>624141</v>
      </c>
      <c r="L125" s="6"/>
      <c r="M125" s="481">
        <f t="shared" si="22"/>
        <v>1.4697741586104536E-3</v>
      </c>
      <c r="N125" s="29"/>
      <c r="O125" s="29"/>
      <c r="P125" s="29"/>
      <c r="Q125" s="375">
        <f t="shared" si="23"/>
        <v>916</v>
      </c>
      <c r="R125" s="6"/>
      <c r="S125" s="7">
        <f>32350+15525+4348</f>
        <v>52223</v>
      </c>
      <c r="T125" s="6"/>
      <c r="U125" s="286">
        <f t="shared" si="24"/>
        <v>8.3671798519885737E-2</v>
      </c>
      <c r="W125">
        <f t="shared" si="20"/>
        <v>115</v>
      </c>
      <c r="Y125" s="56"/>
    </row>
    <row r="126" spans="3:25" hidden="1" outlineLevel="1" x14ac:dyDescent="0.3">
      <c r="C126" s="170">
        <f t="shared" si="15"/>
        <v>44025</v>
      </c>
      <c r="E126" s="284">
        <v>402263</v>
      </c>
      <c r="F126" s="7"/>
      <c r="G126" s="7">
        <v>175522</v>
      </c>
      <c r="H126" s="7"/>
      <c r="I126" s="7">
        <v>47510</v>
      </c>
      <c r="J126" s="287"/>
      <c r="K126" s="7">
        <f t="shared" si="21"/>
        <v>625295</v>
      </c>
      <c r="L126" s="6"/>
      <c r="M126" s="481">
        <f t="shared" si="22"/>
        <v>1.8489411847643401E-3</v>
      </c>
      <c r="N126" s="29"/>
      <c r="O126" s="29"/>
      <c r="P126" s="29"/>
      <c r="Q126" s="375">
        <f t="shared" si="23"/>
        <v>1154</v>
      </c>
      <c r="R126" s="6"/>
      <c r="S126" s="7">
        <f>32395+15560+4371</f>
        <v>52326</v>
      </c>
      <c r="T126" s="6"/>
      <c r="U126" s="286">
        <f t="shared" si="24"/>
        <v>8.3682102047833426E-2</v>
      </c>
      <c r="W126">
        <f t="shared" si="20"/>
        <v>116</v>
      </c>
      <c r="Y126" s="56"/>
    </row>
    <row r="127" spans="3:25" hidden="1" outlineLevel="1" x14ac:dyDescent="0.3">
      <c r="C127" s="170">
        <f t="shared" si="15"/>
        <v>44026</v>
      </c>
      <c r="E127" s="284">
        <v>403175</v>
      </c>
      <c r="F127" s="7"/>
      <c r="G127" s="7">
        <v>175915</v>
      </c>
      <c r="H127" s="7"/>
      <c r="I127" s="7">
        <v>47531</v>
      </c>
      <c r="J127" s="287"/>
      <c r="K127" s="7">
        <f t="shared" si="21"/>
        <v>626621</v>
      </c>
      <c r="L127" s="6"/>
      <c r="M127" s="481">
        <f t="shared" si="22"/>
        <v>2.1205990772355447E-3</v>
      </c>
      <c r="N127" s="29"/>
      <c r="O127" s="29"/>
      <c r="P127" s="29"/>
      <c r="Q127" s="375">
        <f t="shared" si="23"/>
        <v>1326</v>
      </c>
      <c r="R127" s="6"/>
      <c r="S127" s="7">
        <f>32408+15582+4374</f>
        <v>52364</v>
      </c>
      <c r="T127" s="6"/>
      <c r="U127" s="286">
        <f t="shared" si="24"/>
        <v>8.3565664093606815E-2</v>
      </c>
      <c r="W127">
        <f t="shared" si="20"/>
        <v>117</v>
      </c>
      <c r="Y127" s="56"/>
    </row>
    <row r="128" spans="3:25" hidden="1" outlineLevel="1" x14ac:dyDescent="0.3">
      <c r="C128" s="170">
        <f t="shared" si="15"/>
        <v>44027</v>
      </c>
      <c r="E128" s="284">
        <v>403600</v>
      </c>
      <c r="F128" s="7"/>
      <c r="G128" s="7">
        <v>176110</v>
      </c>
      <c r="H128" s="7"/>
      <c r="I128" s="7">
        <v>47620</v>
      </c>
      <c r="J128" s="287"/>
      <c r="K128" s="7">
        <f>SUM(E128:I128)</f>
        <v>627330</v>
      </c>
      <c r="L128" s="6"/>
      <c r="M128" s="481">
        <f t="shared" ref="M128:M136" si="25">+(K128-K127)/K127</f>
        <v>1.1314654312574906E-3</v>
      </c>
      <c r="N128" s="29"/>
      <c r="O128" s="29"/>
      <c r="P128" s="29"/>
      <c r="Q128" s="375">
        <f t="shared" ref="Q128:Q136" si="26">+K128-K127</f>
        <v>709</v>
      </c>
      <c r="R128" s="6"/>
      <c r="S128" s="7">
        <f>32427+15634+4380</f>
        <v>52441</v>
      </c>
      <c r="T128" s="6"/>
      <c r="U128" s="286">
        <f t="shared" ref="U128:U136" si="27">+S128/K128</f>
        <v>8.3593961710742348E-2</v>
      </c>
      <c r="W128">
        <f t="shared" si="20"/>
        <v>118</v>
      </c>
      <c r="Y128" s="56"/>
    </row>
    <row r="129" spans="3:25" hidden="1" outlineLevel="1" x14ac:dyDescent="0.3">
      <c r="C129" s="170">
        <f t="shared" si="15"/>
        <v>44028</v>
      </c>
      <c r="E129" s="284">
        <v>404775</v>
      </c>
      <c r="F129" s="7"/>
      <c r="G129" s="7">
        <v>176501</v>
      </c>
      <c r="H129" s="7"/>
      <c r="I129" s="7">
        <v>47750</v>
      </c>
      <c r="J129" s="287"/>
      <c r="K129" s="7">
        <f>SUM(E129:I129)</f>
        <v>629026</v>
      </c>
      <c r="L129" s="6"/>
      <c r="M129" s="481">
        <f t="shared" si="25"/>
        <v>2.7035212726953914E-3</v>
      </c>
      <c r="N129" s="29"/>
      <c r="O129" s="29"/>
      <c r="P129" s="29"/>
      <c r="Q129" s="375">
        <f t="shared" si="26"/>
        <v>1696</v>
      </c>
      <c r="R129" s="6"/>
      <c r="S129" s="7">
        <f>32446+15665+4389</f>
        <v>52500</v>
      </c>
      <c r="T129" s="6"/>
      <c r="U129" s="286">
        <f t="shared" si="27"/>
        <v>8.3462368805105033E-2</v>
      </c>
      <c r="W129">
        <f t="shared" si="20"/>
        <v>119</v>
      </c>
      <c r="Y129" s="56"/>
    </row>
    <row r="130" spans="3:25" hidden="1" outlineLevel="1" x14ac:dyDescent="0.3">
      <c r="C130" s="170">
        <f t="shared" si="15"/>
        <v>44029</v>
      </c>
      <c r="E130" s="284">
        <v>405551</v>
      </c>
      <c r="F130" s="7"/>
      <c r="G130" s="7">
        <v>176551</v>
      </c>
      <c r="H130" s="7"/>
      <c r="I130" s="7">
        <v>47893</v>
      </c>
      <c r="J130" s="287"/>
      <c r="K130" s="7">
        <f t="shared" ref="K130:K135" si="28">SUM(E130:I130)</f>
        <v>629995</v>
      </c>
      <c r="L130" s="6"/>
      <c r="M130" s="481">
        <f t="shared" si="25"/>
        <v>1.5404768642313673E-3</v>
      </c>
      <c r="N130" s="29"/>
      <c r="O130" s="29"/>
      <c r="P130" s="29"/>
      <c r="Q130" s="375">
        <f t="shared" si="26"/>
        <v>969</v>
      </c>
      <c r="R130" s="6"/>
      <c r="S130" s="7">
        <v>52728</v>
      </c>
      <c r="T130" s="6"/>
      <c r="U130" s="286">
        <f t="shared" si="27"/>
        <v>8.3695902348431342E-2</v>
      </c>
      <c r="W130">
        <f t="shared" si="20"/>
        <v>120</v>
      </c>
      <c r="Y130" s="56"/>
    </row>
    <row r="131" spans="3:25" hidden="1" outlineLevel="1" x14ac:dyDescent="0.3">
      <c r="C131" s="170">
        <f t="shared" si="15"/>
        <v>44030</v>
      </c>
      <c r="E131" s="284">
        <v>406750</v>
      </c>
      <c r="F131" s="7"/>
      <c r="G131" s="7">
        <v>176703</v>
      </c>
      <c r="H131" s="7"/>
      <c r="I131" s="7">
        <v>47929</v>
      </c>
      <c r="J131" s="287"/>
      <c r="K131" s="7">
        <f t="shared" si="28"/>
        <v>631382</v>
      </c>
      <c r="L131" s="6"/>
      <c r="M131" s="481">
        <f t="shared" si="25"/>
        <v>2.2016047746410685E-3</v>
      </c>
      <c r="N131" s="29"/>
      <c r="O131" s="29"/>
      <c r="P131" s="29"/>
      <c r="Q131" s="375">
        <f t="shared" si="26"/>
        <v>1387</v>
      </c>
      <c r="R131" s="6"/>
      <c r="S131" s="7">
        <v>53361</v>
      </c>
      <c r="T131" s="6"/>
      <c r="U131" s="286">
        <f t="shared" si="27"/>
        <v>8.4514604470827481E-2</v>
      </c>
      <c r="W131">
        <f t="shared" si="20"/>
        <v>121</v>
      </c>
      <c r="Y131" s="56"/>
    </row>
    <row r="132" spans="3:25" hidden="1" outlineLevel="1" x14ac:dyDescent="0.3">
      <c r="C132" s="170">
        <f t="shared" si="15"/>
        <v>44031</v>
      </c>
      <c r="E132" s="284">
        <v>406807</v>
      </c>
      <c r="F132" s="7"/>
      <c r="G132" s="7">
        <v>176783</v>
      </c>
      <c r="H132" s="7"/>
      <c r="I132" s="7">
        <v>47893</v>
      </c>
      <c r="J132" s="287"/>
      <c r="K132" s="7">
        <f t="shared" si="28"/>
        <v>631483</v>
      </c>
      <c r="L132" s="6"/>
      <c r="M132" s="481">
        <f t="shared" si="25"/>
        <v>1.599665495690406E-4</v>
      </c>
      <c r="N132" s="29"/>
      <c r="O132" s="29"/>
      <c r="P132" s="29"/>
      <c r="Q132" s="375">
        <f t="shared" si="26"/>
        <v>101</v>
      </c>
      <c r="R132" s="6"/>
      <c r="S132" s="7">
        <f>32463+16684+4396</f>
        <v>53543</v>
      </c>
      <c r="T132" s="6"/>
      <c r="U132" s="286">
        <f t="shared" si="27"/>
        <v>8.4789297574123138E-2</v>
      </c>
      <c r="W132">
        <f t="shared" si="20"/>
        <v>122</v>
      </c>
      <c r="Y132" s="56"/>
    </row>
    <row r="133" spans="3:25" hidden="1" outlineLevel="1" x14ac:dyDescent="0.3">
      <c r="C133" s="170">
        <f t="shared" si="15"/>
        <v>44032</v>
      </c>
      <c r="E133" s="284">
        <v>407326</v>
      </c>
      <c r="F133" s="7"/>
      <c r="G133" s="7">
        <v>176963</v>
      </c>
      <c r="H133" s="7"/>
      <c r="I133" s="7">
        <v>48055</v>
      </c>
      <c r="J133" s="287"/>
      <c r="K133" s="7">
        <f t="shared" si="28"/>
        <v>632344</v>
      </c>
      <c r="L133" s="6"/>
      <c r="M133" s="481">
        <f t="shared" si="25"/>
        <v>1.3634571318626154E-3</v>
      </c>
      <c r="N133" s="29"/>
      <c r="O133" s="29"/>
      <c r="P133" s="29"/>
      <c r="Q133" s="375">
        <f t="shared" si="26"/>
        <v>861</v>
      </c>
      <c r="R133" s="6"/>
      <c r="S133" s="7">
        <f>32506+15715+4406</f>
        <v>52627</v>
      </c>
      <c r="T133" s="6"/>
      <c r="U133" s="286">
        <f t="shared" si="27"/>
        <v>8.3225269789861209E-2</v>
      </c>
      <c r="W133">
        <f t="shared" si="20"/>
        <v>123</v>
      </c>
      <c r="Y133" s="56"/>
    </row>
    <row r="134" spans="3:25" hidden="1" outlineLevel="1" x14ac:dyDescent="0.3">
      <c r="C134" s="170">
        <f t="shared" si="15"/>
        <v>44033</v>
      </c>
      <c r="E134" s="284">
        <v>407941</v>
      </c>
      <c r="F134" s="7"/>
      <c r="G134" s="7">
        <v>177156</v>
      </c>
      <c r="H134" s="7"/>
      <c r="I134" s="7">
        <v>48096</v>
      </c>
      <c r="J134" s="287"/>
      <c r="K134" s="7">
        <f t="shared" si="28"/>
        <v>633193</v>
      </c>
      <c r="L134" s="6"/>
      <c r="M134" s="481">
        <f t="shared" si="25"/>
        <v>1.3426236352365169E-3</v>
      </c>
      <c r="N134" s="29"/>
      <c r="O134" s="29"/>
      <c r="P134" s="29"/>
      <c r="Q134" s="375">
        <f t="shared" si="26"/>
        <v>849</v>
      </c>
      <c r="R134" s="6"/>
      <c r="S134" s="7">
        <f>32520+15737+4406</f>
        <v>52663</v>
      </c>
      <c r="T134" s="6"/>
      <c r="U134" s="286">
        <f t="shared" si="27"/>
        <v>8.3170534102556412E-2</v>
      </c>
      <c r="W134">
        <f t="shared" si="20"/>
        <v>124</v>
      </c>
      <c r="Y134" s="56"/>
    </row>
    <row r="135" spans="3:25" hidden="1" outlineLevel="1" x14ac:dyDescent="0.3">
      <c r="C135" s="170">
        <f t="shared" si="15"/>
        <v>44034</v>
      </c>
      <c r="E135" s="284">
        <v>408886</v>
      </c>
      <c r="F135" s="7"/>
      <c r="G135" s="7">
        <v>177645</v>
      </c>
      <c r="H135" s="7"/>
      <c r="I135" s="7">
        <v>48223</v>
      </c>
      <c r="J135" s="287"/>
      <c r="K135" s="7">
        <f t="shared" si="28"/>
        <v>634754</v>
      </c>
      <c r="L135" s="6"/>
      <c r="M135" s="481">
        <f t="shared" si="25"/>
        <v>2.465283096938848E-3</v>
      </c>
      <c r="N135" s="29"/>
      <c r="O135" s="29"/>
      <c r="P135" s="29"/>
      <c r="Q135" s="375">
        <f t="shared" si="26"/>
        <v>1561</v>
      </c>
      <c r="R135" s="6"/>
      <c r="S135" s="7">
        <f>32526+15707+4406</f>
        <v>52639</v>
      </c>
      <c r="T135" s="6"/>
      <c r="U135" s="286">
        <f t="shared" si="27"/>
        <v>8.2928189503335151E-2</v>
      </c>
      <c r="W135">
        <f t="shared" si="20"/>
        <v>125</v>
      </c>
      <c r="Y135" s="56"/>
    </row>
    <row r="136" spans="3:25" hidden="1" outlineLevel="1" x14ac:dyDescent="0.3">
      <c r="C136" s="170">
        <f t="shared" si="15"/>
        <v>44035</v>
      </c>
      <c r="E136" s="284">
        <v>409697</v>
      </c>
      <c r="F136" s="7"/>
      <c r="G136" s="7">
        <v>177887</v>
      </c>
      <c r="H136" s="7"/>
      <c r="I136" s="7">
        <v>48232</v>
      </c>
      <c r="J136" s="287"/>
      <c r="K136" s="7">
        <f>SUM(E136:I136)</f>
        <v>635816</v>
      </c>
      <c r="L136" s="6"/>
      <c r="M136" s="481">
        <f t="shared" si="25"/>
        <v>1.6730891022348816E-3</v>
      </c>
      <c r="N136" s="29"/>
      <c r="O136" s="29"/>
      <c r="P136" s="29"/>
      <c r="Q136" s="375">
        <f t="shared" si="26"/>
        <v>1062</v>
      </c>
      <c r="R136" s="6"/>
      <c r="S136" s="7">
        <f>32594+15730+4410</f>
        <v>52734</v>
      </c>
      <c r="T136" s="6"/>
      <c r="U136" s="286">
        <f t="shared" si="27"/>
        <v>8.2939089296274388E-2</v>
      </c>
      <c r="W136">
        <f t="shared" si="20"/>
        <v>126</v>
      </c>
      <c r="Y136" s="56"/>
    </row>
    <row r="137" spans="3:25" hidden="1" outlineLevel="1" x14ac:dyDescent="0.3">
      <c r="C137" s="170">
        <f t="shared" si="15"/>
        <v>44036</v>
      </c>
      <c r="E137" s="284">
        <v>410450</v>
      </c>
      <c r="F137" s="7"/>
      <c r="G137" s="7">
        <v>178345</v>
      </c>
      <c r="H137" s="7"/>
      <c r="I137" s="7">
        <v>48776</v>
      </c>
      <c r="J137" s="287"/>
      <c r="K137" s="7">
        <v>637571</v>
      </c>
      <c r="L137" s="6"/>
      <c r="M137" s="481">
        <v>2.7602325201001548E-3</v>
      </c>
      <c r="N137" s="29"/>
      <c r="O137" s="29"/>
      <c r="P137" s="29"/>
      <c r="Q137" s="375">
        <v>1755</v>
      </c>
      <c r="R137" s="6"/>
      <c r="S137" s="7">
        <v>52774</v>
      </c>
      <c r="T137" s="6"/>
      <c r="U137" s="286">
        <v>8.2773526399412767E-2</v>
      </c>
      <c r="W137">
        <f t="shared" si="20"/>
        <v>127</v>
      </c>
      <c r="Y137" s="56"/>
    </row>
    <row r="138" spans="3:25" hidden="1" outlineLevel="1" x14ac:dyDescent="0.3">
      <c r="C138" s="170">
        <f t="shared" si="15"/>
        <v>44037</v>
      </c>
      <c r="E138" s="284">
        <v>411200</v>
      </c>
      <c r="F138" s="7"/>
      <c r="G138" s="7">
        <v>178858</v>
      </c>
      <c r="H138" s="7"/>
      <c r="I138" s="7">
        <v>48776</v>
      </c>
      <c r="J138" s="287"/>
      <c r="K138" s="7">
        <f t="shared" ref="K138:K165" si="29">SUM(E138:I138)</f>
        <v>638834</v>
      </c>
      <c r="L138" s="6"/>
      <c r="M138" s="481">
        <f t="shared" ref="M138:M165" si="30">+(K138-K137)/K137</f>
        <v>1.9809558464861168E-3</v>
      </c>
      <c r="N138" s="29"/>
      <c r="O138" s="29"/>
      <c r="P138" s="29"/>
      <c r="Q138" s="375">
        <f t="shared" ref="Q138:Q165" si="31">+K138-K137</f>
        <v>1263</v>
      </c>
      <c r="R138" s="6"/>
      <c r="S138" s="7">
        <f>32608+15776+4413</f>
        <v>52797</v>
      </c>
      <c r="T138" s="6"/>
      <c r="U138" s="286">
        <f t="shared" ref="U138:U165" si="32">+S138/K138</f>
        <v>8.264588296803238E-2</v>
      </c>
      <c r="W138">
        <f t="shared" si="20"/>
        <v>128</v>
      </c>
      <c r="Y138" s="56"/>
    </row>
    <row r="139" spans="3:25" hidden="1" outlineLevel="1" x14ac:dyDescent="0.3">
      <c r="C139" s="170">
        <f t="shared" si="15"/>
        <v>44038</v>
      </c>
      <c r="E139" s="284">
        <v>411736</v>
      </c>
      <c r="F139" s="7"/>
      <c r="G139" s="7">
        <v>179363</v>
      </c>
      <c r="H139" s="7"/>
      <c r="I139" s="7">
        <v>48776</v>
      </c>
      <c r="J139" s="287"/>
      <c r="K139" s="7">
        <f t="shared" si="29"/>
        <v>639875</v>
      </c>
      <c r="L139" s="6"/>
      <c r="M139" s="481">
        <f t="shared" si="30"/>
        <v>1.6295313023414533E-3</v>
      </c>
      <c r="N139" s="29"/>
      <c r="O139" s="29"/>
      <c r="P139" s="29"/>
      <c r="Q139" s="375">
        <f t="shared" si="31"/>
        <v>1041</v>
      </c>
      <c r="R139" s="6"/>
      <c r="S139" s="7">
        <f>32630+15787+4413</f>
        <v>52830</v>
      </c>
      <c r="T139" s="6"/>
      <c r="U139" s="286">
        <f t="shared" si="32"/>
        <v>8.2563000586051968E-2</v>
      </c>
      <c r="W139">
        <f t="shared" si="20"/>
        <v>129</v>
      </c>
      <c r="Y139" s="56"/>
    </row>
    <row r="140" spans="3:25" hidden="1" outlineLevel="1" x14ac:dyDescent="0.3">
      <c r="C140" s="170">
        <f t="shared" si="15"/>
        <v>44039</v>
      </c>
      <c r="E140" s="284">
        <v>412344</v>
      </c>
      <c r="F140" s="7"/>
      <c r="G140" s="7">
        <v>179812</v>
      </c>
      <c r="H140" s="7"/>
      <c r="I140" s="7">
        <v>48983</v>
      </c>
      <c r="J140" s="287"/>
      <c r="K140" s="7">
        <f t="shared" si="29"/>
        <v>641139</v>
      </c>
      <c r="L140" s="6"/>
      <c r="M140" s="481">
        <f t="shared" si="30"/>
        <v>1.9753858175424886E-3</v>
      </c>
      <c r="N140" s="29"/>
      <c r="O140" s="29"/>
      <c r="P140" s="29"/>
      <c r="Q140" s="375">
        <f t="shared" si="31"/>
        <v>1264</v>
      </c>
      <c r="R140" s="6"/>
      <c r="S140" s="7">
        <f>32645+15604+4418</f>
        <v>52667</v>
      </c>
      <c r="T140" s="6"/>
      <c r="U140" s="286">
        <f t="shared" si="32"/>
        <v>8.2145993302544379E-2</v>
      </c>
      <c r="W140">
        <f t="shared" si="20"/>
        <v>130</v>
      </c>
      <c r="Y140" s="56"/>
    </row>
    <row r="141" spans="3:25" hidden="1" outlineLevel="1" x14ac:dyDescent="0.3">
      <c r="C141" s="170">
        <f t="shared" si="15"/>
        <v>44040</v>
      </c>
      <c r="E141" s="284">
        <v>412878</v>
      </c>
      <c r="F141" s="7"/>
      <c r="G141" s="7">
        <v>180295</v>
      </c>
      <c r="H141" s="7"/>
      <c r="I141" s="7">
        <v>49077</v>
      </c>
      <c r="J141" s="287"/>
      <c r="K141" s="7">
        <f t="shared" si="29"/>
        <v>642250</v>
      </c>
      <c r="L141" s="6"/>
      <c r="M141" s="481">
        <f t="shared" si="30"/>
        <v>1.7328535621760647E-3</v>
      </c>
      <c r="N141" s="29"/>
      <c r="O141" s="29"/>
      <c r="P141" s="29"/>
      <c r="Q141" s="375">
        <f t="shared" si="31"/>
        <v>1111</v>
      </c>
      <c r="R141" s="6"/>
      <c r="S141" s="7">
        <f>32653+15826+4423</f>
        <v>52902</v>
      </c>
      <c r="T141" s="6"/>
      <c r="U141" s="286">
        <f t="shared" si="32"/>
        <v>8.2369793694044374E-2</v>
      </c>
      <c r="W141">
        <f t="shared" si="20"/>
        <v>131</v>
      </c>
      <c r="Y141" s="56"/>
    </row>
    <row r="142" spans="3:25" hidden="1" outlineLevel="1" x14ac:dyDescent="0.3">
      <c r="C142" s="170">
        <f t="shared" si="15"/>
        <v>44041</v>
      </c>
      <c r="E142" s="284">
        <v>413593</v>
      </c>
      <c r="F142" s="7"/>
      <c r="G142" s="7">
        <v>180600</v>
      </c>
      <c r="H142" s="7"/>
      <c r="I142" s="7">
        <v>49540</v>
      </c>
      <c r="J142" s="287"/>
      <c r="K142" s="7">
        <f t="shared" si="29"/>
        <v>643733</v>
      </c>
      <c r="L142" s="6"/>
      <c r="M142" s="481">
        <f t="shared" si="30"/>
        <v>2.3090696769170883E-3</v>
      </c>
      <c r="N142" s="29"/>
      <c r="O142" s="29"/>
      <c r="P142" s="29"/>
      <c r="Q142" s="375">
        <f t="shared" si="31"/>
        <v>1483</v>
      </c>
      <c r="R142" s="6"/>
      <c r="S142" s="7">
        <f>32658+15798+4425</f>
        <v>52881</v>
      </c>
      <c r="T142" s="6"/>
      <c r="U142" s="286">
        <f t="shared" si="32"/>
        <v>8.2147412048162824E-2</v>
      </c>
      <c r="W142">
        <f t="shared" si="20"/>
        <v>132</v>
      </c>
      <c r="Y142" s="56"/>
    </row>
    <row r="143" spans="3:25" hidden="1" outlineLevel="1" x14ac:dyDescent="0.3">
      <c r="C143" s="170">
        <f t="shared" si="15"/>
        <v>44042</v>
      </c>
      <c r="E143" s="284">
        <v>414370</v>
      </c>
      <c r="F143" s="7"/>
      <c r="G143" s="7">
        <v>180970</v>
      </c>
      <c r="H143" s="7"/>
      <c r="I143" s="7">
        <v>49670</v>
      </c>
      <c r="J143" s="287"/>
      <c r="K143" s="7">
        <f t="shared" si="29"/>
        <v>645010</v>
      </c>
      <c r="L143" s="6"/>
      <c r="M143" s="481">
        <f t="shared" si="30"/>
        <v>1.9837417065771057E-3</v>
      </c>
      <c r="N143" s="29"/>
      <c r="O143" s="29"/>
      <c r="P143" s="29"/>
      <c r="Q143" s="375">
        <f t="shared" si="31"/>
        <v>1277</v>
      </c>
      <c r="R143" s="6"/>
      <c r="S143" s="7">
        <f>32683+15809+4431</f>
        <v>52923</v>
      </c>
      <c r="T143" s="6"/>
      <c r="U143" s="286">
        <f t="shared" si="32"/>
        <v>8.2049890699369007E-2</v>
      </c>
      <c r="W143">
        <f t="shared" si="20"/>
        <v>133</v>
      </c>
      <c r="Y143" s="56"/>
    </row>
    <row r="144" spans="3:25" hidden="1" outlineLevel="1" x14ac:dyDescent="0.3">
      <c r="C144" s="170">
        <f t="shared" si="15"/>
        <v>44043</v>
      </c>
      <c r="E144" s="284">
        <v>415014</v>
      </c>
      <c r="F144" s="7"/>
      <c r="G144" s="7">
        <v>181660</v>
      </c>
      <c r="H144" s="7"/>
      <c r="I144" s="7">
        <v>49810</v>
      </c>
      <c r="J144" s="287"/>
      <c r="K144" s="7">
        <f t="shared" si="29"/>
        <v>646484</v>
      </c>
      <c r="L144" s="6"/>
      <c r="M144" s="481">
        <f t="shared" si="30"/>
        <v>2.285235887815693E-3</v>
      </c>
      <c r="N144" s="29"/>
      <c r="O144" s="29"/>
      <c r="P144" s="29"/>
      <c r="Q144" s="375">
        <f t="shared" si="31"/>
        <v>1474</v>
      </c>
      <c r="R144" s="6"/>
      <c r="S144" s="7">
        <f>32689+15819+4432</f>
        <v>52940</v>
      </c>
      <c r="T144" s="6"/>
      <c r="U144" s="286">
        <f t="shared" si="32"/>
        <v>8.1889110944741092E-2</v>
      </c>
      <c r="W144">
        <f t="shared" si="20"/>
        <v>134</v>
      </c>
      <c r="Y144" s="56"/>
    </row>
    <row r="145" spans="3:25" hidden="1" outlineLevel="1" x14ac:dyDescent="0.3">
      <c r="C145" s="170">
        <f t="shared" si="15"/>
        <v>44044</v>
      </c>
      <c r="E145" s="284">
        <v>415767</v>
      </c>
      <c r="F145" s="7"/>
      <c r="G145" s="7">
        <v>181754</v>
      </c>
      <c r="H145" s="7"/>
      <c r="I145" s="7">
        <v>49810</v>
      </c>
      <c r="J145" s="287"/>
      <c r="K145" s="7">
        <f t="shared" si="29"/>
        <v>647331</v>
      </c>
      <c r="L145" s="6"/>
      <c r="M145" s="481">
        <f t="shared" si="30"/>
        <v>1.3101639019681849E-3</v>
      </c>
      <c r="N145" s="29"/>
      <c r="O145" s="29"/>
      <c r="P145" s="29"/>
      <c r="Q145" s="375">
        <f t="shared" si="31"/>
        <v>847</v>
      </c>
      <c r="R145" s="6"/>
      <c r="S145" s="7">
        <f>32689+15819+4432</f>
        <v>52940</v>
      </c>
      <c r="T145" s="6"/>
      <c r="U145" s="286">
        <f t="shared" si="32"/>
        <v>8.1781963168765279E-2</v>
      </c>
      <c r="W145">
        <f t="shared" si="20"/>
        <v>135</v>
      </c>
      <c r="Y145" s="56"/>
    </row>
    <row r="146" spans="3:25" hidden="1" outlineLevel="1" x14ac:dyDescent="0.3">
      <c r="C146" s="170">
        <f t="shared" si="15"/>
        <v>44045</v>
      </c>
      <c r="E146" s="284">
        <v>416298</v>
      </c>
      <c r="F146" s="7"/>
      <c r="G146" s="7">
        <v>182350</v>
      </c>
      <c r="H146" s="7"/>
      <c r="I146" s="7">
        <v>49810</v>
      </c>
      <c r="J146" s="287"/>
      <c r="K146" s="7">
        <f t="shared" si="29"/>
        <v>648458</v>
      </c>
      <c r="L146" s="6"/>
      <c r="M146" s="481">
        <f t="shared" si="30"/>
        <v>1.7409949469436811E-3</v>
      </c>
      <c r="N146" s="29"/>
      <c r="O146" s="29"/>
      <c r="P146" s="29"/>
      <c r="Q146" s="375">
        <f t="shared" si="31"/>
        <v>1127</v>
      </c>
      <c r="R146" s="6"/>
      <c r="S146" s="7">
        <f>32689+15819+4432</f>
        <v>52940</v>
      </c>
      <c r="T146" s="6"/>
      <c r="U146" s="286">
        <f t="shared" si="32"/>
        <v>8.1639828639634329E-2</v>
      </c>
      <c r="W146">
        <f t="shared" si="20"/>
        <v>136</v>
      </c>
      <c r="Y146" s="56"/>
    </row>
    <row r="147" spans="3:25" hidden="1" outlineLevel="1" x14ac:dyDescent="0.3">
      <c r="C147" s="170">
        <f t="shared" si="15"/>
        <v>44046</v>
      </c>
      <c r="E147" s="284">
        <v>416843</v>
      </c>
      <c r="F147" s="7"/>
      <c r="G147" s="7">
        <v>182614</v>
      </c>
      <c r="H147" s="7"/>
      <c r="I147" s="7">
        <v>50062</v>
      </c>
      <c r="J147" s="287"/>
      <c r="K147" s="7">
        <f t="shared" si="29"/>
        <v>649519</v>
      </c>
      <c r="L147" s="6"/>
      <c r="M147" s="481">
        <f t="shared" si="30"/>
        <v>1.6361892366197966E-3</v>
      </c>
      <c r="N147" s="29"/>
      <c r="O147" s="29"/>
      <c r="P147" s="29"/>
      <c r="Q147" s="375">
        <f t="shared" si="31"/>
        <v>1061</v>
      </c>
      <c r="R147" s="6"/>
      <c r="S147" s="7">
        <f>32719+15846+4437</f>
        <v>53002</v>
      </c>
      <c r="T147" s="6"/>
      <c r="U147" s="286">
        <f t="shared" si="32"/>
        <v>8.160192388521352E-2</v>
      </c>
      <c r="W147">
        <f t="shared" si="20"/>
        <v>137</v>
      </c>
      <c r="Y147" s="56"/>
    </row>
    <row r="148" spans="3:25" hidden="1" outlineLevel="1" x14ac:dyDescent="0.3">
      <c r="C148" s="170">
        <f t="shared" si="15"/>
        <v>44047</v>
      </c>
      <c r="E148" s="284">
        <v>417689</v>
      </c>
      <c r="F148" s="7"/>
      <c r="G148" s="7">
        <v>182586</v>
      </c>
      <c r="H148" s="7"/>
      <c r="I148" s="7">
        <v>50110</v>
      </c>
      <c r="J148" s="287"/>
      <c r="K148" s="7">
        <f t="shared" si="29"/>
        <v>650385</v>
      </c>
      <c r="L148" s="6"/>
      <c r="M148" s="481">
        <f t="shared" si="30"/>
        <v>1.3332943301119751E-3</v>
      </c>
      <c r="N148" s="29"/>
      <c r="O148" s="29"/>
      <c r="P148" s="29"/>
      <c r="Q148" s="375">
        <f t="shared" si="31"/>
        <v>866</v>
      </c>
      <c r="R148" s="6"/>
      <c r="S148" s="7">
        <f>32725+15846+4437</f>
        <v>53008</v>
      </c>
      <c r="T148" s="6"/>
      <c r="U148" s="286">
        <f t="shared" si="32"/>
        <v>8.1502494676230233E-2</v>
      </c>
      <c r="W148">
        <f t="shared" si="20"/>
        <v>138</v>
      </c>
      <c r="Y148" s="56"/>
    </row>
    <row r="149" spans="3:25" hidden="1" outlineLevel="1" x14ac:dyDescent="0.3">
      <c r="C149" s="170">
        <f t="shared" si="15"/>
        <v>44048</v>
      </c>
      <c r="E149" s="284">
        <v>418225</v>
      </c>
      <c r="F149" s="7"/>
      <c r="G149" s="7">
        <v>183327</v>
      </c>
      <c r="H149" s="7"/>
      <c r="I149" s="7">
        <v>50225</v>
      </c>
      <c r="J149" s="287"/>
      <c r="K149" s="7">
        <f t="shared" si="29"/>
        <v>651777</v>
      </c>
      <c r="L149" s="6"/>
      <c r="M149" s="481">
        <f t="shared" si="30"/>
        <v>2.1402707627020917E-3</v>
      </c>
      <c r="N149" s="29"/>
      <c r="O149" s="29"/>
      <c r="P149" s="29"/>
      <c r="Q149" s="375">
        <f t="shared" si="31"/>
        <v>1392</v>
      </c>
      <c r="R149" s="6"/>
      <c r="S149" s="7">
        <f>32754+15842+4437</f>
        <v>53033</v>
      </c>
      <c r="T149" s="6"/>
      <c r="U149" s="286">
        <f t="shared" si="32"/>
        <v>8.1366786492926266E-2</v>
      </c>
      <c r="W149">
        <f t="shared" si="20"/>
        <v>139</v>
      </c>
      <c r="Y149" s="56"/>
    </row>
    <row r="150" spans="3:25" hidden="1" outlineLevel="1" x14ac:dyDescent="0.3">
      <c r="C150" s="170">
        <f t="shared" si="15"/>
        <v>44049</v>
      </c>
      <c r="E150" s="284">
        <v>418928</v>
      </c>
      <c r="F150" s="7"/>
      <c r="G150" s="7">
        <v>183701</v>
      </c>
      <c r="H150" s="7"/>
      <c r="I150" s="7">
        <v>50246</v>
      </c>
      <c r="J150" s="287"/>
      <c r="K150" s="7">
        <f t="shared" si="29"/>
        <v>652875</v>
      </c>
      <c r="L150" s="6"/>
      <c r="M150" s="481">
        <f t="shared" si="30"/>
        <v>1.6846252629350222E-3</v>
      </c>
      <c r="N150" s="29"/>
      <c r="O150" s="29"/>
      <c r="P150" s="29"/>
      <c r="Q150" s="375">
        <f t="shared" si="31"/>
        <v>1098</v>
      </c>
      <c r="R150" s="6"/>
      <c r="S150" s="7">
        <f>32756+15849+4437</f>
        <v>53042</v>
      </c>
      <c r="T150" s="6"/>
      <c r="U150" s="286">
        <f t="shared" si="32"/>
        <v>8.1243729657285088E-2</v>
      </c>
      <c r="W150">
        <f t="shared" si="20"/>
        <v>140</v>
      </c>
      <c r="Y150" s="56"/>
    </row>
    <row r="151" spans="3:25" hidden="1" outlineLevel="1" x14ac:dyDescent="0.3">
      <c r="C151" s="170">
        <f t="shared" si="15"/>
        <v>44050</v>
      </c>
      <c r="E151" s="284">
        <v>419642</v>
      </c>
      <c r="F151" s="7"/>
      <c r="G151" s="7">
        <v>184061</v>
      </c>
      <c r="H151" s="7"/>
      <c r="I151" s="7">
        <v>50320</v>
      </c>
      <c r="J151" s="287"/>
      <c r="K151" s="7">
        <f t="shared" si="29"/>
        <v>654023</v>
      </c>
      <c r="L151" s="6"/>
      <c r="M151" s="481">
        <f t="shared" si="30"/>
        <v>1.7583764120237412E-3</v>
      </c>
      <c r="N151" s="29"/>
      <c r="O151" s="29"/>
      <c r="P151" s="29"/>
      <c r="Q151" s="375">
        <f t="shared" si="31"/>
        <v>1148</v>
      </c>
      <c r="R151" s="6"/>
      <c r="S151" s="7">
        <f>32760+15849+4441</f>
        <v>53050</v>
      </c>
      <c r="T151" s="6"/>
      <c r="U151" s="286">
        <f t="shared" si="32"/>
        <v>8.1113355340714316E-2</v>
      </c>
      <c r="W151">
        <f t="shared" si="20"/>
        <v>141</v>
      </c>
      <c r="Y151" s="56"/>
    </row>
    <row r="152" spans="3:25" hidden="1" outlineLevel="1" x14ac:dyDescent="0.3">
      <c r="C152" s="170">
        <f t="shared" si="15"/>
        <v>44051</v>
      </c>
      <c r="E152" s="284">
        <v>420345</v>
      </c>
      <c r="F152" s="7"/>
      <c r="G152" s="7">
        <v>184429</v>
      </c>
      <c r="H152" s="7"/>
      <c r="I152" s="7">
        <v>50320</v>
      </c>
      <c r="J152" s="287"/>
      <c r="K152" s="7">
        <f t="shared" si="29"/>
        <v>655094</v>
      </c>
      <c r="L152" s="6"/>
      <c r="M152" s="481">
        <f t="shared" si="30"/>
        <v>1.6375570889708771E-3</v>
      </c>
      <c r="N152" s="29"/>
      <c r="O152" s="29"/>
      <c r="P152" s="29"/>
      <c r="Q152" s="375">
        <f t="shared" si="31"/>
        <v>1071</v>
      </c>
      <c r="R152" s="6"/>
      <c r="S152" s="7">
        <f>32760+15849+4441</f>
        <v>53050</v>
      </c>
      <c r="T152" s="6"/>
      <c r="U152" s="286">
        <f t="shared" si="32"/>
        <v>8.0980744748081951E-2</v>
      </c>
      <c r="W152">
        <f t="shared" si="20"/>
        <v>142</v>
      </c>
      <c r="Y152" s="56"/>
    </row>
    <row r="153" spans="3:25" hidden="1" outlineLevel="1" x14ac:dyDescent="0.3">
      <c r="C153" s="170">
        <f t="shared" si="15"/>
        <v>44052</v>
      </c>
      <c r="E153" s="284">
        <v>420860</v>
      </c>
      <c r="F153" s="7"/>
      <c r="G153" s="7">
        <v>184773</v>
      </c>
      <c r="H153" s="7"/>
      <c r="I153" s="7">
        <v>50320</v>
      </c>
      <c r="J153" s="287"/>
      <c r="K153" s="7">
        <f t="shared" si="29"/>
        <v>655953</v>
      </c>
      <c r="L153" s="6"/>
      <c r="M153" s="481">
        <f t="shared" si="30"/>
        <v>1.3112622005391592E-3</v>
      </c>
      <c r="N153" s="29"/>
      <c r="O153" s="29"/>
      <c r="P153" s="29"/>
      <c r="Q153" s="375">
        <f t="shared" si="31"/>
        <v>859</v>
      </c>
      <c r="R153" s="6"/>
      <c r="S153" s="7">
        <f>32774+15874+4441</f>
        <v>53089</v>
      </c>
      <c r="T153" s="6"/>
      <c r="U153" s="286">
        <f t="shared" si="32"/>
        <v>8.093415229444792E-2</v>
      </c>
      <c r="W153">
        <f t="shared" si="20"/>
        <v>143</v>
      </c>
      <c r="Y153" s="56"/>
    </row>
    <row r="154" spans="3:25" hidden="1" outlineLevel="1" x14ac:dyDescent="0.3">
      <c r="C154" s="170">
        <f t="shared" si="15"/>
        <v>44053</v>
      </c>
      <c r="E154" s="284">
        <v>421336</v>
      </c>
      <c r="F154" s="7"/>
      <c r="G154" s="7">
        <v>185031</v>
      </c>
      <c r="H154" s="7"/>
      <c r="I154" s="7">
        <v>50657</v>
      </c>
      <c r="J154" s="287"/>
      <c r="K154" s="7">
        <f t="shared" si="29"/>
        <v>657024</v>
      </c>
      <c r="L154" s="6"/>
      <c r="M154" s="481">
        <f t="shared" si="30"/>
        <v>1.6327389309904825E-3</v>
      </c>
      <c r="N154" s="29"/>
      <c r="O154" s="29"/>
      <c r="P154" s="29"/>
      <c r="Q154" s="375">
        <f t="shared" si="31"/>
        <v>1071</v>
      </c>
      <c r="R154" s="6"/>
      <c r="S154" s="7">
        <f>32781+15878+4444</f>
        <v>53103</v>
      </c>
      <c r="T154" s="6"/>
      <c r="U154" s="286">
        <f t="shared" si="32"/>
        <v>8.0823531560490935E-2</v>
      </c>
      <c r="W154">
        <f t="shared" si="20"/>
        <v>144</v>
      </c>
      <c r="Y154" s="56"/>
    </row>
    <row r="155" spans="3:25" hidden="1" outlineLevel="1" x14ac:dyDescent="0.3">
      <c r="C155" s="170">
        <f t="shared" si="15"/>
        <v>44054</v>
      </c>
      <c r="E155" s="284">
        <v>422003</v>
      </c>
      <c r="F155" s="7"/>
      <c r="G155" s="7">
        <v>185475</v>
      </c>
      <c r="H155" s="7"/>
      <c r="I155" s="7">
        <v>50684</v>
      </c>
      <c r="J155" s="287"/>
      <c r="K155" s="7">
        <f t="shared" si="29"/>
        <v>658162</v>
      </c>
      <c r="L155" s="6"/>
      <c r="M155" s="481">
        <f t="shared" si="30"/>
        <v>1.7320524060003895E-3</v>
      </c>
      <c r="N155" s="29"/>
      <c r="O155" s="29"/>
      <c r="P155" s="29"/>
      <c r="Q155" s="375">
        <f t="shared" si="31"/>
        <v>1138</v>
      </c>
      <c r="R155" s="6"/>
      <c r="S155" s="7">
        <f>32787+15890+4444</f>
        <v>53121</v>
      </c>
      <c r="T155" s="6"/>
      <c r="U155" s="286">
        <f t="shared" si="32"/>
        <v>8.0711131909772971E-2</v>
      </c>
      <c r="W155">
        <f t="shared" si="20"/>
        <v>145</v>
      </c>
      <c r="Y155" s="56"/>
    </row>
    <row r="156" spans="3:25" hidden="1" outlineLevel="1" x14ac:dyDescent="0.3">
      <c r="C156" s="170">
        <f t="shared" si="15"/>
        <v>44055</v>
      </c>
      <c r="E156" s="284">
        <v>422703</v>
      </c>
      <c r="F156" s="7"/>
      <c r="G156" s="7">
        <v>185938</v>
      </c>
      <c r="H156" s="7"/>
      <c r="I156" s="7">
        <v>50706</v>
      </c>
      <c r="J156" s="287"/>
      <c r="K156" s="7">
        <f t="shared" si="29"/>
        <v>659347</v>
      </c>
      <c r="L156" s="6"/>
      <c r="M156" s="481">
        <f t="shared" si="30"/>
        <v>1.8004685776450175E-3</v>
      </c>
      <c r="N156" s="29"/>
      <c r="O156" s="29"/>
      <c r="P156" s="29"/>
      <c r="Q156" s="375">
        <f t="shared" si="31"/>
        <v>1185</v>
      </c>
      <c r="R156" s="6"/>
      <c r="S156" s="7">
        <f>32787+15890+4444</f>
        <v>53121</v>
      </c>
      <c r="T156" s="6"/>
      <c r="U156" s="286">
        <f t="shared" si="32"/>
        <v>8.0566075222909941E-2</v>
      </c>
      <c r="W156">
        <f t="shared" si="20"/>
        <v>146</v>
      </c>
      <c r="Y156" s="56"/>
    </row>
    <row r="157" spans="3:25" hidden="1" outlineLevel="1" x14ac:dyDescent="0.3">
      <c r="C157" s="170">
        <f t="shared" si="15"/>
        <v>44056</v>
      </c>
      <c r="E157" s="284">
        <v>423440</v>
      </c>
      <c r="F157" s="7"/>
      <c r="G157" s="7">
        <v>185594</v>
      </c>
      <c r="H157" s="7"/>
      <c r="I157" s="7">
        <v>50782</v>
      </c>
      <c r="J157" s="287"/>
      <c r="K157" s="7">
        <f t="shared" si="29"/>
        <v>659816</v>
      </c>
      <c r="L157" s="6"/>
      <c r="M157" s="481">
        <f t="shared" si="30"/>
        <v>7.1130982623717105E-4</v>
      </c>
      <c r="N157" s="29"/>
      <c r="O157" s="29"/>
      <c r="P157" s="29"/>
      <c r="Q157" s="375">
        <f t="shared" si="31"/>
        <v>469</v>
      </c>
      <c r="R157" s="6"/>
      <c r="S157" s="7">
        <f>32806+15893+4450</f>
        <v>53149</v>
      </c>
      <c r="T157" s="6"/>
      <c r="U157" s="286">
        <f t="shared" si="32"/>
        <v>8.0551244589400675E-2</v>
      </c>
      <c r="W157">
        <f t="shared" si="20"/>
        <v>147</v>
      </c>
      <c r="Y157" s="56"/>
    </row>
    <row r="158" spans="3:25" hidden="1" outlineLevel="1" x14ac:dyDescent="0.3">
      <c r="C158" s="170">
        <f t="shared" si="15"/>
        <v>44057</v>
      </c>
      <c r="E158" s="284">
        <v>424167</v>
      </c>
      <c r="F158" s="7"/>
      <c r="G158" s="7">
        <v>187164</v>
      </c>
      <c r="H158" s="7"/>
      <c r="I158" s="7">
        <v>50897</v>
      </c>
      <c r="J158" s="287"/>
      <c r="K158" s="7">
        <f t="shared" si="29"/>
        <v>662228</v>
      </c>
      <c r="L158" s="6"/>
      <c r="M158" s="481">
        <f t="shared" si="30"/>
        <v>3.6555645816409425E-3</v>
      </c>
      <c r="N158" s="29"/>
      <c r="O158" s="29"/>
      <c r="P158" s="29"/>
      <c r="Q158" s="375">
        <f t="shared" si="31"/>
        <v>2412</v>
      </c>
      <c r="R158" s="6"/>
      <c r="S158" s="7">
        <f>32827+15903+4453</f>
        <v>53183</v>
      </c>
      <c r="T158" s="6"/>
      <c r="U158" s="286">
        <f t="shared" si="32"/>
        <v>8.0309198644575586E-2</v>
      </c>
      <c r="W158">
        <f t="shared" si="20"/>
        <v>148</v>
      </c>
      <c r="Y158" s="56"/>
    </row>
    <row r="159" spans="3:25" hidden="1" outlineLevel="1" x14ac:dyDescent="0.3">
      <c r="C159" s="170">
        <f t="shared" si="15"/>
        <v>44058</v>
      </c>
      <c r="E159" s="284">
        <v>424901</v>
      </c>
      <c r="F159" s="7"/>
      <c r="G159" s="7">
        <v>187442</v>
      </c>
      <c r="H159" s="7"/>
      <c r="I159" s="7">
        <v>50897</v>
      </c>
      <c r="J159" s="287"/>
      <c r="K159" s="7">
        <f t="shared" si="29"/>
        <v>663240</v>
      </c>
      <c r="L159" s="6"/>
      <c r="M159" s="481">
        <f t="shared" si="30"/>
        <v>1.528174586396226E-3</v>
      </c>
      <c r="N159" s="29"/>
      <c r="O159" s="29"/>
      <c r="P159" s="29"/>
      <c r="Q159" s="375">
        <f t="shared" si="31"/>
        <v>1012</v>
      </c>
      <c r="R159" s="6"/>
      <c r="S159" s="7">
        <f>32833+15910+4453</f>
        <v>53196</v>
      </c>
      <c r="T159" s="6"/>
      <c r="U159" s="286">
        <f t="shared" si="32"/>
        <v>8.0206260177311375E-2</v>
      </c>
      <c r="W159">
        <f t="shared" si="20"/>
        <v>149</v>
      </c>
      <c r="Y159" s="56"/>
    </row>
    <row r="160" spans="3:25" hidden="1" outlineLevel="1" x14ac:dyDescent="0.3">
      <c r="C160" s="170">
        <f t="shared" si="15"/>
        <v>44059</v>
      </c>
      <c r="E160" s="284">
        <v>425508</v>
      </c>
      <c r="F160" s="7"/>
      <c r="G160" s="7">
        <v>187455</v>
      </c>
      <c r="H160" s="7"/>
      <c r="I160" s="7">
        <v>50897</v>
      </c>
      <c r="J160" s="287"/>
      <c r="K160" s="7">
        <f t="shared" si="29"/>
        <v>663860</v>
      </c>
      <c r="L160" s="6"/>
      <c r="M160" s="481">
        <f t="shared" si="30"/>
        <v>9.3480489717146127E-4</v>
      </c>
      <c r="N160" s="29"/>
      <c r="O160" s="29"/>
      <c r="P160" s="29"/>
      <c r="Q160" s="375">
        <f t="shared" si="31"/>
        <v>620</v>
      </c>
      <c r="R160" s="6"/>
      <c r="S160" s="7">
        <f>32840+15912+4453</f>
        <v>53205</v>
      </c>
      <c r="T160" s="6"/>
      <c r="U160" s="286">
        <f t="shared" si="32"/>
        <v>8.0144910071400594E-2</v>
      </c>
      <c r="W160">
        <f t="shared" si="20"/>
        <v>150</v>
      </c>
      <c r="Y160" s="56"/>
    </row>
    <row r="161" spans="3:25" hidden="1" outlineLevel="1" x14ac:dyDescent="0.3">
      <c r="C161" s="170">
        <f t="shared" si="15"/>
        <v>44060</v>
      </c>
      <c r="E161" s="284">
        <v>425916</v>
      </c>
      <c r="F161" s="7"/>
      <c r="G161" s="7">
        <v>187767</v>
      </c>
      <c r="H161" s="7"/>
      <c r="I161" s="7">
        <v>51267</v>
      </c>
      <c r="J161" s="287"/>
      <c r="K161" s="7">
        <f t="shared" si="29"/>
        <v>664950</v>
      </c>
      <c r="L161" s="6"/>
      <c r="M161" s="481">
        <f t="shared" si="30"/>
        <v>1.6419124514204801E-3</v>
      </c>
      <c r="N161" s="29"/>
      <c r="O161" s="29"/>
      <c r="P161" s="29"/>
      <c r="Q161" s="375">
        <f t="shared" si="31"/>
        <v>1090</v>
      </c>
      <c r="R161" s="6"/>
      <c r="S161" s="7">
        <f>32846+15916+4456</f>
        <v>53218</v>
      </c>
      <c r="T161" s="6"/>
      <c r="U161" s="286">
        <f t="shared" si="32"/>
        <v>8.0033085194375519E-2</v>
      </c>
      <c r="W161">
        <f t="shared" si="20"/>
        <v>151</v>
      </c>
      <c r="Y161" s="56"/>
    </row>
    <row r="162" spans="3:25" hidden="1" outlineLevel="1" x14ac:dyDescent="0.3">
      <c r="C162" s="170">
        <f t="shared" si="15"/>
        <v>44061</v>
      </c>
      <c r="E162" s="284">
        <v>426571</v>
      </c>
      <c r="F162" s="7"/>
      <c r="G162" s="7">
        <v>188098</v>
      </c>
      <c r="H162" s="7"/>
      <c r="I162" s="7">
        <v>51255</v>
      </c>
      <c r="J162" s="287"/>
      <c r="K162" s="7">
        <f t="shared" si="29"/>
        <v>665924</v>
      </c>
      <c r="L162" s="6"/>
      <c r="M162" s="481">
        <f t="shared" si="30"/>
        <v>1.4647717873524325E-3</v>
      </c>
      <c r="N162" s="29"/>
      <c r="O162" s="29"/>
      <c r="P162" s="29"/>
      <c r="Q162" s="375">
        <f t="shared" si="31"/>
        <v>974</v>
      </c>
      <c r="R162" s="6"/>
      <c r="S162" s="7">
        <f>32857+15925+4456</f>
        <v>53238</v>
      </c>
      <c r="T162" s="6"/>
      <c r="U162" s="286">
        <f t="shared" si="32"/>
        <v>7.9946059910740566E-2</v>
      </c>
      <c r="W162">
        <f t="shared" si="20"/>
        <v>152</v>
      </c>
      <c r="Y162" s="56"/>
    </row>
    <row r="163" spans="3:25" hidden="1" outlineLevel="1" x14ac:dyDescent="0.3">
      <c r="C163" s="170">
        <f t="shared" si="15"/>
        <v>44062</v>
      </c>
      <c r="E163" s="284">
        <v>427202</v>
      </c>
      <c r="F163" s="7"/>
      <c r="G163" s="7">
        <v>188427</v>
      </c>
      <c r="H163" s="7"/>
      <c r="I163" s="7">
        <v>51314</v>
      </c>
      <c r="J163" s="287"/>
      <c r="K163" s="7">
        <f t="shared" si="29"/>
        <v>666943</v>
      </c>
      <c r="L163" s="6"/>
      <c r="M163" s="481">
        <f t="shared" si="30"/>
        <v>1.5302046479778472E-3</v>
      </c>
      <c r="N163" s="29"/>
      <c r="O163" s="29"/>
      <c r="P163" s="29"/>
      <c r="Q163" s="375">
        <f t="shared" si="31"/>
        <v>1019</v>
      </c>
      <c r="R163" s="6"/>
      <c r="S163" s="7">
        <f>32865+15926+4457</f>
        <v>53248</v>
      </c>
      <c r="T163" s="6"/>
      <c r="U163" s="286">
        <f t="shared" si="32"/>
        <v>7.9838906773142537E-2</v>
      </c>
      <c r="W163">
        <f t="shared" si="20"/>
        <v>153</v>
      </c>
      <c r="Y163" s="56"/>
    </row>
    <row r="164" spans="3:25" hidden="1" outlineLevel="1" x14ac:dyDescent="0.3">
      <c r="C164" s="170">
        <f t="shared" si="15"/>
        <v>44063</v>
      </c>
      <c r="E164" s="284">
        <v>427803</v>
      </c>
      <c r="F164" s="7"/>
      <c r="G164" s="7">
        <v>188527</v>
      </c>
      <c r="H164" s="7"/>
      <c r="I164" s="7">
        <v>51432</v>
      </c>
      <c r="J164" s="287"/>
      <c r="K164" s="7">
        <f t="shared" si="29"/>
        <v>667762</v>
      </c>
      <c r="L164" s="6"/>
      <c r="M164" s="481">
        <f t="shared" si="30"/>
        <v>1.2279909977314404E-3</v>
      </c>
      <c r="N164" s="29"/>
      <c r="O164" s="29"/>
      <c r="P164" s="29"/>
      <c r="Q164" s="375">
        <f t="shared" si="31"/>
        <v>819</v>
      </c>
      <c r="R164" s="6"/>
      <c r="S164" s="7">
        <f>32861+15932+4458</f>
        <v>53251</v>
      </c>
      <c r="T164" s="6"/>
      <c r="U164" s="286">
        <f t="shared" si="32"/>
        <v>7.974547817935132E-2</v>
      </c>
      <c r="W164">
        <f t="shared" si="20"/>
        <v>154</v>
      </c>
      <c r="Y164" s="56"/>
    </row>
    <row r="165" spans="3:25" hidden="1" outlineLevel="1" x14ac:dyDescent="0.3">
      <c r="C165" s="170">
        <f t="shared" si="15"/>
        <v>44064</v>
      </c>
      <c r="E165" s="284">
        <v>429165</v>
      </c>
      <c r="F165" s="7"/>
      <c r="G165" s="7">
        <v>189346</v>
      </c>
      <c r="H165" s="7"/>
      <c r="I165" s="7">
        <v>51519</v>
      </c>
      <c r="J165" s="287"/>
      <c r="K165" s="7">
        <f t="shared" si="29"/>
        <v>670030</v>
      </c>
      <c r="L165" s="6"/>
      <c r="M165" s="481">
        <f t="shared" si="30"/>
        <v>3.3964196824617155E-3</v>
      </c>
      <c r="N165" s="29"/>
      <c r="O165" s="29"/>
      <c r="P165" s="29"/>
      <c r="Q165" s="375">
        <f t="shared" si="31"/>
        <v>2268</v>
      </c>
      <c r="R165" s="6"/>
      <c r="S165" s="7">
        <f>32871+15943+4450</f>
        <v>53264</v>
      </c>
      <c r="T165" s="6"/>
      <c r="U165" s="286">
        <f t="shared" si="32"/>
        <v>7.9494947987403544E-2</v>
      </c>
      <c r="W165">
        <f t="shared" si="20"/>
        <v>155</v>
      </c>
      <c r="Y165" s="56"/>
    </row>
    <row r="166" spans="3:25" hidden="1" outlineLevel="1" x14ac:dyDescent="0.3">
      <c r="C166" s="170">
        <f t="shared" si="15"/>
        <v>44065</v>
      </c>
      <c r="E166" s="284">
        <v>429737</v>
      </c>
      <c r="F166" s="7"/>
      <c r="G166" s="7">
        <v>189494</v>
      </c>
      <c r="H166" s="7"/>
      <c r="I166" s="7">
        <v>51519</v>
      </c>
      <c r="J166" s="287"/>
      <c r="K166" s="7">
        <f t="shared" ref="K166:K183" si="33">SUM(E166:I166)</f>
        <v>670750</v>
      </c>
      <c r="L166" s="6"/>
      <c r="M166" s="481">
        <f t="shared" ref="M166:M183" si="34">+(K166-K165)/K165</f>
        <v>1.0745787502052147E-3</v>
      </c>
      <c r="N166" s="29"/>
      <c r="O166" s="29"/>
      <c r="P166" s="29"/>
      <c r="Q166" s="375">
        <f t="shared" ref="Q166:Q183" si="35">+K166-K165</f>
        <v>720</v>
      </c>
      <c r="R166" s="6"/>
      <c r="S166" s="7">
        <f>32883+15946+4460</f>
        <v>53289</v>
      </c>
      <c r="T166" s="6"/>
      <c r="U166" s="286">
        <f t="shared" ref="U166:U183" si="36">+S166/K166</f>
        <v>7.9446887812150577E-2</v>
      </c>
      <c r="W166">
        <f t="shared" si="20"/>
        <v>156</v>
      </c>
      <c r="Y166" s="56"/>
    </row>
    <row r="167" spans="3:25" hidden="1" outlineLevel="1" x14ac:dyDescent="0.3">
      <c r="C167" s="170">
        <f t="shared" si="15"/>
        <v>44066</v>
      </c>
      <c r="E167" s="284">
        <v>430146</v>
      </c>
      <c r="F167" s="7"/>
      <c r="G167" s="7">
        <v>189719</v>
      </c>
      <c r="H167" s="7"/>
      <c r="I167" s="7">
        <v>52011</v>
      </c>
      <c r="J167" s="287"/>
      <c r="K167" s="7">
        <f t="shared" si="33"/>
        <v>671876</v>
      </c>
      <c r="L167" s="6"/>
      <c r="M167" s="481">
        <f t="shared" si="34"/>
        <v>1.6787178531494596E-3</v>
      </c>
      <c r="N167" s="29"/>
      <c r="O167" s="29"/>
      <c r="P167" s="29"/>
      <c r="Q167" s="375">
        <f t="shared" si="35"/>
        <v>1126</v>
      </c>
      <c r="R167" s="6"/>
      <c r="S167" s="7">
        <f>32887+15946+4460</f>
        <v>53293</v>
      </c>
      <c r="T167" s="6"/>
      <c r="U167" s="286">
        <f t="shared" si="36"/>
        <v>7.931969589626657E-2</v>
      </c>
      <c r="W167">
        <f t="shared" si="20"/>
        <v>157</v>
      </c>
      <c r="Y167" s="56"/>
    </row>
    <row r="168" spans="3:25" hidden="1" outlineLevel="1" x14ac:dyDescent="0.3">
      <c r="C168" s="170">
        <f t="shared" si="15"/>
        <v>44067</v>
      </c>
      <c r="E168" s="284">
        <v>430774</v>
      </c>
      <c r="F168" s="7"/>
      <c r="G168" s="7">
        <v>190021</v>
      </c>
      <c r="H168" s="7"/>
      <c r="I168" s="7">
        <v>52040</v>
      </c>
      <c r="J168" s="287"/>
      <c r="K168" s="7">
        <f t="shared" si="33"/>
        <v>672835</v>
      </c>
      <c r="L168" s="6"/>
      <c r="M168" s="481">
        <f t="shared" si="34"/>
        <v>1.427346712786288E-3</v>
      </c>
      <c r="N168" s="29"/>
      <c r="O168" s="29"/>
      <c r="P168" s="29"/>
      <c r="Q168" s="375">
        <f t="shared" si="35"/>
        <v>959</v>
      </c>
      <c r="R168" s="6"/>
      <c r="S168" s="7">
        <f>32918+15953+4463</f>
        <v>53334</v>
      </c>
      <c r="T168" s="6"/>
      <c r="U168" s="286">
        <f t="shared" si="36"/>
        <v>7.9267576746156185E-2</v>
      </c>
      <c r="W168">
        <f t="shared" si="20"/>
        <v>158</v>
      </c>
      <c r="Y168" s="56"/>
    </row>
    <row r="169" spans="3:25" hidden="1" outlineLevel="1" x14ac:dyDescent="0.3">
      <c r="C169" s="170">
        <f t="shared" si="15"/>
        <v>44068</v>
      </c>
      <c r="E169" s="284">
        <v>431340</v>
      </c>
      <c r="F169" s="7"/>
      <c r="G169" s="7">
        <v>190306</v>
      </c>
      <c r="H169" s="7"/>
      <c r="I169" s="7">
        <v>52220</v>
      </c>
      <c r="J169" s="287"/>
      <c r="K169" s="7">
        <f t="shared" si="33"/>
        <v>673866</v>
      </c>
      <c r="L169" s="6"/>
      <c r="M169" s="481">
        <f t="shared" si="34"/>
        <v>1.5323221889467699E-3</v>
      </c>
      <c r="N169" s="29"/>
      <c r="O169" s="29"/>
      <c r="P169" s="29"/>
      <c r="Q169" s="375">
        <f t="shared" si="35"/>
        <v>1031</v>
      </c>
      <c r="R169" s="6"/>
      <c r="S169" s="7">
        <f>32921+15914+4463</f>
        <v>53298</v>
      </c>
      <c r="T169" s="6"/>
      <c r="U169" s="286">
        <f t="shared" si="36"/>
        <v>7.9092876031733317E-2</v>
      </c>
      <c r="W169">
        <f t="shared" si="20"/>
        <v>159</v>
      </c>
      <c r="Y169" s="56"/>
    </row>
    <row r="170" spans="3:25" hidden="1" outlineLevel="1" x14ac:dyDescent="0.3">
      <c r="C170" s="170">
        <f t="shared" si="15"/>
        <v>44069</v>
      </c>
      <c r="E170" s="284">
        <v>431750</v>
      </c>
      <c r="F170" s="7"/>
      <c r="G170" s="7">
        <v>190422</v>
      </c>
      <c r="H170" s="7"/>
      <c r="I170" s="7">
        <v>52280</v>
      </c>
      <c r="J170" s="287"/>
      <c r="K170" s="7">
        <f t="shared" si="33"/>
        <v>674452</v>
      </c>
      <c r="L170" s="6"/>
      <c r="M170" s="481">
        <f t="shared" si="34"/>
        <v>8.6960909142173664E-4</v>
      </c>
      <c r="N170" s="29"/>
      <c r="O170" s="29"/>
      <c r="P170" s="29"/>
      <c r="Q170" s="375">
        <f t="shared" si="35"/>
        <v>586</v>
      </c>
      <c r="R170" s="6"/>
      <c r="S170" s="7">
        <f>32921+15914+4463</f>
        <v>53298</v>
      </c>
      <c r="T170" s="6"/>
      <c r="U170" s="286">
        <f t="shared" si="36"/>
        <v>7.9024155907314389E-2</v>
      </c>
      <c r="W170">
        <f t="shared" si="20"/>
        <v>160</v>
      </c>
      <c r="Y170" s="56"/>
    </row>
    <row r="171" spans="3:25" hidden="1" outlineLevel="1" x14ac:dyDescent="0.3">
      <c r="C171" s="170">
        <f t="shared" si="15"/>
        <v>44070</v>
      </c>
      <c r="E171" s="284">
        <v>432131</v>
      </c>
      <c r="F171" s="7"/>
      <c r="G171" s="7">
        <v>190613</v>
      </c>
      <c r="H171" s="7"/>
      <c r="I171" s="7">
        <v>52350</v>
      </c>
      <c r="J171" s="287"/>
      <c r="K171" s="7">
        <f t="shared" si="33"/>
        <v>675094</v>
      </c>
      <c r="L171" s="6"/>
      <c r="M171" s="481">
        <f t="shared" si="34"/>
        <v>9.5188389981792627E-4</v>
      </c>
      <c r="N171" s="29"/>
      <c r="O171" s="29"/>
      <c r="P171" s="29"/>
      <c r="Q171" s="375">
        <f t="shared" si="35"/>
        <v>642</v>
      </c>
      <c r="R171" s="6"/>
      <c r="S171" s="7">
        <f>32926+15921+4465</f>
        <v>53312</v>
      </c>
      <c r="T171" s="6"/>
      <c r="U171" s="286">
        <f t="shared" si="36"/>
        <v>7.8969743472760826E-2</v>
      </c>
      <c r="W171">
        <f t="shared" si="20"/>
        <v>161</v>
      </c>
      <c r="Y171" s="56"/>
    </row>
    <row r="172" spans="3:25" hidden="1" outlineLevel="1" x14ac:dyDescent="0.3">
      <c r="C172" s="170">
        <f t="shared" si="15"/>
        <v>44071</v>
      </c>
      <c r="E172" s="284">
        <v>432767</v>
      </c>
      <c r="F172" s="7"/>
      <c r="G172" s="7">
        <v>190971</v>
      </c>
      <c r="H172" s="7"/>
      <c r="I172" s="7">
        <v>52495</v>
      </c>
      <c r="J172" s="287"/>
      <c r="K172" s="7">
        <f t="shared" si="33"/>
        <v>676233</v>
      </c>
      <c r="L172" s="6"/>
      <c r="M172" s="481">
        <f t="shared" si="34"/>
        <v>1.687172453021357E-3</v>
      </c>
      <c r="N172" s="29"/>
      <c r="O172" s="29"/>
      <c r="P172" s="29"/>
      <c r="Q172" s="375">
        <f t="shared" si="35"/>
        <v>1139</v>
      </c>
      <c r="R172" s="6"/>
      <c r="S172" s="7">
        <f>32934+15930+4465</f>
        <v>53329</v>
      </c>
      <c r="T172" s="6"/>
      <c r="U172" s="286">
        <f t="shared" si="36"/>
        <v>7.8861871573851022E-2</v>
      </c>
      <c r="W172">
        <f t="shared" si="20"/>
        <v>162</v>
      </c>
      <c r="Y172" s="56"/>
    </row>
    <row r="173" spans="3:25" hidden="1" outlineLevel="1" x14ac:dyDescent="0.3">
      <c r="C173" s="170">
        <f t="shared" si="15"/>
        <v>44072</v>
      </c>
      <c r="E173" s="284">
        <v>433402</v>
      </c>
      <c r="F173" s="7"/>
      <c r="G173" s="7">
        <v>191420</v>
      </c>
      <c r="H173" s="7"/>
      <c r="I173" s="7">
        <v>52495</v>
      </c>
      <c r="J173" s="287"/>
      <c r="K173" s="7">
        <f t="shared" si="33"/>
        <v>677317</v>
      </c>
      <c r="L173" s="6"/>
      <c r="M173" s="481">
        <f t="shared" si="34"/>
        <v>1.6029977833084158E-3</v>
      </c>
      <c r="N173" s="29"/>
      <c r="O173" s="29"/>
      <c r="P173" s="29"/>
      <c r="Q173" s="375">
        <f t="shared" si="35"/>
        <v>1084</v>
      </c>
      <c r="R173" s="6"/>
      <c r="S173" s="7">
        <f>32938+15933+4465</f>
        <v>53336</v>
      </c>
      <c r="T173" s="6"/>
      <c r="U173" s="286">
        <f t="shared" si="36"/>
        <v>7.8745993382714444E-2</v>
      </c>
      <c r="W173">
        <f t="shared" si="20"/>
        <v>163</v>
      </c>
      <c r="Y173" s="56"/>
    </row>
    <row r="174" spans="3:25" hidden="1" outlineLevel="1" x14ac:dyDescent="0.3">
      <c r="C174" s="170">
        <f t="shared" si="15"/>
        <v>44073</v>
      </c>
      <c r="E174" s="284">
        <v>434100</v>
      </c>
      <c r="F174" s="7"/>
      <c r="G174" s="7">
        <v>191611</v>
      </c>
      <c r="H174" s="7"/>
      <c r="I174" s="7">
        <v>52495</v>
      </c>
      <c r="J174" s="287"/>
      <c r="K174" s="7">
        <f t="shared" si="33"/>
        <v>678206</v>
      </c>
      <c r="L174" s="6"/>
      <c r="M174" s="481">
        <f t="shared" si="34"/>
        <v>1.3125316506155907E-3</v>
      </c>
      <c r="N174" s="29"/>
      <c r="O174" s="29"/>
      <c r="P174" s="29"/>
      <c r="Q174" s="375">
        <f t="shared" si="35"/>
        <v>889</v>
      </c>
      <c r="R174" s="6"/>
      <c r="S174" s="7">
        <f>32948+15934+4465</f>
        <v>53347</v>
      </c>
      <c r="T174" s="6"/>
      <c r="U174" s="286">
        <f t="shared" si="36"/>
        <v>7.8658991515852122E-2</v>
      </c>
      <c r="W174">
        <f t="shared" si="20"/>
        <v>164</v>
      </c>
      <c r="Y174" s="56"/>
    </row>
    <row r="175" spans="3:25" hidden="1" outlineLevel="1" x14ac:dyDescent="0.3">
      <c r="C175" s="170">
        <f t="shared" si="15"/>
        <v>44074</v>
      </c>
      <c r="E175" s="284">
        <v>434756</v>
      </c>
      <c r="F175" s="7"/>
      <c r="G175" s="7">
        <v>191960</v>
      </c>
      <c r="H175" s="7"/>
      <c r="I175" s="7">
        <v>52879</v>
      </c>
      <c r="J175" s="287"/>
      <c r="K175" s="7">
        <f t="shared" si="33"/>
        <v>679595</v>
      </c>
      <c r="L175" s="6"/>
      <c r="M175" s="481">
        <f t="shared" si="34"/>
        <v>2.0480502974022643E-3</v>
      </c>
      <c r="N175" s="29"/>
      <c r="O175" s="29"/>
      <c r="P175" s="29"/>
      <c r="Q175" s="375">
        <f t="shared" si="35"/>
        <v>1389</v>
      </c>
      <c r="R175" s="6"/>
      <c r="S175" s="7">
        <f>32957+15945+4465</f>
        <v>53367</v>
      </c>
      <c r="T175" s="6"/>
      <c r="U175" s="286">
        <f t="shared" si="36"/>
        <v>7.8527652498914802E-2</v>
      </c>
      <c r="W175">
        <f t="shared" si="20"/>
        <v>165</v>
      </c>
      <c r="Y175" s="56"/>
    </row>
    <row r="176" spans="3:25" hidden="1" outlineLevel="1" x14ac:dyDescent="0.3">
      <c r="C176" s="170">
        <f t="shared" si="15"/>
        <v>44075</v>
      </c>
      <c r="E176" s="284">
        <v>435510</v>
      </c>
      <c r="F176" s="7"/>
      <c r="G176" s="7">
        <v>192290</v>
      </c>
      <c r="H176" s="7"/>
      <c r="I176" s="7">
        <v>53006</v>
      </c>
      <c r="J176" s="287"/>
      <c r="K176" s="7">
        <f t="shared" si="33"/>
        <v>680806</v>
      </c>
      <c r="L176" s="6"/>
      <c r="M176" s="481">
        <f t="shared" si="34"/>
        <v>1.7819436576196118E-3</v>
      </c>
      <c r="N176" s="29"/>
      <c r="O176" s="29"/>
      <c r="P176" s="29"/>
      <c r="Q176" s="375">
        <f t="shared" si="35"/>
        <v>1211</v>
      </c>
      <c r="R176" s="6"/>
      <c r="S176" s="7">
        <f>32966+15950+4466</f>
        <v>53382</v>
      </c>
      <c r="T176" s="6"/>
      <c r="U176" s="286">
        <f t="shared" si="36"/>
        <v>7.8410002262024714E-2</v>
      </c>
      <c r="W176">
        <f t="shared" si="20"/>
        <v>166</v>
      </c>
      <c r="Y176" s="56"/>
    </row>
    <row r="177" spans="3:25" hidden="1" outlineLevel="1" x14ac:dyDescent="0.3">
      <c r="C177" s="170">
        <f t="shared" si="15"/>
        <v>44076</v>
      </c>
      <c r="E177" s="284">
        <v>436218</v>
      </c>
      <c r="F177" s="7"/>
      <c r="G177" s="7">
        <v>192595</v>
      </c>
      <c r="H177" s="7"/>
      <c r="I177" s="7">
        <v>53108</v>
      </c>
      <c r="J177" s="287"/>
      <c r="K177" s="7">
        <f t="shared" si="33"/>
        <v>681921</v>
      </c>
      <c r="L177" s="6"/>
      <c r="M177" s="481">
        <f t="shared" si="34"/>
        <v>1.6377646495477419E-3</v>
      </c>
      <c r="N177" s="29"/>
      <c r="O177" s="29"/>
      <c r="P177" s="29"/>
      <c r="Q177" s="375">
        <f t="shared" si="35"/>
        <v>1115</v>
      </c>
      <c r="R177" s="6"/>
      <c r="S177" s="7">
        <f>32972+15964+4467</f>
        <v>53403</v>
      </c>
      <c r="T177" s="6"/>
      <c r="U177" s="286">
        <f t="shared" si="36"/>
        <v>7.8312590461358425E-2</v>
      </c>
      <c r="W177">
        <f t="shared" si="20"/>
        <v>167</v>
      </c>
      <c r="Y177" s="56"/>
    </row>
    <row r="178" spans="3:25" hidden="1" outlineLevel="1" x14ac:dyDescent="0.3">
      <c r="C178" s="170">
        <f t="shared" si="15"/>
        <v>44077</v>
      </c>
      <c r="E178" s="284">
        <v>437107</v>
      </c>
      <c r="F178" s="7"/>
      <c r="G178" s="7">
        <v>192973</v>
      </c>
      <c r="H178" s="7"/>
      <c r="I178" s="7">
        <v>53209</v>
      </c>
      <c r="J178" s="287"/>
      <c r="K178" s="7">
        <f t="shared" si="33"/>
        <v>683289</v>
      </c>
      <c r="L178" s="6"/>
      <c r="M178" s="481">
        <f t="shared" si="34"/>
        <v>2.0060974804999407E-3</v>
      </c>
      <c r="N178" s="29"/>
      <c r="O178" s="29"/>
      <c r="P178" s="29"/>
      <c r="Q178" s="375">
        <f t="shared" si="35"/>
        <v>1368</v>
      </c>
      <c r="R178" s="6"/>
      <c r="S178" s="7">
        <f>32976+15971+4468</f>
        <v>53415</v>
      </c>
      <c r="T178" s="6"/>
      <c r="U178" s="286">
        <f t="shared" si="36"/>
        <v>7.8173364418276894E-2</v>
      </c>
      <c r="W178">
        <f t="shared" si="20"/>
        <v>168</v>
      </c>
      <c r="Y178" s="56"/>
    </row>
    <row r="179" spans="3:25" hidden="1" outlineLevel="1" x14ac:dyDescent="0.3">
      <c r="C179" s="170">
        <f t="shared" si="15"/>
        <v>44078</v>
      </c>
      <c r="E179" s="284">
        <v>437562</v>
      </c>
      <c r="F179" s="7"/>
      <c r="G179" s="7">
        <v>193488</v>
      </c>
      <c r="H179" s="7"/>
      <c r="I179" s="7">
        <v>53274</v>
      </c>
      <c r="J179" s="287"/>
      <c r="K179" s="7">
        <f t="shared" si="33"/>
        <v>684324</v>
      </c>
      <c r="L179" s="6"/>
      <c r="M179" s="481">
        <f t="shared" si="34"/>
        <v>1.5147324192252474E-3</v>
      </c>
      <c r="N179" s="29"/>
      <c r="O179" s="29"/>
      <c r="P179" s="29"/>
      <c r="Q179" s="375">
        <f t="shared" si="35"/>
        <v>1035</v>
      </c>
      <c r="R179" s="6"/>
      <c r="S179" s="7">
        <f>32987+15985+4468</f>
        <v>53440</v>
      </c>
      <c r="T179" s="6"/>
      <c r="U179" s="286">
        <f t="shared" si="36"/>
        <v>7.8091664182463272E-2</v>
      </c>
      <c r="W179">
        <f t="shared" si="20"/>
        <v>169</v>
      </c>
      <c r="Y179" s="56"/>
    </row>
    <row r="180" spans="3:25" hidden="1" outlineLevel="1" x14ac:dyDescent="0.3">
      <c r="C180" s="170">
        <f t="shared" si="15"/>
        <v>44079</v>
      </c>
      <c r="E180" s="284">
        <v>438772</v>
      </c>
      <c r="F180" s="7"/>
      <c r="G180" s="7">
        <v>193747</v>
      </c>
      <c r="H180" s="7"/>
      <c r="I180" s="7">
        <v>53365</v>
      </c>
      <c r="J180" s="287"/>
      <c r="K180" s="7">
        <f t="shared" si="33"/>
        <v>685884</v>
      </c>
      <c r="L180" s="6"/>
      <c r="M180" s="481">
        <f t="shared" si="34"/>
        <v>2.2796219334701106E-3</v>
      </c>
      <c r="N180" s="29"/>
      <c r="O180" s="29"/>
      <c r="P180" s="29"/>
      <c r="Q180" s="375">
        <f t="shared" si="35"/>
        <v>1560</v>
      </c>
      <c r="R180" s="6"/>
      <c r="S180" s="7">
        <f>32987+15985+4468</f>
        <v>53440</v>
      </c>
      <c r="T180" s="6"/>
      <c r="U180" s="286">
        <f t="shared" si="36"/>
        <v>7.791404960605583E-2</v>
      </c>
      <c r="W180">
        <f t="shared" si="20"/>
        <v>170</v>
      </c>
      <c r="Y180" s="56"/>
    </row>
    <row r="181" spans="3:25" hidden="1" outlineLevel="1" x14ac:dyDescent="0.3">
      <c r="C181" s="170">
        <f t="shared" si="15"/>
        <v>44080</v>
      </c>
      <c r="E181" s="284">
        <v>439501</v>
      </c>
      <c r="F181" s="7"/>
      <c r="G181" s="7">
        <v>194058</v>
      </c>
      <c r="H181" s="7"/>
      <c r="I181" s="7">
        <v>53365</v>
      </c>
      <c r="J181" s="287"/>
      <c r="K181" s="7">
        <f t="shared" si="33"/>
        <v>686924</v>
      </c>
      <c r="L181" s="6"/>
      <c r="M181" s="481">
        <f t="shared" si="34"/>
        <v>1.5162913845489909E-3</v>
      </c>
      <c r="N181" s="29"/>
      <c r="O181" s="29"/>
      <c r="P181" s="29"/>
      <c r="Q181" s="375">
        <f t="shared" si="35"/>
        <v>1040</v>
      </c>
      <c r="R181" s="6"/>
      <c r="S181" s="7">
        <f>32987+15985+4468</f>
        <v>53440</v>
      </c>
      <c r="T181" s="6"/>
      <c r="U181" s="286">
        <f t="shared" si="36"/>
        <v>7.7796088067966757E-2</v>
      </c>
      <c r="W181">
        <f t="shared" si="20"/>
        <v>171</v>
      </c>
      <c r="Y181" s="56"/>
    </row>
    <row r="182" spans="3:25" hidden="1" outlineLevel="1" x14ac:dyDescent="0.3">
      <c r="C182" s="170">
        <f t="shared" si="15"/>
        <v>44081</v>
      </c>
      <c r="E182" s="284">
        <v>440021</v>
      </c>
      <c r="F182" s="7"/>
      <c r="G182" s="7">
        <v>194390</v>
      </c>
      <c r="H182" s="7"/>
      <c r="I182" s="7">
        <v>53365</v>
      </c>
      <c r="J182" s="287"/>
      <c r="K182" s="7">
        <f t="shared" si="33"/>
        <v>687776</v>
      </c>
      <c r="L182" s="6"/>
      <c r="M182" s="481">
        <f t="shared" si="34"/>
        <v>1.24031188311953E-3</v>
      </c>
      <c r="N182" s="29"/>
      <c r="O182" s="29"/>
      <c r="P182" s="29"/>
      <c r="Q182" s="375">
        <f t="shared" si="35"/>
        <v>852</v>
      </c>
      <c r="R182" s="6"/>
      <c r="S182" s="7">
        <f>32987+15985+4468</f>
        <v>53440</v>
      </c>
      <c r="T182" s="6"/>
      <c r="U182" s="286">
        <f t="shared" si="36"/>
        <v>7.7699716186665421E-2</v>
      </c>
      <c r="W182">
        <f t="shared" si="20"/>
        <v>172</v>
      </c>
      <c r="Y182" s="56"/>
    </row>
    <row r="183" spans="3:25" hidden="1" outlineLevel="1" x14ac:dyDescent="0.3">
      <c r="C183" s="170">
        <f t="shared" si="15"/>
        <v>44082</v>
      </c>
      <c r="E183" s="284">
        <v>440578</v>
      </c>
      <c r="F183" s="7"/>
      <c r="G183" s="7">
        <v>194667</v>
      </c>
      <c r="H183" s="7"/>
      <c r="I183" s="7">
        <v>53782</v>
      </c>
      <c r="J183" s="287"/>
      <c r="K183" s="7">
        <f t="shared" si="33"/>
        <v>689027</v>
      </c>
      <c r="L183" s="6"/>
      <c r="M183" s="481">
        <f t="shared" si="34"/>
        <v>1.818906155492486E-3</v>
      </c>
      <c r="N183" s="29"/>
      <c r="O183" s="29"/>
      <c r="P183" s="29"/>
      <c r="Q183" s="375">
        <f t="shared" si="35"/>
        <v>1251</v>
      </c>
      <c r="R183" s="6"/>
      <c r="S183" s="7">
        <f>33010+15996+4474</f>
        <v>53480</v>
      </c>
      <c r="T183" s="6"/>
      <c r="U183" s="286">
        <f t="shared" si="36"/>
        <v>7.7616697168616036E-2</v>
      </c>
      <c r="W183">
        <f t="shared" si="20"/>
        <v>173</v>
      </c>
      <c r="Y183" s="56"/>
    </row>
    <row r="184" spans="3:25" hidden="1" outlineLevel="1" x14ac:dyDescent="0.3">
      <c r="C184" s="170">
        <f t="shared" si="15"/>
        <v>44083</v>
      </c>
      <c r="E184" s="284">
        <v>441154</v>
      </c>
      <c r="F184" s="7"/>
      <c r="G184" s="7">
        <v>194994</v>
      </c>
      <c r="H184" s="7"/>
      <c r="I184" s="7">
        <v>53871</v>
      </c>
      <c r="J184" s="287"/>
      <c r="K184" s="7">
        <f t="shared" ref="K184:K213" si="37">SUM(E184:I184)</f>
        <v>690019</v>
      </c>
      <c r="L184" s="6"/>
      <c r="M184" s="481">
        <f t="shared" ref="M184:M213" si="38">+(K184-K183)/K183</f>
        <v>1.4397113610932519E-3</v>
      </c>
      <c r="N184" s="29"/>
      <c r="O184" s="29"/>
      <c r="P184" s="29"/>
      <c r="Q184" s="375">
        <f t="shared" ref="Q184:Q213" si="39">+K184-K183</f>
        <v>992</v>
      </c>
      <c r="R184" s="6"/>
      <c r="S184" s="7">
        <f>33019+16008+4474</f>
        <v>53501</v>
      </c>
      <c r="T184" s="6"/>
      <c r="U184" s="286">
        <f t="shared" ref="U184:U213" si="40">+S184/K184</f>
        <v>7.7535546122643004E-2</v>
      </c>
      <c r="W184">
        <f t="shared" si="20"/>
        <v>174</v>
      </c>
      <c r="Y184" s="56"/>
    </row>
    <row r="185" spans="3:25" hidden="1" outlineLevel="1" x14ac:dyDescent="0.3">
      <c r="C185" s="170">
        <f t="shared" si="15"/>
        <v>44084</v>
      </c>
      <c r="E185" s="284">
        <v>441911</v>
      </c>
      <c r="F185" s="7"/>
      <c r="G185" s="7">
        <v>195414</v>
      </c>
      <c r="H185" s="7"/>
      <c r="I185" s="7">
        <v>54093</v>
      </c>
      <c r="J185" s="287"/>
      <c r="K185" s="7">
        <f t="shared" si="37"/>
        <v>691418</v>
      </c>
      <c r="L185" s="6"/>
      <c r="M185" s="481">
        <f t="shared" si="38"/>
        <v>2.0274804027135486E-3</v>
      </c>
      <c r="N185" s="29"/>
      <c r="O185" s="29"/>
      <c r="P185" s="29"/>
      <c r="Q185" s="375">
        <f t="shared" si="39"/>
        <v>1399</v>
      </c>
      <c r="R185" s="6"/>
      <c r="S185" s="7">
        <f>33019+16008+4474</f>
        <v>53501</v>
      </c>
      <c r="T185" s="6"/>
      <c r="U185" s="286">
        <f t="shared" si="40"/>
        <v>7.7378662401036705E-2</v>
      </c>
      <c r="W185">
        <f t="shared" si="20"/>
        <v>175</v>
      </c>
      <c r="Y185" s="56"/>
    </row>
    <row r="186" spans="3:25" hidden="1" outlineLevel="1" x14ac:dyDescent="0.3">
      <c r="C186" s="170">
        <f t="shared" si="15"/>
        <v>44085</v>
      </c>
      <c r="E186" s="284">
        <v>442791</v>
      </c>
      <c r="F186" s="7"/>
      <c r="G186" s="7">
        <v>195888</v>
      </c>
      <c r="H186" s="7"/>
      <c r="I186" s="7">
        <v>54326</v>
      </c>
      <c r="J186" s="287"/>
      <c r="K186" s="7">
        <f t="shared" si="37"/>
        <v>693005</v>
      </c>
      <c r="L186" s="6"/>
      <c r="M186" s="481">
        <f t="shared" si="38"/>
        <v>2.2952830270545461E-3</v>
      </c>
      <c r="N186" s="29"/>
      <c r="O186" s="29"/>
      <c r="P186" s="29"/>
      <c r="Q186" s="375">
        <f t="shared" si="39"/>
        <v>1587</v>
      </c>
      <c r="R186" s="6"/>
      <c r="S186" s="7">
        <f>33019+16008+4474</f>
        <v>53501</v>
      </c>
      <c r="T186" s="6"/>
      <c r="U186" s="286">
        <f t="shared" si="40"/>
        <v>7.7201463192906258E-2</v>
      </c>
      <c r="W186">
        <f t="shared" si="20"/>
        <v>176</v>
      </c>
      <c r="Y186" s="56"/>
    </row>
    <row r="187" spans="3:25" hidden="1" outlineLevel="1" x14ac:dyDescent="0.3">
      <c r="C187" s="170">
        <f t="shared" si="15"/>
        <v>44086</v>
      </c>
      <c r="E187" s="284">
        <v>443640</v>
      </c>
      <c r="F187" s="7"/>
      <c r="G187" s="7">
        <v>196337</v>
      </c>
      <c r="H187" s="7"/>
      <c r="I187" s="7">
        <v>54326</v>
      </c>
      <c r="J187" s="287"/>
      <c r="K187" s="7">
        <f t="shared" si="37"/>
        <v>694303</v>
      </c>
      <c r="L187" s="6"/>
      <c r="M187" s="481">
        <f t="shared" si="38"/>
        <v>1.873002359290337E-3</v>
      </c>
      <c r="N187" s="29"/>
      <c r="O187" s="29"/>
      <c r="P187" s="29"/>
      <c r="Q187" s="375">
        <f t="shared" si="39"/>
        <v>1298</v>
      </c>
      <c r="R187" s="6"/>
      <c r="S187" s="7">
        <f>33023+16027+4480</f>
        <v>53530</v>
      </c>
      <c r="T187" s="6"/>
      <c r="U187" s="286">
        <f t="shared" si="40"/>
        <v>7.7098903504665833E-2</v>
      </c>
      <c r="W187">
        <f t="shared" si="20"/>
        <v>177</v>
      </c>
      <c r="Y187" s="56"/>
    </row>
    <row r="188" spans="3:25" hidden="1" outlineLevel="1" x14ac:dyDescent="0.3">
      <c r="C188" s="170">
        <f t="shared" si="15"/>
        <v>44087</v>
      </c>
      <c r="E188" s="284">
        <v>444366</v>
      </c>
      <c r="F188" s="7"/>
      <c r="G188" s="7">
        <v>196634</v>
      </c>
      <c r="H188" s="7"/>
      <c r="I188" s="7">
        <v>54326</v>
      </c>
      <c r="J188" s="287"/>
      <c r="K188" s="7">
        <f t="shared" si="37"/>
        <v>695326</v>
      </c>
      <c r="L188" s="6"/>
      <c r="M188" s="481">
        <f t="shared" si="38"/>
        <v>1.4734201062072323E-3</v>
      </c>
      <c r="N188" s="29"/>
      <c r="O188" s="29"/>
      <c r="P188" s="29"/>
      <c r="Q188" s="375">
        <f t="shared" si="39"/>
        <v>1023</v>
      </c>
      <c r="R188" s="6"/>
      <c r="S188" s="7">
        <f>33023+16027+4480</f>
        <v>53530</v>
      </c>
      <c r="T188" s="6"/>
      <c r="U188" s="286">
        <f t="shared" si="40"/>
        <v>7.6985471562979094E-2</v>
      </c>
      <c r="W188">
        <f t="shared" si="20"/>
        <v>178</v>
      </c>
      <c r="Y188" s="56"/>
    </row>
    <row r="189" spans="3:25" hidden="1" outlineLevel="1" x14ac:dyDescent="0.3">
      <c r="C189" s="170">
        <f t="shared" si="15"/>
        <v>44088</v>
      </c>
      <c r="E189" s="284">
        <v>444946</v>
      </c>
      <c r="F189" s="7"/>
      <c r="G189" s="7">
        <v>196968</v>
      </c>
      <c r="H189" s="7"/>
      <c r="I189" s="7">
        <v>54895</v>
      </c>
      <c r="J189" s="287"/>
      <c r="K189" s="7">
        <f t="shared" si="37"/>
        <v>696809</v>
      </c>
      <c r="L189" s="6"/>
      <c r="M189" s="481">
        <f t="shared" si="38"/>
        <v>2.1328125224714736E-3</v>
      </c>
      <c r="N189" s="29"/>
      <c r="O189" s="29"/>
      <c r="P189" s="29"/>
      <c r="Q189" s="375">
        <f t="shared" si="39"/>
        <v>1483</v>
      </c>
      <c r="R189" s="6"/>
      <c r="S189" s="7">
        <f>33030+16034+4485</f>
        <v>53549</v>
      </c>
      <c r="T189" s="6"/>
      <c r="U189" s="286">
        <f t="shared" si="40"/>
        <v>7.6848892594670856E-2</v>
      </c>
      <c r="W189">
        <f t="shared" si="20"/>
        <v>179</v>
      </c>
      <c r="Y189" s="56"/>
    </row>
    <row r="190" spans="3:25" hidden="1" outlineLevel="1" x14ac:dyDescent="0.3">
      <c r="C190" s="170">
        <f t="shared" si="15"/>
        <v>44089</v>
      </c>
      <c r="E190" s="284">
        <v>445714</v>
      </c>
      <c r="F190" s="7"/>
      <c r="G190" s="7">
        <v>197404</v>
      </c>
      <c r="H190" s="7"/>
      <c r="I190" s="7">
        <v>55031</v>
      </c>
      <c r="J190" s="287"/>
      <c r="K190" s="7">
        <f t="shared" si="37"/>
        <v>698149</v>
      </c>
      <c r="L190" s="6"/>
      <c r="M190" s="481">
        <f t="shared" si="38"/>
        <v>1.9230520845741085E-3</v>
      </c>
      <c r="N190" s="29"/>
      <c r="O190" s="29"/>
      <c r="P190" s="29"/>
      <c r="Q190" s="375">
        <f t="shared" si="39"/>
        <v>1340</v>
      </c>
      <c r="R190" s="6"/>
      <c r="S190" s="7">
        <f>33038+16043+4485</f>
        <v>53566</v>
      </c>
      <c r="T190" s="6"/>
      <c r="U190" s="286">
        <f t="shared" si="40"/>
        <v>7.6725741926150434E-2</v>
      </c>
      <c r="W190">
        <f t="shared" si="20"/>
        <v>180</v>
      </c>
      <c r="Y190" s="56"/>
    </row>
    <row r="191" spans="3:25" hidden="1" outlineLevel="1" x14ac:dyDescent="0.3">
      <c r="C191" s="170">
        <f t="shared" si="15"/>
        <v>44090</v>
      </c>
      <c r="E191" s="284">
        <v>446366</v>
      </c>
      <c r="F191" s="7"/>
      <c r="G191" s="7">
        <v>197792</v>
      </c>
      <c r="H191" s="7"/>
      <c r="I191" s="7">
        <v>55166</v>
      </c>
      <c r="J191" s="287"/>
      <c r="K191" s="7">
        <f t="shared" si="37"/>
        <v>699324</v>
      </c>
      <c r="L191" s="6"/>
      <c r="M191" s="481">
        <f t="shared" si="38"/>
        <v>1.6830218191245707E-3</v>
      </c>
      <c r="N191" s="29"/>
      <c r="O191" s="29"/>
      <c r="P191" s="29"/>
      <c r="Q191" s="375">
        <f t="shared" si="39"/>
        <v>1175</v>
      </c>
      <c r="R191" s="6"/>
      <c r="S191" s="7">
        <f>33038+16043+4485</f>
        <v>53566</v>
      </c>
      <c r="T191" s="6"/>
      <c r="U191" s="286">
        <f t="shared" si="40"/>
        <v>7.6596827793697919E-2</v>
      </c>
      <c r="W191">
        <f t="shared" si="20"/>
        <v>181</v>
      </c>
      <c r="Y191" s="56"/>
    </row>
    <row r="192" spans="3:25" hidden="1" outlineLevel="1" x14ac:dyDescent="0.3">
      <c r="C192" s="170">
        <f t="shared" si="15"/>
        <v>44091</v>
      </c>
      <c r="E192" s="284">
        <v>447262</v>
      </c>
      <c r="F192" s="7"/>
      <c r="G192" s="7">
        <v>198361</v>
      </c>
      <c r="H192" s="7"/>
      <c r="I192" s="7">
        <v>55386</v>
      </c>
      <c r="J192" s="287"/>
      <c r="K192" s="7">
        <f t="shared" si="37"/>
        <v>701009</v>
      </c>
      <c r="L192" s="6"/>
      <c r="M192" s="481">
        <f t="shared" si="38"/>
        <v>2.4094697164690473E-3</v>
      </c>
      <c r="N192" s="29"/>
      <c r="O192" s="29"/>
      <c r="P192" s="29"/>
      <c r="Q192" s="375">
        <f t="shared" si="39"/>
        <v>1685</v>
      </c>
      <c r="R192" s="6"/>
      <c r="S192" s="7">
        <f>33070+16057+4488</f>
        <v>53615</v>
      </c>
      <c r="T192" s="6"/>
      <c r="U192" s="286">
        <f t="shared" si="40"/>
        <v>7.6482612919377635E-2</v>
      </c>
      <c r="W192">
        <f t="shared" si="20"/>
        <v>182</v>
      </c>
      <c r="Y192" s="56"/>
    </row>
    <row r="193" spans="3:25" hidden="1" outlineLevel="1" x14ac:dyDescent="0.3">
      <c r="C193" s="170">
        <f t="shared" si="15"/>
        <v>44092</v>
      </c>
      <c r="E193" s="284">
        <v>448052</v>
      </c>
      <c r="F193" s="7"/>
      <c r="G193" s="7">
        <v>198848</v>
      </c>
      <c r="H193" s="7"/>
      <c r="I193" s="7">
        <v>55527</v>
      </c>
      <c r="J193" s="287"/>
      <c r="K193" s="7">
        <f t="shared" si="37"/>
        <v>702427</v>
      </c>
      <c r="L193" s="6"/>
      <c r="M193" s="481">
        <f t="shared" si="38"/>
        <v>2.0227985660669122E-3</v>
      </c>
      <c r="N193" s="29"/>
      <c r="O193" s="29"/>
      <c r="P193" s="29"/>
      <c r="Q193" s="375">
        <f t="shared" si="39"/>
        <v>1418</v>
      </c>
      <c r="R193" s="6"/>
      <c r="S193" s="7">
        <f>33085+16061+4492</f>
        <v>53638</v>
      </c>
      <c r="T193" s="6"/>
      <c r="U193" s="286">
        <f t="shared" si="40"/>
        <v>7.6360959928932118E-2</v>
      </c>
      <c r="W193">
        <f t="shared" si="20"/>
        <v>183</v>
      </c>
      <c r="Y193" s="56"/>
    </row>
    <row r="194" spans="3:25" hidden="1" outlineLevel="1" x14ac:dyDescent="0.3">
      <c r="C194" s="170">
        <f t="shared" si="15"/>
        <v>44093</v>
      </c>
      <c r="E194" s="284">
        <v>449039</v>
      </c>
      <c r="F194" s="7"/>
      <c r="G194" s="7">
        <v>199309</v>
      </c>
      <c r="H194" s="7"/>
      <c r="I194" s="7">
        <v>55527</v>
      </c>
      <c r="J194" s="287"/>
      <c r="K194" s="7">
        <f t="shared" si="37"/>
        <v>703875</v>
      </c>
      <c r="L194" s="6"/>
      <c r="M194" s="481">
        <f t="shared" si="38"/>
        <v>2.0614241764624649E-3</v>
      </c>
      <c r="N194" s="29"/>
      <c r="O194" s="29"/>
      <c r="P194" s="29"/>
      <c r="Q194" s="375">
        <f t="shared" si="39"/>
        <v>1448</v>
      </c>
      <c r="R194" s="6"/>
      <c r="S194" s="7">
        <f>33081+16064+4492</f>
        <v>53637</v>
      </c>
      <c r="T194" s="6"/>
      <c r="U194" s="286">
        <f t="shared" si="40"/>
        <v>7.6202450719232817E-2</v>
      </c>
      <c r="W194">
        <f t="shared" si="20"/>
        <v>184</v>
      </c>
      <c r="Y194" s="56"/>
    </row>
    <row r="195" spans="3:25" hidden="1" outlineLevel="1" x14ac:dyDescent="0.3">
      <c r="C195" s="170">
        <f t="shared" si="15"/>
        <v>44094</v>
      </c>
      <c r="E195" s="284">
        <v>449900</v>
      </c>
      <c r="F195" s="7"/>
      <c r="G195" s="7">
        <v>199762</v>
      </c>
      <c r="H195" s="7"/>
      <c r="I195" s="7">
        <v>55527</v>
      </c>
      <c r="J195" s="287"/>
      <c r="K195" s="7">
        <f t="shared" si="37"/>
        <v>705189</v>
      </c>
      <c r="L195" s="6"/>
      <c r="M195" s="481">
        <f t="shared" si="38"/>
        <v>1.86680873734683E-3</v>
      </c>
      <c r="N195" s="29"/>
      <c r="O195" s="29"/>
      <c r="P195" s="29"/>
      <c r="Q195" s="375">
        <f t="shared" si="39"/>
        <v>1314</v>
      </c>
      <c r="R195" s="6"/>
      <c r="S195" s="7">
        <f>33087+16067+4492</f>
        <v>53646</v>
      </c>
      <c r="T195" s="6"/>
      <c r="U195" s="286">
        <f t="shared" si="40"/>
        <v>7.6073222923216333E-2</v>
      </c>
      <c r="W195">
        <f t="shared" si="20"/>
        <v>185</v>
      </c>
      <c r="Y195" s="56"/>
    </row>
    <row r="196" spans="3:25" hidden="1" outlineLevel="1" x14ac:dyDescent="0.3">
      <c r="C196" s="170">
        <f t="shared" si="15"/>
        <v>44095</v>
      </c>
      <c r="E196" s="284">
        <v>450473</v>
      </c>
      <c r="F196" s="7"/>
      <c r="G196" s="7">
        <v>200154</v>
      </c>
      <c r="H196" s="7"/>
      <c r="I196" s="7">
        <v>56024</v>
      </c>
      <c r="J196" s="287"/>
      <c r="K196" s="7">
        <f t="shared" si="37"/>
        <v>706651</v>
      </c>
      <c r="L196" s="6"/>
      <c r="M196" s="481">
        <f t="shared" si="38"/>
        <v>2.0732030703825501E-3</v>
      </c>
      <c r="N196" s="29"/>
      <c r="O196" s="29"/>
      <c r="P196" s="29"/>
      <c r="Q196" s="375">
        <f t="shared" si="39"/>
        <v>1462</v>
      </c>
      <c r="R196" s="6"/>
      <c r="S196" s="7">
        <f>33092+16069+4495</f>
        <v>53656</v>
      </c>
      <c r="T196" s="6"/>
      <c r="U196" s="286">
        <f t="shared" si="40"/>
        <v>7.592998524023882E-2</v>
      </c>
      <c r="W196">
        <f t="shared" si="20"/>
        <v>186</v>
      </c>
      <c r="Y196" s="56"/>
    </row>
    <row r="197" spans="3:25" hidden="1" outlineLevel="1" x14ac:dyDescent="0.3">
      <c r="C197" s="170">
        <f t="shared" si="15"/>
        <v>44096</v>
      </c>
      <c r="E197" s="284">
        <v>451227</v>
      </c>
      <c r="F197" s="7"/>
      <c r="G197" s="7">
        <v>200580</v>
      </c>
      <c r="H197" s="7"/>
      <c r="I197" s="7">
        <v>56160</v>
      </c>
      <c r="J197" s="287"/>
      <c r="K197" s="7">
        <f t="shared" si="37"/>
        <v>707967</v>
      </c>
      <c r="L197" s="6"/>
      <c r="M197" s="481">
        <f t="shared" si="38"/>
        <v>1.8623054379035761E-3</v>
      </c>
      <c r="N197" s="29"/>
      <c r="O197" s="29"/>
      <c r="P197" s="29"/>
      <c r="Q197" s="375">
        <f t="shared" si="39"/>
        <v>1316</v>
      </c>
      <c r="R197" s="6"/>
      <c r="S197" s="7">
        <f>33092+16069+4495</f>
        <v>53656</v>
      </c>
      <c r="T197" s="6"/>
      <c r="U197" s="286">
        <f t="shared" si="40"/>
        <v>7.5788843265293435E-2</v>
      </c>
      <c r="W197">
        <f t="shared" si="20"/>
        <v>187</v>
      </c>
      <c r="Y197" s="56"/>
    </row>
    <row r="198" spans="3:25" hidden="1" outlineLevel="1" x14ac:dyDescent="0.3">
      <c r="C198" s="170">
        <f t="shared" si="15"/>
        <v>44097</v>
      </c>
      <c r="E198" s="284">
        <v>451892</v>
      </c>
      <c r="F198" s="7"/>
      <c r="G198" s="7">
        <v>200988</v>
      </c>
      <c r="H198" s="7"/>
      <c r="I198" s="7">
        <v>56315</v>
      </c>
      <c r="J198" s="287"/>
      <c r="K198" s="7">
        <f t="shared" si="37"/>
        <v>709195</v>
      </c>
      <c r="L198" s="6"/>
      <c r="M198" s="481">
        <f t="shared" si="38"/>
        <v>1.7345441242317791E-3</v>
      </c>
      <c r="N198" s="29"/>
      <c r="O198" s="29"/>
      <c r="P198" s="29"/>
      <c r="Q198" s="375">
        <f t="shared" si="39"/>
        <v>1228</v>
      </c>
      <c r="R198" s="6"/>
      <c r="S198" s="7">
        <f>33090+16082+4497</f>
        <v>53669</v>
      </c>
      <c r="T198" s="6"/>
      <c r="U198" s="286">
        <f t="shared" si="40"/>
        <v>7.5675942441782579E-2</v>
      </c>
      <c r="W198">
        <f t="shared" si="20"/>
        <v>188</v>
      </c>
      <c r="Y198" s="56"/>
    </row>
    <row r="199" spans="3:25" hidden="1" outlineLevel="1" x14ac:dyDescent="0.3">
      <c r="C199" s="170">
        <f t="shared" si="15"/>
        <v>44098</v>
      </c>
      <c r="E199" s="284">
        <v>452847</v>
      </c>
      <c r="F199" s="7"/>
      <c r="G199" s="7">
        <v>201216</v>
      </c>
      <c r="H199" s="7"/>
      <c r="I199" s="7">
        <v>56472</v>
      </c>
      <c r="J199" s="287"/>
      <c r="K199" s="7">
        <f t="shared" si="37"/>
        <v>710535</v>
      </c>
      <c r="L199" s="6"/>
      <c r="M199" s="481">
        <f t="shared" si="38"/>
        <v>1.8894662257912141E-3</v>
      </c>
      <c r="N199" s="29"/>
      <c r="O199" s="29"/>
      <c r="P199" s="29"/>
      <c r="Q199" s="375">
        <f t="shared" si="39"/>
        <v>1340</v>
      </c>
      <c r="R199" s="6"/>
      <c r="S199" s="7">
        <f>33096+16091+4499</f>
        <v>53686</v>
      </c>
      <c r="T199" s="6"/>
      <c r="U199" s="286">
        <f t="shared" si="40"/>
        <v>7.5557150597788988E-2</v>
      </c>
      <c r="W199">
        <f t="shared" si="20"/>
        <v>189</v>
      </c>
      <c r="Y199" s="56"/>
    </row>
    <row r="200" spans="3:25" hidden="1" outlineLevel="1" x14ac:dyDescent="0.3">
      <c r="C200" s="170">
        <f t="shared" si="15"/>
        <v>44099</v>
      </c>
      <c r="E200" s="284">
        <v>453756</v>
      </c>
      <c r="F200" s="7"/>
      <c r="G200" s="7">
        <v>202100</v>
      </c>
      <c r="H200" s="7"/>
      <c r="I200" s="7">
        <v>56587</v>
      </c>
      <c r="J200" s="287"/>
      <c r="K200" s="7">
        <f t="shared" si="37"/>
        <v>712443</v>
      </c>
      <c r="L200" s="6"/>
      <c r="M200" s="481">
        <f t="shared" si="38"/>
        <v>2.6853005129937302E-3</v>
      </c>
      <c r="N200" s="29"/>
      <c r="O200" s="29"/>
      <c r="P200" s="29"/>
      <c r="Q200" s="375">
        <f t="shared" si="39"/>
        <v>1908</v>
      </c>
      <c r="R200" s="6"/>
      <c r="S200" s="7">
        <f>33102+16097+4501</f>
        <v>53700</v>
      </c>
      <c r="T200" s="6"/>
      <c r="U200" s="286">
        <f t="shared" si="40"/>
        <v>7.5374451008712276E-2</v>
      </c>
      <c r="W200">
        <f t="shared" si="20"/>
        <v>190</v>
      </c>
      <c r="Y200" s="56"/>
    </row>
    <row r="201" spans="3:25" hidden="1" outlineLevel="1" x14ac:dyDescent="0.3">
      <c r="C201" s="170">
        <f t="shared" si="15"/>
        <v>44100</v>
      </c>
      <c r="E201" s="284">
        <v>454760</v>
      </c>
      <c r="F201" s="7"/>
      <c r="G201" s="7">
        <v>202850</v>
      </c>
      <c r="H201" s="7"/>
      <c r="I201" s="7">
        <v>56587</v>
      </c>
      <c r="J201" s="287"/>
      <c r="K201" s="7">
        <f t="shared" si="37"/>
        <v>714197</v>
      </c>
      <c r="L201" s="6"/>
      <c r="M201" s="481">
        <f t="shared" si="38"/>
        <v>2.461951342072278E-3</v>
      </c>
      <c r="N201" s="29"/>
      <c r="O201" s="29"/>
      <c r="P201" s="29"/>
      <c r="Q201" s="375">
        <f t="shared" si="39"/>
        <v>1754</v>
      </c>
      <c r="R201" s="6"/>
      <c r="S201" s="7">
        <f>33126+16103+4501</f>
        <v>53730</v>
      </c>
      <c r="T201" s="6"/>
      <c r="U201" s="286">
        <f t="shared" si="40"/>
        <v>7.5231343732891628E-2</v>
      </c>
      <c r="W201">
        <f t="shared" si="20"/>
        <v>191</v>
      </c>
      <c r="Y201" s="56"/>
    </row>
    <row r="202" spans="3:25" hidden="1" outlineLevel="1" x14ac:dyDescent="0.3">
      <c r="C202" s="170">
        <f t="shared" si="15"/>
        <v>44101</v>
      </c>
      <c r="E202" s="284">
        <v>455626</v>
      </c>
      <c r="F202" s="7"/>
      <c r="G202" s="7">
        <v>202850</v>
      </c>
      <c r="H202" s="7"/>
      <c r="I202" s="7">
        <v>56587</v>
      </c>
      <c r="J202" s="287"/>
      <c r="K202" s="7">
        <f t="shared" si="37"/>
        <v>715063</v>
      </c>
      <c r="L202" s="6"/>
      <c r="M202" s="481">
        <f t="shared" si="38"/>
        <v>1.212550598784369E-3</v>
      </c>
      <c r="N202" s="29"/>
      <c r="O202" s="29"/>
      <c r="P202" s="29"/>
      <c r="Q202" s="375">
        <f t="shared" si="39"/>
        <v>866</v>
      </c>
      <c r="R202" s="6"/>
      <c r="S202" s="7">
        <f>33131+16103+4501</f>
        <v>53735</v>
      </c>
      <c r="T202" s="6"/>
      <c r="U202" s="286">
        <f t="shared" si="40"/>
        <v>7.5147224789983535E-2</v>
      </c>
      <c r="W202">
        <f t="shared" si="20"/>
        <v>192</v>
      </c>
      <c r="Y202" s="56"/>
    </row>
    <row r="203" spans="3:25" hidden="1" outlineLevel="1" x14ac:dyDescent="0.3">
      <c r="C203" s="170">
        <f t="shared" si="15"/>
        <v>44102</v>
      </c>
      <c r="E203" s="284">
        <v>456460</v>
      </c>
      <c r="F203" s="7"/>
      <c r="G203" s="7">
        <v>204107</v>
      </c>
      <c r="H203" s="7"/>
      <c r="I203" s="7">
        <v>57147</v>
      </c>
      <c r="J203" s="287"/>
      <c r="K203" s="7">
        <f t="shared" si="37"/>
        <v>717714</v>
      </c>
      <c r="L203" s="6"/>
      <c r="M203" s="481">
        <f t="shared" si="38"/>
        <v>3.7073656447054316E-3</v>
      </c>
      <c r="N203" s="29"/>
      <c r="O203" s="29"/>
      <c r="P203" s="29"/>
      <c r="Q203" s="375">
        <f t="shared" si="39"/>
        <v>2651</v>
      </c>
      <c r="R203" s="6"/>
      <c r="S203" s="7">
        <f>33140+16107+4503</f>
        <v>53750</v>
      </c>
      <c r="T203" s="6"/>
      <c r="U203" s="286">
        <f t="shared" si="40"/>
        <v>7.4890555290826152E-2</v>
      </c>
      <c r="W203">
        <f t="shared" si="20"/>
        <v>193</v>
      </c>
      <c r="Y203" s="56"/>
    </row>
    <row r="204" spans="3:25" hidden="1" outlineLevel="1" x14ac:dyDescent="0.3">
      <c r="C204" s="170">
        <f t="shared" si="15"/>
        <v>44103</v>
      </c>
      <c r="E204" s="284">
        <v>457649</v>
      </c>
      <c r="F204" s="7"/>
      <c r="G204" s="7">
        <v>204563</v>
      </c>
      <c r="H204" s="7"/>
      <c r="I204" s="7">
        <v>57329</v>
      </c>
      <c r="J204" s="287"/>
      <c r="K204" s="7">
        <f t="shared" si="37"/>
        <v>719541</v>
      </c>
      <c r="L204" s="6"/>
      <c r="M204" s="481">
        <f t="shared" si="38"/>
        <v>2.5455822235598024E-3</v>
      </c>
      <c r="N204" s="29"/>
      <c r="O204" s="29"/>
      <c r="P204" s="29"/>
      <c r="Q204" s="375">
        <f t="shared" si="39"/>
        <v>1827</v>
      </c>
      <c r="R204" s="6"/>
      <c r="S204" s="7">
        <f>33144+16117+4506</f>
        <v>53767</v>
      </c>
      <c r="T204" s="6"/>
      <c r="U204" s="286">
        <f t="shared" si="40"/>
        <v>7.4724025455116527E-2</v>
      </c>
      <c r="W204">
        <f t="shared" si="20"/>
        <v>194</v>
      </c>
      <c r="Y204" s="56"/>
    </row>
    <row r="205" spans="3:25" hidden="1" outlineLevel="1" x14ac:dyDescent="0.3">
      <c r="C205" s="170">
        <f t="shared" si="15"/>
        <v>44104</v>
      </c>
      <c r="E205" s="284">
        <v>458649</v>
      </c>
      <c r="F205" s="7"/>
      <c r="G205" s="7">
        <v>205275</v>
      </c>
      <c r="H205" s="7"/>
      <c r="I205" s="7">
        <v>57550</v>
      </c>
      <c r="J205" s="287"/>
      <c r="K205" s="7">
        <f t="shared" si="37"/>
        <v>721474</v>
      </c>
      <c r="L205" s="6"/>
      <c r="M205" s="481">
        <f t="shared" si="38"/>
        <v>2.6864348244227919E-3</v>
      </c>
      <c r="N205" s="29"/>
      <c r="O205" s="29"/>
      <c r="P205" s="29"/>
      <c r="Q205" s="375">
        <f t="shared" si="39"/>
        <v>1933</v>
      </c>
      <c r="R205" s="6"/>
      <c r="S205" s="7">
        <f>33153+16122+4508</f>
        <v>53783</v>
      </c>
      <c r="T205" s="6"/>
      <c r="U205" s="286">
        <f t="shared" si="40"/>
        <v>7.4545998885614723E-2</v>
      </c>
      <c r="W205">
        <f t="shared" si="20"/>
        <v>195</v>
      </c>
      <c r="Y205" s="56"/>
    </row>
    <row r="206" spans="3:25" hidden="1" outlineLevel="1" x14ac:dyDescent="0.3">
      <c r="C206" s="170">
        <f t="shared" si="15"/>
        <v>44105</v>
      </c>
      <c r="E206" s="284">
        <v>460031</v>
      </c>
      <c r="F206" s="7"/>
      <c r="G206" s="7">
        <v>205889</v>
      </c>
      <c r="H206" s="7"/>
      <c r="I206" s="7">
        <v>57742</v>
      </c>
      <c r="J206" s="287"/>
      <c r="K206" s="7">
        <f t="shared" si="37"/>
        <v>723662</v>
      </c>
      <c r="L206" s="6"/>
      <c r="M206" s="481">
        <f t="shared" si="38"/>
        <v>3.0326803183482703E-3</v>
      </c>
      <c r="N206" s="29"/>
      <c r="O206" s="29"/>
      <c r="P206" s="29"/>
      <c r="Q206" s="375">
        <f t="shared" si="39"/>
        <v>2188</v>
      </c>
      <c r="R206" s="6"/>
      <c r="S206" s="7">
        <f>33159+16140+4511</f>
        <v>53810</v>
      </c>
      <c r="T206" s="6"/>
      <c r="U206" s="286">
        <f t="shared" si="40"/>
        <v>7.4357918475752488E-2</v>
      </c>
      <c r="W206">
        <f t="shared" si="20"/>
        <v>196</v>
      </c>
      <c r="Y206" s="56"/>
    </row>
    <row r="207" spans="3:25" hidden="1" outlineLevel="1" x14ac:dyDescent="0.3">
      <c r="C207" s="170">
        <f t="shared" si="15"/>
        <v>44106</v>
      </c>
      <c r="E207" s="284">
        <v>461629</v>
      </c>
      <c r="F207" s="7"/>
      <c r="G207" s="7">
        <v>206629</v>
      </c>
      <c r="H207" s="7"/>
      <c r="I207" s="7">
        <v>58297</v>
      </c>
      <c r="J207" s="287"/>
      <c r="K207" s="7">
        <f t="shared" si="37"/>
        <v>726555</v>
      </c>
      <c r="L207" s="6"/>
      <c r="M207" s="481">
        <f t="shared" si="38"/>
        <v>3.9977226937437643E-3</v>
      </c>
      <c r="N207" s="29"/>
      <c r="O207" s="29"/>
      <c r="P207" s="29"/>
      <c r="Q207" s="375">
        <f t="shared" si="39"/>
        <v>2893</v>
      </c>
      <c r="R207" s="6"/>
      <c r="S207" s="7">
        <f>33199+16131+4513</f>
        <v>53843</v>
      </c>
      <c r="T207" s="6"/>
      <c r="U207" s="286">
        <f t="shared" si="40"/>
        <v>7.4107259601819547E-2</v>
      </c>
      <c r="W207">
        <f t="shared" si="20"/>
        <v>197</v>
      </c>
      <c r="Y207" s="56"/>
    </row>
    <row r="208" spans="3:25" hidden="1" outlineLevel="1" x14ac:dyDescent="0.3">
      <c r="C208" s="170">
        <f t="shared" si="15"/>
        <v>44107</v>
      </c>
      <c r="E208" s="284">
        <v>463360</v>
      </c>
      <c r="F208" s="7"/>
      <c r="G208" s="7">
        <v>207576</v>
      </c>
      <c r="H208" s="7"/>
      <c r="I208" s="7">
        <v>58297</v>
      </c>
      <c r="J208" s="287"/>
      <c r="K208" s="7">
        <f t="shared" si="37"/>
        <v>729233</v>
      </c>
      <c r="L208" s="6"/>
      <c r="M208" s="481">
        <f t="shared" si="38"/>
        <v>3.6858875102366647E-3</v>
      </c>
      <c r="N208" s="29"/>
      <c r="O208" s="29"/>
      <c r="P208" s="29"/>
      <c r="Q208" s="375">
        <f t="shared" si="39"/>
        <v>2678</v>
      </c>
      <c r="R208" s="6"/>
      <c r="S208" s="7">
        <f>33197+16135+4513</f>
        <v>53845</v>
      </c>
      <c r="T208" s="6"/>
      <c r="U208" s="286">
        <f t="shared" si="40"/>
        <v>7.3837854293483704E-2</v>
      </c>
      <c r="W208">
        <f t="shared" si="20"/>
        <v>198</v>
      </c>
      <c r="Y208" s="56"/>
    </row>
    <row r="209" spans="3:25" hidden="1" outlineLevel="1" x14ac:dyDescent="0.3">
      <c r="C209" s="170">
        <f t="shared" si="15"/>
        <v>44108</v>
      </c>
      <c r="E209" s="284">
        <v>464582</v>
      </c>
      <c r="F209" s="7"/>
      <c r="G209" s="7">
        <v>208202</v>
      </c>
      <c r="H209" s="7"/>
      <c r="I209" s="7">
        <v>58297</v>
      </c>
      <c r="J209" s="287"/>
      <c r="K209" s="7">
        <f t="shared" si="37"/>
        <v>731081</v>
      </c>
      <c r="L209" s="6"/>
      <c r="M209" s="481">
        <f t="shared" si="38"/>
        <v>2.5341694629837101E-3</v>
      </c>
      <c r="N209" s="29"/>
      <c r="O209" s="29"/>
      <c r="P209" s="29"/>
      <c r="Q209" s="375">
        <f t="shared" si="39"/>
        <v>1848</v>
      </c>
      <c r="R209" s="6"/>
      <c r="S209" s="7">
        <f>33206+16136+4513</f>
        <v>53855</v>
      </c>
      <c r="T209" s="6"/>
      <c r="U209" s="286">
        <f t="shared" si="40"/>
        <v>7.3664888021983885E-2</v>
      </c>
      <c r="W209">
        <f t="shared" si="20"/>
        <v>199</v>
      </c>
      <c r="Y209" s="56"/>
    </row>
    <row r="210" spans="3:25" hidden="1" outlineLevel="1" x14ac:dyDescent="0.3">
      <c r="C210" s="170">
        <f t="shared" si="15"/>
        <v>44109</v>
      </c>
      <c r="E210" s="284">
        <v>465212</v>
      </c>
      <c r="F210" s="7"/>
      <c r="G210" s="7">
        <v>208159</v>
      </c>
      <c r="H210" s="7"/>
      <c r="I210" s="7">
        <v>59120</v>
      </c>
      <c r="J210" s="287"/>
      <c r="K210" s="7">
        <f t="shared" si="37"/>
        <v>732491</v>
      </c>
      <c r="L210" s="6"/>
      <c r="M210" s="481">
        <f t="shared" si="38"/>
        <v>1.9286508608485243E-3</v>
      </c>
      <c r="N210" s="29"/>
      <c r="O210" s="29"/>
      <c r="P210" s="29"/>
      <c r="Q210" s="375">
        <f t="shared" si="39"/>
        <v>1410</v>
      </c>
      <c r="R210" s="6"/>
      <c r="S210" s="7">
        <v>53862</v>
      </c>
      <c r="T210" s="6"/>
      <c r="U210" s="286">
        <f t="shared" si="40"/>
        <v>7.353264408709459E-2</v>
      </c>
      <c r="W210">
        <f t="shared" si="20"/>
        <v>200</v>
      </c>
      <c r="Y210" s="56"/>
    </row>
    <row r="211" spans="3:25" hidden="1" outlineLevel="1" x14ac:dyDescent="0.3">
      <c r="C211" s="170">
        <f t="shared" si="15"/>
        <v>44110</v>
      </c>
      <c r="E211" s="284">
        <v>466908</v>
      </c>
      <c r="F211" s="7"/>
      <c r="G211" s="7">
        <v>209342</v>
      </c>
      <c r="H211" s="7"/>
      <c r="I211" s="7">
        <v>59241</v>
      </c>
      <c r="J211" s="287"/>
      <c r="K211" s="7">
        <f t="shared" si="37"/>
        <v>735491</v>
      </c>
      <c r="L211" s="6"/>
      <c r="M211" s="481">
        <f t="shared" si="38"/>
        <v>4.0956134614623255E-3</v>
      </c>
      <c r="N211" s="29"/>
      <c r="O211" s="29"/>
      <c r="P211" s="29"/>
      <c r="Q211" s="375">
        <f t="shared" si="39"/>
        <v>3000</v>
      </c>
      <c r="R211" s="6"/>
      <c r="S211" s="7">
        <f>33219+16147+4521</f>
        <v>53887</v>
      </c>
      <c r="T211" s="6"/>
      <c r="U211" s="286">
        <f t="shared" si="40"/>
        <v>7.3266702107843598E-2</v>
      </c>
      <c r="W211">
        <f t="shared" si="20"/>
        <v>201</v>
      </c>
      <c r="Y211" s="56"/>
    </row>
    <row r="212" spans="3:25" hidden="1" outlineLevel="1" x14ac:dyDescent="0.3">
      <c r="C212" s="170">
        <f t="shared" si="15"/>
        <v>44111</v>
      </c>
      <c r="E212" s="284">
        <v>468268</v>
      </c>
      <c r="F212" s="7"/>
      <c r="G212" s="7">
        <v>209850</v>
      </c>
      <c r="H212" s="7"/>
      <c r="I212" s="7">
        <v>59364</v>
      </c>
      <c r="J212" s="287"/>
      <c r="K212" s="7">
        <f t="shared" si="37"/>
        <v>737482</v>
      </c>
      <c r="L212" s="6"/>
      <c r="M212" s="481">
        <f t="shared" si="38"/>
        <v>2.7070351642644167E-3</v>
      </c>
      <c r="N212" s="29"/>
      <c r="O212" s="29"/>
      <c r="P212" s="29"/>
      <c r="Q212" s="375">
        <f t="shared" si="39"/>
        <v>1991</v>
      </c>
      <c r="R212" s="6"/>
      <c r="S212" s="7">
        <f>33226+16152+4522</f>
        <v>53900</v>
      </c>
      <c r="T212" s="6"/>
      <c r="U212" s="286">
        <f t="shared" si="40"/>
        <v>7.308652956953525E-2</v>
      </c>
      <c r="W212">
        <f t="shared" si="20"/>
        <v>202</v>
      </c>
      <c r="Y212" s="56"/>
    </row>
    <row r="213" spans="3:25" hidden="1" outlineLevel="1" x14ac:dyDescent="0.3">
      <c r="C213" s="170">
        <f t="shared" si="15"/>
        <v>44112</v>
      </c>
      <c r="E213" s="284">
        <v>470104</v>
      </c>
      <c r="F213" s="7"/>
      <c r="G213" s="7">
        <v>211148</v>
      </c>
      <c r="H213" s="7"/>
      <c r="I213" s="7">
        <v>59748</v>
      </c>
      <c r="J213" s="287"/>
      <c r="K213" s="7">
        <f t="shared" si="37"/>
        <v>741000</v>
      </c>
      <c r="L213" s="6"/>
      <c r="M213" s="481">
        <f t="shared" si="38"/>
        <v>4.7702859188427649E-3</v>
      </c>
      <c r="N213" s="29"/>
      <c r="O213" s="29"/>
      <c r="P213" s="29"/>
      <c r="Q213" s="375">
        <f t="shared" si="39"/>
        <v>3518</v>
      </c>
      <c r="R213" s="6"/>
      <c r="S213" s="7">
        <f>33227+16161+4527</f>
        <v>53915</v>
      </c>
      <c r="T213" s="6"/>
      <c r="U213" s="286">
        <f t="shared" si="40"/>
        <v>7.2759784075573555E-2</v>
      </c>
      <c r="W213">
        <f t="shared" si="20"/>
        <v>203</v>
      </c>
      <c r="Y213" s="56"/>
    </row>
    <row r="214" spans="3:25" hidden="1" outlineLevel="1" x14ac:dyDescent="0.3">
      <c r="C214" s="170">
        <f t="shared" si="15"/>
        <v>44113</v>
      </c>
      <c r="E214" s="284">
        <v>471696</v>
      </c>
      <c r="F214" s="7"/>
      <c r="G214" s="7">
        <v>212013</v>
      </c>
      <c r="H214" s="7"/>
      <c r="I214" s="7">
        <v>60038</v>
      </c>
      <c r="J214" s="287"/>
      <c r="K214" s="7">
        <f t="shared" ref="K214:K223" si="41">SUM(E214:I214)</f>
        <v>743747</v>
      </c>
      <c r="L214" s="6"/>
      <c r="M214" s="481">
        <f t="shared" ref="M214:M223" si="42">+(K214-K213)/K213</f>
        <v>3.7071524966261807E-3</v>
      </c>
      <c r="N214" s="29"/>
      <c r="O214" s="29"/>
      <c r="P214" s="29"/>
      <c r="Q214" s="375">
        <f t="shared" ref="Q214:Q223" si="43">+K214-K213</f>
        <v>2747</v>
      </c>
      <c r="R214" s="6"/>
      <c r="S214" s="7">
        <f>33290+16164+4530</f>
        <v>53984</v>
      </c>
      <c r="T214" s="6"/>
      <c r="U214" s="286">
        <f t="shared" ref="U214:U223" si="44">+S214/K214</f>
        <v>7.2583822186845795E-2</v>
      </c>
      <c r="W214">
        <f t="shared" si="20"/>
        <v>204</v>
      </c>
      <c r="Y214" s="56"/>
    </row>
    <row r="215" spans="3:25" collapsed="1" x14ac:dyDescent="0.3">
      <c r="C215" s="170">
        <f t="shared" si="15"/>
        <v>44114</v>
      </c>
      <c r="E215" s="284">
        <v>473143</v>
      </c>
      <c r="F215" s="7"/>
      <c r="G215" s="7">
        <v>212844</v>
      </c>
      <c r="H215" s="7"/>
      <c r="I215" s="7">
        <v>60038</v>
      </c>
      <c r="J215" s="287"/>
      <c r="K215" s="7">
        <f t="shared" si="41"/>
        <v>746025</v>
      </c>
      <c r="L215" s="6"/>
      <c r="M215" s="481">
        <f t="shared" si="42"/>
        <v>3.0628694972887286E-3</v>
      </c>
      <c r="N215" s="29"/>
      <c r="O215" s="29"/>
      <c r="P215" s="29"/>
      <c r="Q215" s="375">
        <f t="shared" si="43"/>
        <v>2278</v>
      </c>
      <c r="R215" s="6"/>
      <c r="S215" s="7">
        <f>33290+16164+4530</f>
        <v>53984</v>
      </c>
      <c r="T215" s="6"/>
      <c r="U215" s="286">
        <f t="shared" si="44"/>
        <v>7.2362186253811869E-2</v>
      </c>
      <c r="W215">
        <f t="shared" si="20"/>
        <v>205</v>
      </c>
      <c r="Y215" s="56"/>
    </row>
    <row r="216" spans="3:25" x14ac:dyDescent="0.3">
      <c r="C216" s="170">
        <f t="shared" si="15"/>
        <v>44115</v>
      </c>
      <c r="E216" s="284">
        <v>474286</v>
      </c>
      <c r="F216" s="7"/>
      <c r="G216" s="7">
        <v>213628</v>
      </c>
      <c r="H216" s="7"/>
      <c r="I216" s="7">
        <v>60638</v>
      </c>
      <c r="J216" s="287"/>
      <c r="K216" s="7">
        <f t="shared" si="41"/>
        <v>748552</v>
      </c>
      <c r="L216" s="6"/>
      <c r="M216" s="481">
        <f t="shared" si="42"/>
        <v>3.3872859488623037E-3</v>
      </c>
      <c r="N216" s="29"/>
      <c r="O216" s="29"/>
      <c r="P216" s="29"/>
      <c r="Q216" s="375">
        <f t="shared" si="43"/>
        <v>2527</v>
      </c>
      <c r="R216" s="6"/>
      <c r="S216" s="7">
        <f>33290+16164+4530</f>
        <v>53984</v>
      </c>
      <c r="T216" s="6"/>
      <c r="U216" s="286">
        <f t="shared" si="44"/>
        <v>7.2117902296700828E-2</v>
      </c>
      <c r="W216">
        <f t="shared" si="20"/>
        <v>206</v>
      </c>
      <c r="Y216" s="56"/>
    </row>
    <row r="217" spans="3:25" x14ac:dyDescent="0.3">
      <c r="C217" s="170">
        <f t="shared" si="15"/>
        <v>44116</v>
      </c>
      <c r="E217" s="284">
        <v>475315</v>
      </c>
      <c r="F217" s="7"/>
      <c r="G217" s="7">
        <v>214097</v>
      </c>
      <c r="H217" s="7"/>
      <c r="I217" s="7">
        <v>61377</v>
      </c>
      <c r="J217" s="287"/>
      <c r="K217" s="7">
        <f t="shared" si="41"/>
        <v>750789</v>
      </c>
      <c r="L217" s="6"/>
      <c r="M217" s="481">
        <f t="shared" si="42"/>
        <v>2.9884363410958756E-3</v>
      </c>
      <c r="N217" s="29"/>
      <c r="O217" s="29"/>
      <c r="P217" s="29"/>
      <c r="Q217" s="375">
        <f t="shared" si="43"/>
        <v>2237</v>
      </c>
      <c r="R217" s="6"/>
      <c r="S217" s="7">
        <f>33301+16175+4532</f>
        <v>54008</v>
      </c>
      <c r="T217" s="6"/>
      <c r="U217" s="286">
        <f t="shared" si="44"/>
        <v>7.1934991056075676E-2</v>
      </c>
      <c r="W217">
        <f t="shared" si="20"/>
        <v>207</v>
      </c>
      <c r="Y217" s="56"/>
    </row>
    <row r="218" spans="3:25" x14ac:dyDescent="0.3">
      <c r="C218" s="170">
        <f t="shared" si="15"/>
        <v>44117</v>
      </c>
      <c r="E218" s="284">
        <v>476708</v>
      </c>
      <c r="F218" s="7"/>
      <c r="G218" s="7">
        <v>215085</v>
      </c>
      <c r="H218" s="7"/>
      <c r="I218" s="7">
        <v>61697</v>
      </c>
      <c r="J218" s="287"/>
      <c r="K218" s="7">
        <f t="shared" si="41"/>
        <v>753490</v>
      </c>
      <c r="L218" s="6"/>
      <c r="M218" s="481">
        <f t="shared" si="42"/>
        <v>3.5975487120882164E-3</v>
      </c>
      <c r="N218" s="29"/>
      <c r="O218" s="29"/>
      <c r="P218" s="29"/>
      <c r="Q218" s="375">
        <f t="shared" si="43"/>
        <v>2701</v>
      </c>
      <c r="R218" s="6"/>
      <c r="S218" s="7">
        <f>33306+16182+4533</f>
        <v>54021</v>
      </c>
      <c r="T218" s="6"/>
      <c r="U218" s="286">
        <f t="shared" si="44"/>
        <v>7.1694382141766974E-2</v>
      </c>
      <c r="W218">
        <f t="shared" si="20"/>
        <v>208</v>
      </c>
      <c r="Y218" s="56"/>
    </row>
    <row r="219" spans="3:25" x14ac:dyDescent="0.3">
      <c r="C219" s="170">
        <f t="shared" si="15"/>
        <v>44118</v>
      </c>
      <c r="E219" s="284">
        <v>477940</v>
      </c>
      <c r="F219" s="7"/>
      <c r="G219" s="7">
        <v>216023</v>
      </c>
      <c r="H219" s="7"/>
      <c r="I219" s="7">
        <v>61861</v>
      </c>
      <c r="J219" s="287"/>
      <c r="K219" s="7">
        <f t="shared" si="41"/>
        <v>755824</v>
      </c>
      <c r="L219" s="6"/>
      <c r="M219" s="481">
        <f t="shared" si="42"/>
        <v>3.097585900277376E-3</v>
      </c>
      <c r="N219" s="29"/>
      <c r="O219" s="29"/>
      <c r="P219" s="29"/>
      <c r="Q219" s="375">
        <f t="shared" si="43"/>
        <v>2334</v>
      </c>
      <c r="R219" s="6"/>
      <c r="S219" s="7">
        <f>33316+16191+4537</f>
        <v>54044</v>
      </c>
      <c r="T219" s="6"/>
      <c r="U219" s="286">
        <f t="shared" si="44"/>
        <v>7.1503418785325679E-2</v>
      </c>
      <c r="W219">
        <f t="shared" si="20"/>
        <v>209</v>
      </c>
      <c r="Y219" s="56"/>
    </row>
    <row r="220" spans="3:25" x14ac:dyDescent="0.3">
      <c r="C220" s="170">
        <f t="shared" si="15"/>
        <v>44119</v>
      </c>
      <c r="E220" s="284">
        <v>479400</v>
      </c>
      <c r="F220" s="7"/>
      <c r="G220" s="7">
        <v>216994</v>
      </c>
      <c r="H220" s="7"/>
      <c r="I220" s="7">
        <v>62028</v>
      </c>
      <c r="J220" s="287"/>
      <c r="K220" s="7">
        <f t="shared" si="41"/>
        <v>758422</v>
      </c>
      <c r="L220" s="6"/>
      <c r="M220" s="481">
        <f t="shared" si="42"/>
        <v>3.4373081563961981E-3</v>
      </c>
      <c r="N220" s="29"/>
      <c r="O220" s="29"/>
      <c r="P220" s="29"/>
      <c r="Q220" s="375">
        <f t="shared" si="43"/>
        <v>2598</v>
      </c>
      <c r="R220" s="6"/>
      <c r="S220" s="7">
        <f>33316+16191+4537</f>
        <v>54044</v>
      </c>
      <c r="T220" s="6"/>
      <c r="U220" s="286">
        <f t="shared" si="44"/>
        <v>7.1258481425908002E-2</v>
      </c>
      <c r="W220">
        <f t="shared" si="20"/>
        <v>210</v>
      </c>
      <c r="Y220" s="56"/>
    </row>
    <row r="221" spans="3:25" x14ac:dyDescent="0.3">
      <c r="C221" s="170">
        <f t="shared" si="15"/>
        <v>44120</v>
      </c>
      <c r="E221" s="284">
        <v>481107</v>
      </c>
      <c r="F221" s="7"/>
      <c r="G221" s="7">
        <v>217804</v>
      </c>
      <c r="H221" s="7"/>
      <c r="I221" s="7">
        <v>62830</v>
      </c>
      <c r="J221" s="287"/>
      <c r="K221" s="7">
        <f t="shared" si="41"/>
        <v>761741</v>
      </c>
      <c r="L221" s="6"/>
      <c r="M221" s="481">
        <f t="shared" si="42"/>
        <v>4.3761916189140083E-3</v>
      </c>
      <c r="N221" s="29"/>
      <c r="O221" s="29"/>
      <c r="P221" s="29"/>
      <c r="Q221" s="375">
        <f t="shared" si="43"/>
        <v>3319</v>
      </c>
      <c r="R221" s="6"/>
      <c r="S221" s="7">
        <f>33337+16202+4542</f>
        <v>54081</v>
      </c>
      <c r="T221" s="6"/>
      <c r="U221" s="286">
        <f t="shared" si="44"/>
        <v>7.0996572325764271E-2</v>
      </c>
      <c r="W221">
        <f t="shared" si="20"/>
        <v>211</v>
      </c>
      <c r="Y221" s="56"/>
    </row>
    <row r="222" spans="3:25" x14ac:dyDescent="0.3">
      <c r="C222" s="170">
        <f t="shared" si="15"/>
        <v>44121</v>
      </c>
      <c r="E222" s="284">
        <v>482891</v>
      </c>
      <c r="F222" s="7"/>
      <c r="G222" s="7">
        <v>218738</v>
      </c>
      <c r="H222" s="7"/>
      <c r="I222" s="7">
        <v>62830</v>
      </c>
      <c r="J222" s="287"/>
      <c r="K222" s="7">
        <f t="shared" si="41"/>
        <v>764459</v>
      </c>
      <c r="L222" s="6"/>
      <c r="M222" s="481">
        <f t="shared" si="42"/>
        <v>3.5681419275055432E-3</v>
      </c>
      <c r="N222" s="29"/>
      <c r="O222" s="29"/>
      <c r="P222" s="29"/>
      <c r="Q222" s="375">
        <f t="shared" si="43"/>
        <v>2718</v>
      </c>
      <c r="R222" s="6"/>
      <c r="S222" s="7">
        <f>33347+16204+4542</f>
        <v>54093</v>
      </c>
      <c r="T222" s="6"/>
      <c r="U222" s="286">
        <f t="shared" si="44"/>
        <v>7.0759844543657677E-2</v>
      </c>
      <c r="W222">
        <f t="shared" si="20"/>
        <v>212</v>
      </c>
      <c r="Y222" s="56"/>
    </row>
    <row r="223" spans="3:25" x14ac:dyDescent="0.3">
      <c r="C223" s="170">
        <f t="shared" si="15"/>
        <v>44122</v>
      </c>
      <c r="E223" s="284">
        <v>484281</v>
      </c>
      <c r="F223" s="7"/>
      <c r="G223" s="7">
        <v>219647</v>
      </c>
      <c r="H223" s="7"/>
      <c r="I223" s="7">
        <v>62830</v>
      </c>
      <c r="J223" s="287"/>
      <c r="K223" s="7">
        <f t="shared" si="41"/>
        <v>766758</v>
      </c>
      <c r="L223" s="6"/>
      <c r="M223" s="481">
        <f t="shared" si="42"/>
        <v>3.0073555285502558E-3</v>
      </c>
      <c r="N223" s="29"/>
      <c r="O223" s="29"/>
      <c r="P223" s="29"/>
      <c r="Q223" s="375">
        <f t="shared" si="43"/>
        <v>2299</v>
      </c>
      <c r="R223" s="6"/>
      <c r="S223" s="7">
        <f>33357+16211+4542</f>
        <v>54110</v>
      </c>
      <c r="T223" s="6"/>
      <c r="U223" s="286">
        <f t="shared" si="44"/>
        <v>7.0569853852193262E-2</v>
      </c>
      <c r="W223">
        <f t="shared" si="20"/>
        <v>213</v>
      </c>
      <c r="Y223" s="56"/>
    </row>
    <row r="224" spans="3:25" x14ac:dyDescent="0.3">
      <c r="C224" s="170">
        <f t="shared" si="15"/>
        <v>44123</v>
      </c>
      <c r="E224" s="284">
        <v>485279</v>
      </c>
      <c r="F224" s="7"/>
      <c r="G224" s="7">
        <v>221205</v>
      </c>
      <c r="H224" s="7"/>
      <c r="I224" s="7">
        <v>64021</v>
      </c>
      <c r="J224" s="287"/>
      <c r="K224" s="7">
        <f t="shared" ref="K224:K230" si="45">SUM(E224:I224)</f>
        <v>770505</v>
      </c>
      <c r="L224" s="6"/>
      <c r="M224" s="481">
        <f t="shared" ref="M224:M230" si="46">+(K224-K223)/K223</f>
        <v>4.8868091366506775E-3</v>
      </c>
      <c r="N224" s="29"/>
      <c r="O224" s="29"/>
      <c r="P224" s="29"/>
      <c r="Q224" s="375">
        <f t="shared" ref="Q224:Q230" si="47">+K224-K223</f>
        <v>3747</v>
      </c>
      <c r="R224" s="6"/>
      <c r="S224" s="7">
        <f>33357+16211+4542</f>
        <v>54110</v>
      </c>
      <c r="T224" s="6"/>
      <c r="U224" s="286">
        <f t="shared" ref="U224:U230" si="48">+S224/K224</f>
        <v>7.0226669521936916E-2</v>
      </c>
      <c r="W224">
        <f t="shared" si="20"/>
        <v>214</v>
      </c>
      <c r="Y224" s="56"/>
    </row>
    <row r="225" spans="3:25" x14ac:dyDescent="0.3">
      <c r="C225" s="170">
        <f t="shared" si="15"/>
        <v>44124</v>
      </c>
      <c r="E225" s="284">
        <v>486480</v>
      </c>
      <c r="F225" s="7"/>
      <c r="G225" s="7">
        <v>222193</v>
      </c>
      <c r="H225" s="7"/>
      <c r="I225" s="7">
        <v>64455</v>
      </c>
      <c r="J225" s="287"/>
      <c r="K225" s="7">
        <f t="shared" si="45"/>
        <v>773128</v>
      </c>
      <c r="L225" s="6"/>
      <c r="M225" s="481">
        <f t="shared" si="46"/>
        <v>3.4042608419153674E-3</v>
      </c>
      <c r="N225" s="29"/>
      <c r="O225" s="29"/>
      <c r="P225" s="29"/>
      <c r="Q225" s="375">
        <f t="shared" si="47"/>
        <v>2623</v>
      </c>
      <c r="R225" s="6"/>
      <c r="S225" s="7">
        <f>33366+16227+4559</f>
        <v>54152</v>
      </c>
      <c r="T225" s="6"/>
      <c r="U225" s="286">
        <f t="shared" si="48"/>
        <v>7.0042735484939098E-2</v>
      </c>
      <c r="W225">
        <f t="shared" si="20"/>
        <v>215</v>
      </c>
      <c r="Y225" s="56"/>
    </row>
    <row r="226" spans="3:25" x14ac:dyDescent="0.3">
      <c r="C226" s="170">
        <f t="shared" si="15"/>
        <v>44125</v>
      </c>
      <c r="E226" s="284">
        <v>488506</v>
      </c>
      <c r="F226" s="7"/>
      <c r="G226" s="7">
        <v>223223</v>
      </c>
      <c r="H226" s="7"/>
      <c r="I226" s="7">
        <v>64871</v>
      </c>
      <c r="J226" s="287"/>
      <c r="K226" s="7">
        <f t="shared" si="45"/>
        <v>776600</v>
      </c>
      <c r="L226" s="6"/>
      <c r="M226" s="481">
        <f t="shared" si="46"/>
        <v>4.4908475698720004E-3</v>
      </c>
      <c r="N226" s="29"/>
      <c r="O226" s="29"/>
      <c r="P226" s="29"/>
      <c r="Q226" s="375">
        <f t="shared" si="47"/>
        <v>3472</v>
      </c>
      <c r="R226" s="6"/>
      <c r="S226" s="7">
        <f>33371+16245+4567</f>
        <v>54183</v>
      </c>
      <c r="T226" s="6"/>
      <c r="U226" s="286">
        <f t="shared" si="48"/>
        <v>6.9769508112284315E-2</v>
      </c>
      <c r="W226">
        <f t="shared" si="20"/>
        <v>216</v>
      </c>
      <c r="Y226" s="56"/>
    </row>
    <row r="227" spans="3:25" x14ac:dyDescent="0.3">
      <c r="C227" s="170">
        <f t="shared" si="15"/>
        <v>44126</v>
      </c>
      <c r="E227" s="284">
        <v>490134</v>
      </c>
      <c r="F227" s="7"/>
      <c r="G227" s="7">
        <v>224385</v>
      </c>
      <c r="H227" s="7"/>
      <c r="I227" s="7">
        <v>65373</v>
      </c>
      <c r="J227" s="287"/>
      <c r="K227" s="7">
        <f t="shared" si="45"/>
        <v>779892</v>
      </c>
      <c r="L227" s="6"/>
      <c r="M227" s="481">
        <f t="shared" si="46"/>
        <v>4.2389904712850889E-3</v>
      </c>
      <c r="N227" s="29"/>
      <c r="O227" s="29"/>
      <c r="P227" s="29"/>
      <c r="Q227" s="375">
        <f t="shared" si="47"/>
        <v>3292</v>
      </c>
      <c r="R227" s="6"/>
      <c r="S227" s="7">
        <f>33371+16245+4567</f>
        <v>54183</v>
      </c>
      <c r="T227" s="6"/>
      <c r="U227" s="286">
        <f t="shared" si="48"/>
        <v>6.9475004231355109E-2</v>
      </c>
      <c r="W227">
        <f t="shared" si="20"/>
        <v>217</v>
      </c>
      <c r="Y227" s="56"/>
    </row>
    <row r="228" spans="3:25" x14ac:dyDescent="0.3">
      <c r="C228" s="170">
        <f t="shared" si="15"/>
        <v>44127</v>
      </c>
      <c r="E228" s="284">
        <v>491771</v>
      </c>
      <c r="F228" s="7"/>
      <c r="G228" s="7">
        <v>225430</v>
      </c>
      <c r="H228" s="7"/>
      <c r="I228" s="7">
        <v>66052</v>
      </c>
      <c r="J228" s="287"/>
      <c r="K228" s="7">
        <f t="shared" si="45"/>
        <v>783253</v>
      </c>
      <c r="L228" s="6"/>
      <c r="M228" s="481">
        <f t="shared" si="46"/>
        <v>4.3095710688146561E-3</v>
      </c>
      <c r="N228" s="29"/>
      <c r="O228" s="29"/>
      <c r="P228" s="29"/>
      <c r="Q228" s="375">
        <f t="shared" si="47"/>
        <v>3361</v>
      </c>
      <c r="R228" s="6"/>
      <c r="S228" s="7">
        <f>33371+16245+4567</f>
        <v>54183</v>
      </c>
      <c r="T228" s="6"/>
      <c r="U228" s="286">
        <f t="shared" si="48"/>
        <v>6.917688154402217E-2</v>
      </c>
      <c r="W228">
        <f t="shared" si="20"/>
        <v>218</v>
      </c>
      <c r="Y228" s="56"/>
    </row>
    <row r="229" spans="3:25" x14ac:dyDescent="0.3">
      <c r="C229" s="170">
        <f t="shared" si="15"/>
        <v>44128</v>
      </c>
      <c r="E229" s="284">
        <v>493832</v>
      </c>
      <c r="F229" s="7"/>
      <c r="G229" s="7">
        <v>227339</v>
      </c>
      <c r="H229" s="7"/>
      <c r="I229" s="7">
        <v>66052</v>
      </c>
      <c r="J229" s="287"/>
      <c r="K229" s="7">
        <f t="shared" si="45"/>
        <v>787223</v>
      </c>
      <c r="L229" s="6"/>
      <c r="M229" s="481">
        <f t="shared" si="46"/>
        <v>5.0686049079926923E-3</v>
      </c>
      <c r="N229" s="29"/>
      <c r="O229" s="29"/>
      <c r="P229" s="29"/>
      <c r="Q229" s="375">
        <f t="shared" si="47"/>
        <v>3970</v>
      </c>
      <c r="R229" s="6"/>
      <c r="S229" s="7">
        <f>33418+16281+4577</f>
        <v>54276</v>
      </c>
      <c r="T229" s="6"/>
      <c r="U229" s="286">
        <f t="shared" si="48"/>
        <v>6.8946156298787004E-2</v>
      </c>
      <c r="W229">
        <f t="shared" si="20"/>
        <v>219</v>
      </c>
      <c r="Y229" s="56"/>
    </row>
    <row r="230" spans="3:25" x14ac:dyDescent="0.3">
      <c r="C230" s="170">
        <f t="shared" si="15"/>
        <v>44129</v>
      </c>
      <c r="E230" s="284">
        <v>495464</v>
      </c>
      <c r="F230" s="7"/>
      <c r="G230" s="7">
        <v>228468</v>
      </c>
      <c r="H230" s="7"/>
      <c r="I230" s="7">
        <v>66052</v>
      </c>
      <c r="J230" s="287"/>
      <c r="K230" s="7">
        <f t="shared" si="45"/>
        <v>789984</v>
      </c>
      <c r="L230" s="6"/>
      <c r="M230" s="481">
        <f t="shared" si="46"/>
        <v>3.5072654127229516E-3</v>
      </c>
      <c r="N230" s="29"/>
      <c r="O230" s="29"/>
      <c r="P230" s="29"/>
      <c r="Q230" s="375">
        <f t="shared" si="47"/>
        <v>2761</v>
      </c>
      <c r="R230" s="6"/>
      <c r="S230" s="7">
        <f>33422+16285+4577</f>
        <v>54284</v>
      </c>
      <c r="T230" s="6"/>
      <c r="U230" s="286">
        <f t="shared" si="48"/>
        <v>6.8715315753230449E-2</v>
      </c>
      <c r="W230">
        <f t="shared" si="20"/>
        <v>220</v>
      </c>
      <c r="Y230" s="56"/>
    </row>
    <row r="231" spans="3:25" x14ac:dyDescent="0.3">
      <c r="C231" s="170">
        <f t="shared" si="15"/>
        <v>44130</v>
      </c>
      <c r="E231" s="284">
        <v>496655</v>
      </c>
      <c r="F231" s="7"/>
      <c r="G231" s="7">
        <v>229684</v>
      </c>
      <c r="H231" s="7"/>
      <c r="I231" s="7">
        <v>68099</v>
      </c>
      <c r="J231" s="287"/>
      <c r="K231" s="7">
        <f t="shared" ref="K231" si="49">SUM(E231:I231)</f>
        <v>794438</v>
      </c>
      <c r="L231" s="6"/>
      <c r="M231" s="481">
        <f t="shared" ref="M231" si="50">+(K231-K230)/K230</f>
        <v>5.6380888726860288E-3</v>
      </c>
      <c r="N231" s="29"/>
      <c r="O231" s="29"/>
      <c r="P231" s="29"/>
      <c r="Q231" s="375">
        <f t="shared" ref="Q231" si="51">+K231-K230</f>
        <v>4454</v>
      </c>
      <c r="R231" s="6"/>
      <c r="S231" s="7">
        <f>33424+16292+4589</f>
        <v>54305</v>
      </c>
      <c r="T231" s="6"/>
      <c r="U231" s="286">
        <f t="shared" ref="U231" si="52">+S231/K231</f>
        <v>6.8356498556212064E-2</v>
      </c>
      <c r="W231">
        <f t="shared" si="20"/>
        <v>221</v>
      </c>
      <c r="Y231" s="56"/>
    </row>
    <row r="232" spans="3:25" x14ac:dyDescent="0.3">
      <c r="C232" s="170">
        <f t="shared" si="15"/>
        <v>44131</v>
      </c>
      <c r="E232" s="284">
        <v>498646</v>
      </c>
      <c r="F232" s="7"/>
      <c r="G232" s="7">
        <v>231331</v>
      </c>
      <c r="H232" s="7"/>
      <c r="I232" s="7">
        <v>68637</v>
      </c>
      <c r="J232" s="287"/>
      <c r="K232" s="7">
        <f t="shared" ref="K232" si="53">SUM(E232:I232)</f>
        <v>798614</v>
      </c>
      <c r="L232" s="6"/>
      <c r="M232" s="481">
        <f t="shared" ref="M232" si="54">+(K232-K231)/K231</f>
        <v>5.2565461370176151E-3</v>
      </c>
      <c r="N232" s="29"/>
      <c r="O232" s="29"/>
      <c r="P232" s="29"/>
      <c r="Q232" s="375">
        <f t="shared" ref="Q232" si="55">+K232-K231</f>
        <v>4176</v>
      </c>
      <c r="R232" s="6"/>
      <c r="S232" s="7">
        <f>33433+16306+4595</f>
        <v>54334</v>
      </c>
      <c r="T232" s="6"/>
      <c r="U232" s="286">
        <f t="shared" ref="U232" si="56">+S232/K232</f>
        <v>6.8035371280743884E-2</v>
      </c>
      <c r="W232">
        <f t="shared" si="20"/>
        <v>222</v>
      </c>
      <c r="Y232" s="56"/>
    </row>
    <row r="233" spans="3:25" x14ac:dyDescent="0.3">
      <c r="C233" s="170">
        <f t="shared" si="15"/>
        <v>44132</v>
      </c>
      <c r="E233" s="284">
        <v>500677</v>
      </c>
      <c r="F233" s="7"/>
      <c r="G233" s="7">
        <v>232997</v>
      </c>
      <c r="H233" s="7"/>
      <c r="I233" s="7">
        <v>69127</v>
      </c>
      <c r="J233" s="287"/>
      <c r="K233" s="7">
        <f t="shared" ref="K233" si="57">SUM(E233:I233)</f>
        <v>802801</v>
      </c>
      <c r="L233" s="6"/>
      <c r="M233" s="481">
        <f t="shared" ref="M233" si="58">+(K233-K232)/K232</f>
        <v>5.2428332085337846E-3</v>
      </c>
      <c r="N233" s="29"/>
      <c r="O233" s="29"/>
      <c r="P233" s="29"/>
      <c r="Q233" s="375">
        <f t="shared" ref="Q233" si="59">+K233-K232</f>
        <v>4187</v>
      </c>
      <c r="R233" s="6"/>
      <c r="S233" s="7">
        <f>33433+16306+4595</f>
        <v>54334</v>
      </c>
      <c r="T233" s="6"/>
      <c r="U233" s="286">
        <f t="shared" ref="U233" si="60">+S233/K233</f>
        <v>6.768053353197119E-2</v>
      </c>
      <c r="W233">
        <f t="shared" si="20"/>
        <v>223</v>
      </c>
      <c r="Y233" s="56"/>
    </row>
    <row r="234" spans="3:25" x14ac:dyDescent="0.3">
      <c r="C234" s="170">
        <f t="shared" si="15"/>
        <v>44133</v>
      </c>
      <c r="E234" s="284">
        <v>503176</v>
      </c>
      <c r="F234" s="7"/>
      <c r="G234" s="7">
        <v>234547</v>
      </c>
      <c r="H234" s="7"/>
      <c r="I234" s="7">
        <v>70446</v>
      </c>
      <c r="J234" s="287"/>
      <c r="K234" s="7">
        <f t="shared" ref="K234" si="61">SUM(E234:I234)</f>
        <v>808169</v>
      </c>
      <c r="L234" s="6"/>
      <c r="M234" s="481">
        <f t="shared" ref="M234" si="62">+(K234-K233)/K233</f>
        <v>6.686588581728224E-3</v>
      </c>
      <c r="N234" s="29"/>
      <c r="O234" s="29"/>
      <c r="P234" s="29"/>
      <c r="Q234" s="375">
        <f t="shared" ref="Q234" si="63">+K234-K233</f>
        <v>5368</v>
      </c>
      <c r="R234" s="6"/>
      <c r="S234" s="7">
        <f>33433+16306+4595</f>
        <v>54334</v>
      </c>
      <c r="T234" s="6"/>
      <c r="U234" s="286">
        <f t="shared" ref="U234" si="64">+S234/K234</f>
        <v>6.723098757809319E-2</v>
      </c>
      <c r="W234">
        <f t="shared" si="20"/>
        <v>224</v>
      </c>
      <c r="Y234" s="56"/>
    </row>
    <row r="235" spans="3:25" x14ac:dyDescent="0.3">
      <c r="C235" s="170">
        <f t="shared" si="15"/>
        <v>44134</v>
      </c>
      <c r="E235" s="284">
        <v>505431</v>
      </c>
      <c r="F235" s="7"/>
      <c r="G235" s="7">
        <v>236523</v>
      </c>
      <c r="H235" s="7"/>
      <c r="I235" s="7">
        <v>71207</v>
      </c>
      <c r="J235" s="287"/>
      <c r="K235" s="7">
        <f t="shared" ref="K235" si="65">SUM(E235:I235)</f>
        <v>813161</v>
      </c>
      <c r="L235" s="6"/>
      <c r="M235" s="481">
        <f t="shared" ref="M235" si="66">+(K235-K234)/K234</f>
        <v>6.1769258657533264E-3</v>
      </c>
      <c r="N235" s="29"/>
      <c r="O235" s="29"/>
      <c r="P235" s="29"/>
      <c r="Q235" s="375">
        <f t="shared" ref="Q235" si="67">+K235-K234</f>
        <v>4992</v>
      </c>
      <c r="R235" s="6"/>
      <c r="S235" s="7">
        <f>33506+16339+4616</f>
        <v>54461</v>
      </c>
      <c r="T235" s="6"/>
      <c r="U235" s="286">
        <f t="shared" ref="U235" si="68">+S235/K235</f>
        <v>6.697443679664912E-2</v>
      </c>
      <c r="W235">
        <f t="shared" si="20"/>
        <v>225</v>
      </c>
      <c r="Y235" s="56"/>
    </row>
    <row r="236" spans="3:25" x14ac:dyDescent="0.3">
      <c r="C236" s="170">
        <f t="shared" si="15"/>
        <v>44135</v>
      </c>
      <c r="E236" s="284">
        <v>507543</v>
      </c>
      <c r="F236" s="7"/>
      <c r="G236" s="7">
        <v>237886</v>
      </c>
      <c r="H236" s="7"/>
      <c r="I236" s="7">
        <v>71207</v>
      </c>
      <c r="J236" s="287"/>
      <c r="K236" s="7">
        <f t="shared" ref="K236" si="69">SUM(E236:I236)</f>
        <v>816636</v>
      </c>
      <c r="L236" s="6"/>
      <c r="M236" s="481">
        <f t="shared" ref="M236" si="70">+(K236-K235)/K235</f>
        <v>4.2734464638614E-3</v>
      </c>
      <c r="N236" s="29"/>
      <c r="O236" s="29"/>
      <c r="P236" s="29"/>
      <c r="Q236" s="375">
        <f t="shared" ref="Q236" si="71">+K236-K235</f>
        <v>3475</v>
      </c>
      <c r="R236" s="6"/>
      <c r="S236" s="7">
        <f>33511+16350+4616</f>
        <v>54477</v>
      </c>
      <c r="T236" s="6"/>
      <c r="U236" s="286">
        <f t="shared" ref="U236" si="72">+S236/K236</f>
        <v>6.6709035604602299E-2</v>
      </c>
      <c r="W236">
        <f t="shared" si="20"/>
        <v>226</v>
      </c>
      <c r="Y236" s="56"/>
    </row>
    <row r="237" spans="3:25" x14ac:dyDescent="0.3">
      <c r="C237" s="170">
        <f t="shared" si="15"/>
        <v>44136</v>
      </c>
      <c r="E237" s="284">
        <v>509735</v>
      </c>
      <c r="F237" s="7"/>
      <c r="G237" s="7">
        <v>239629</v>
      </c>
      <c r="H237" s="7"/>
      <c r="I237" s="7">
        <v>71207</v>
      </c>
      <c r="J237" s="287"/>
      <c r="K237" s="7">
        <f t="shared" ref="K237" si="73">SUM(E237:I237)</f>
        <v>820571</v>
      </c>
      <c r="L237" s="6"/>
      <c r="M237" s="481">
        <f t="shared" ref="M237" si="74">+(K237-K236)/K236</f>
        <v>4.8185482883438885E-3</v>
      </c>
      <c r="N237" s="29"/>
      <c r="O237" s="29"/>
      <c r="P237" s="29"/>
      <c r="Q237" s="375">
        <f t="shared" ref="Q237" si="75">+K237-K236</f>
        <v>3935</v>
      </c>
      <c r="R237" s="6"/>
      <c r="S237" s="7">
        <f>33535+16354+4616</f>
        <v>54505</v>
      </c>
      <c r="T237" s="6"/>
      <c r="U237" s="286">
        <f t="shared" ref="U237" si="76">+S237/K237</f>
        <v>6.6423258925796799E-2</v>
      </c>
      <c r="W237">
        <f t="shared" si="20"/>
        <v>227</v>
      </c>
      <c r="Y237" s="56"/>
    </row>
    <row r="238" spans="3:25" x14ac:dyDescent="0.3">
      <c r="C238" s="170">
        <f t="shared" si="15"/>
        <v>44137</v>
      </c>
      <c r="E238" s="284">
        <v>511368</v>
      </c>
      <c r="F238" s="7"/>
      <c r="G238" s="7">
        <v>240997</v>
      </c>
      <c r="H238" s="7"/>
      <c r="I238" s="7">
        <v>73858</v>
      </c>
      <c r="J238" s="287"/>
      <c r="K238" s="7">
        <f t="shared" ref="K238" si="77">SUM(E238:I238)</f>
        <v>826223</v>
      </c>
      <c r="L238" s="6"/>
      <c r="M238" s="481">
        <f t="shared" ref="M238" si="78">+(K238-K237)/K237</f>
        <v>6.8878866057903582E-3</v>
      </c>
      <c r="N238" s="29"/>
      <c r="O238" s="29"/>
      <c r="P238" s="29"/>
      <c r="Q238" s="375">
        <f t="shared" ref="Q238" si="79">+K238-K237</f>
        <v>5652</v>
      </c>
      <c r="R238" s="6"/>
      <c r="S238" s="7">
        <f>33535+16354+4616</f>
        <v>54505</v>
      </c>
      <c r="T238" s="6"/>
      <c r="U238" s="286">
        <f t="shared" ref="U238" si="80">+S238/K238</f>
        <v>6.5968872810367174E-2</v>
      </c>
      <c r="W238">
        <f t="shared" si="20"/>
        <v>228</v>
      </c>
      <c r="Y238" s="56"/>
    </row>
    <row r="239" spans="3:25" x14ac:dyDescent="0.3">
      <c r="C239" s="170">
        <f t="shared" si="15"/>
        <v>44138</v>
      </c>
      <c r="E239" s="284">
        <v>513689</v>
      </c>
      <c r="F239" s="7"/>
      <c r="G239" s="7">
        <v>242825</v>
      </c>
      <c r="H239" s="7"/>
      <c r="I239" s="7">
        <v>74843</v>
      </c>
      <c r="J239" s="287"/>
      <c r="K239" s="7">
        <f t="shared" ref="K239" si="81">SUM(E239:I239)</f>
        <v>831357</v>
      </c>
      <c r="L239" s="6"/>
      <c r="M239" s="481">
        <f t="shared" ref="M239" si="82">+(K239-K238)/K238</f>
        <v>6.2138187874217973E-3</v>
      </c>
      <c r="N239" s="29"/>
      <c r="O239" s="29"/>
      <c r="P239" s="29"/>
      <c r="Q239" s="375">
        <f t="shared" ref="Q239" si="83">+K239-K238</f>
        <v>5134</v>
      </c>
      <c r="R239" s="6"/>
      <c r="S239" s="7">
        <f>33543+16371+4635</f>
        <v>54549</v>
      </c>
      <c r="T239" s="6"/>
      <c r="U239" s="286">
        <f t="shared" ref="U239" si="84">+S239/K239</f>
        <v>6.5614411137453588E-2</v>
      </c>
      <c r="W239">
        <f t="shared" si="20"/>
        <v>229</v>
      </c>
      <c r="Y239" s="56"/>
    </row>
    <row r="240" spans="3:25" x14ac:dyDescent="0.3">
      <c r="C240" s="170">
        <f t="shared" si="15"/>
        <v>44139</v>
      </c>
      <c r="E240" s="284">
        <v>513689</v>
      </c>
      <c r="F240" s="7"/>
      <c r="G240" s="7">
        <v>245257</v>
      </c>
      <c r="H240" s="7"/>
      <c r="I240" s="7">
        <v>75373</v>
      </c>
      <c r="J240" s="287"/>
      <c r="K240" s="7">
        <f t="shared" ref="K240" si="85">SUM(E240:I240)</f>
        <v>834319</v>
      </c>
      <c r="L240" s="6"/>
      <c r="M240" s="481">
        <f t="shared" ref="M240" si="86">+(K240-K239)/K239</f>
        <v>3.5628496542399954E-3</v>
      </c>
      <c r="N240" s="29"/>
      <c r="O240" s="29"/>
      <c r="P240" s="29"/>
      <c r="Q240" s="375">
        <f t="shared" ref="Q240" si="87">+K240-K239</f>
        <v>2962</v>
      </c>
      <c r="R240" s="6"/>
      <c r="S240" s="7">
        <f>33556+16391+4645</f>
        <v>54592</v>
      </c>
      <c r="T240" s="6"/>
      <c r="U240" s="286">
        <f t="shared" ref="U240" si="88">+S240/K240</f>
        <v>6.543300584069163E-2</v>
      </c>
      <c r="W240">
        <f t="shared" si="20"/>
        <v>230</v>
      </c>
      <c r="Y240" s="56"/>
    </row>
    <row r="241" spans="3:25" x14ac:dyDescent="0.3">
      <c r="C241" s="170">
        <f t="shared" si="15"/>
        <v>44140</v>
      </c>
      <c r="E241" s="284">
        <v>518812</v>
      </c>
      <c r="F241" s="7"/>
      <c r="G241" s="7">
        <v>247219</v>
      </c>
      <c r="H241" s="7"/>
      <c r="I241" s="7">
        <v>77060</v>
      </c>
      <c r="J241" s="287"/>
      <c r="K241" s="7">
        <f t="shared" ref="K241" si="89">SUM(E241:I241)</f>
        <v>843091</v>
      </c>
      <c r="L241" s="6"/>
      <c r="M241" s="481">
        <f t="shared" ref="M241" si="90">+(K241-K240)/K240</f>
        <v>1.0513964083282293E-2</v>
      </c>
      <c r="N241" s="29"/>
      <c r="O241" s="29"/>
      <c r="P241" s="29"/>
      <c r="Q241" s="375">
        <f t="shared" ref="Q241" si="91">+K241-K240</f>
        <v>8772</v>
      </c>
      <c r="R241" s="6"/>
      <c r="S241" s="7">
        <f>33657+16403+4656</f>
        <v>54716</v>
      </c>
      <c r="T241" s="6"/>
      <c r="U241" s="286">
        <f t="shared" ref="U241" si="92">+S241/K241</f>
        <v>6.4899281334992315E-2</v>
      </c>
      <c r="W241">
        <f t="shared" si="20"/>
        <v>231</v>
      </c>
      <c r="Y241" s="56"/>
    </row>
    <row r="242" spans="3:25" x14ac:dyDescent="0.3">
      <c r="C242" s="170">
        <f t="shared" si="15"/>
        <v>44141</v>
      </c>
      <c r="E242" s="284">
        <v>522021</v>
      </c>
      <c r="F242" s="7"/>
      <c r="G242" s="7">
        <v>249380</v>
      </c>
      <c r="H242" s="7"/>
      <c r="I242" s="7">
        <v>78125</v>
      </c>
      <c r="J242" s="287"/>
      <c r="K242" s="7">
        <f t="shared" ref="K242" si="93">SUM(E242:I242)</f>
        <v>849526</v>
      </c>
      <c r="L242" s="6"/>
      <c r="M242" s="481">
        <f t="shared" ref="M242" si="94">+(K242-K241)/K241</f>
        <v>7.6326280318494682E-3</v>
      </c>
      <c r="N242" s="29"/>
      <c r="O242" s="29"/>
      <c r="P242" s="29"/>
      <c r="Q242" s="375">
        <f t="shared" ref="Q242" si="95">+K242-K241</f>
        <v>6435</v>
      </c>
      <c r="R242" s="6"/>
      <c r="S242" s="7">
        <f>33654+16416+4671</f>
        <v>54741</v>
      </c>
      <c r="T242" s="6"/>
      <c r="U242" s="286">
        <f t="shared" ref="U242" si="96">+S242/K242</f>
        <v>6.4437109635255424E-2</v>
      </c>
      <c r="W242">
        <f t="shared" si="20"/>
        <v>232</v>
      </c>
      <c r="Y242" s="56"/>
    </row>
    <row r="243" spans="3:25" x14ac:dyDescent="0.3">
      <c r="C243" s="170">
        <f t="shared" si="15"/>
        <v>44142</v>
      </c>
      <c r="E243" s="284">
        <v>525608</v>
      </c>
      <c r="F243" s="7"/>
      <c r="G243" s="7">
        <v>252582</v>
      </c>
      <c r="H243" s="7"/>
      <c r="I243" s="7">
        <v>78125</v>
      </c>
      <c r="J243" s="287"/>
      <c r="K243" s="7">
        <f t="shared" ref="K243" si="97">SUM(E243:I243)</f>
        <v>856315</v>
      </c>
      <c r="L243" s="6"/>
      <c r="M243" s="481">
        <f t="shared" ref="M243" si="98">+(K243-K242)/K242</f>
        <v>7.9915152685144427E-3</v>
      </c>
      <c r="N243" s="29"/>
      <c r="O243" s="29"/>
      <c r="P243" s="29"/>
      <c r="Q243" s="375">
        <f t="shared" ref="Q243" si="99">+K243-K242</f>
        <v>6789</v>
      </c>
      <c r="R243" s="6"/>
      <c r="S243" s="7">
        <f>33654+16416+4671</f>
        <v>54741</v>
      </c>
      <c r="T243" s="6"/>
      <c r="U243" s="286">
        <f t="shared" ref="U243" si="100">+S243/K243</f>
        <v>6.3926242095490568E-2</v>
      </c>
      <c r="W243">
        <f t="shared" si="20"/>
        <v>233</v>
      </c>
      <c r="Y243" s="56"/>
    </row>
    <row r="244" spans="3:25" x14ac:dyDescent="0.3">
      <c r="C244" s="170">
        <f t="shared" si="15"/>
        <v>44143</v>
      </c>
      <c r="E244" s="284">
        <v>529036</v>
      </c>
      <c r="F244" s="7"/>
      <c r="G244" s="7">
        <v>254595</v>
      </c>
      <c r="H244" s="7"/>
      <c r="I244" s="7">
        <v>78125</v>
      </c>
      <c r="J244" s="287"/>
      <c r="K244" s="7">
        <f t="shared" ref="K244" si="101">SUM(E244:I244)</f>
        <v>861756</v>
      </c>
      <c r="L244" s="6"/>
      <c r="M244" s="481">
        <f t="shared" ref="M244" si="102">+(K244-K243)/K243</f>
        <v>6.3539702095607338E-3</v>
      </c>
      <c r="N244" s="29"/>
      <c r="O244" s="29"/>
      <c r="P244" s="29"/>
      <c r="Q244" s="375">
        <f t="shared" ref="Q244" si="103">+K244-K243</f>
        <v>5441</v>
      </c>
      <c r="R244" s="6"/>
      <c r="S244" s="7">
        <f>33694+16429+4671</f>
        <v>54794</v>
      </c>
      <c r="T244" s="6"/>
      <c r="U244" s="286">
        <f t="shared" ref="U244" si="104">+S244/K244</f>
        <v>6.3584123580224569E-2</v>
      </c>
      <c r="W244">
        <f t="shared" si="20"/>
        <v>234</v>
      </c>
      <c r="Y244" s="56"/>
    </row>
    <row r="245" spans="3:25" x14ac:dyDescent="0.3">
      <c r="C245" s="170">
        <f t="shared" si="15"/>
        <v>44144</v>
      </c>
      <c r="E245" s="284">
        <v>532180</v>
      </c>
      <c r="F245" s="7"/>
      <c r="G245" s="7">
        <v>256653</v>
      </c>
      <c r="H245" s="7"/>
      <c r="I245" s="7">
        <v>81432</v>
      </c>
      <c r="J245" s="287"/>
      <c r="K245" s="7">
        <f t="shared" ref="K245" si="105">SUM(E245:I245)</f>
        <v>870265</v>
      </c>
      <c r="L245" s="6"/>
      <c r="M245" s="481">
        <f t="shared" ref="M245" si="106">+(K245-K244)/K244</f>
        <v>9.8740246659147143E-3</v>
      </c>
      <c r="N245" s="29"/>
      <c r="O245" s="29"/>
      <c r="P245" s="29"/>
      <c r="Q245" s="375">
        <f t="shared" ref="Q245" si="107">+K245-K244</f>
        <v>8509</v>
      </c>
      <c r="R245" s="6"/>
      <c r="S245" s="7">
        <f>33706+16440+4698</f>
        <v>54844</v>
      </c>
      <c r="T245" s="6"/>
      <c r="U245" s="286">
        <f t="shared" ref="U245" si="108">+S245/K245</f>
        <v>6.301988474774925E-2</v>
      </c>
      <c r="W245">
        <f t="shared" si="20"/>
        <v>235</v>
      </c>
      <c r="Y245" s="56"/>
    </row>
    <row r="246" spans="3:25" x14ac:dyDescent="0.3">
      <c r="C246" s="170">
        <f t="shared" si="15"/>
        <v>44145</v>
      </c>
      <c r="E246" s="284">
        <v>532180</v>
      </c>
      <c r="F246" s="7"/>
      <c r="G246" s="7">
        <v>260430</v>
      </c>
      <c r="H246" s="7"/>
      <c r="I246" s="7">
        <v>82953</v>
      </c>
      <c r="J246" s="287"/>
      <c r="K246" s="7">
        <f t="shared" ref="K246" si="109">SUM(E246:I246)</f>
        <v>875563</v>
      </c>
      <c r="L246" s="6"/>
      <c r="M246" s="481">
        <f t="shared" ref="M246" si="110">+(K246-K245)/K245</f>
        <v>6.0878008422721817E-3</v>
      </c>
      <c r="N246" s="29"/>
      <c r="O246" s="29"/>
      <c r="P246" s="29"/>
      <c r="Q246" s="375">
        <f t="shared" ref="Q246" si="111">+K246-K245</f>
        <v>5298</v>
      </c>
      <c r="R246" s="6"/>
      <c r="S246" s="7">
        <f>33706+16461+4707</f>
        <v>54874</v>
      </c>
      <c r="T246" s="6"/>
      <c r="U246" s="286">
        <f t="shared" ref="U246" si="112">+S246/K246</f>
        <v>6.2672817375791348E-2</v>
      </c>
      <c r="W246">
        <f t="shared" si="20"/>
        <v>236</v>
      </c>
      <c r="Y246" s="56"/>
    </row>
    <row r="247" spans="3:25" x14ac:dyDescent="0.3">
      <c r="C247" s="170">
        <f t="shared" si="15"/>
        <v>44146</v>
      </c>
      <c r="E247" s="284">
        <v>540965</v>
      </c>
      <c r="F247" s="7"/>
      <c r="G247" s="7">
        <v>263495</v>
      </c>
      <c r="H247" s="7"/>
      <c r="I247" s="7">
        <v>84707</v>
      </c>
      <c r="J247" s="287"/>
      <c r="K247" s="7">
        <f t="shared" ref="K247" si="113">SUM(E247:I247)</f>
        <v>889167</v>
      </c>
      <c r="L247" s="6"/>
      <c r="M247" s="481">
        <f t="shared" ref="M247" si="114">+(K247-K246)/K246</f>
        <v>1.553743134417512E-2</v>
      </c>
      <c r="N247" s="29"/>
      <c r="O247" s="29"/>
      <c r="P247" s="29"/>
      <c r="Q247" s="375">
        <f t="shared" ref="Q247" si="115">+K247-K246</f>
        <v>13604</v>
      </c>
      <c r="R247" s="6"/>
      <c r="S247" s="7">
        <f>33716+16476+4716</f>
        <v>54908</v>
      </c>
      <c r="T247" s="6"/>
      <c r="U247" s="286">
        <f t="shared" ref="U247" si="116">+S247/K247</f>
        <v>6.1752179286905608E-2</v>
      </c>
      <c r="W247">
        <f t="shared" si="20"/>
        <v>237</v>
      </c>
      <c r="Y247" s="56"/>
    </row>
    <row r="248" spans="3:25" x14ac:dyDescent="0.3">
      <c r="C248" s="170">
        <f t="shared" si="15"/>
        <v>44147</v>
      </c>
      <c r="E248" s="284">
        <v>545762</v>
      </c>
      <c r="F248" s="7"/>
      <c r="G248" s="7">
        <v>266986</v>
      </c>
      <c r="H248" s="7"/>
      <c r="I248" s="7">
        <v>85899</v>
      </c>
      <c r="J248" s="287"/>
      <c r="K248" s="7">
        <f t="shared" ref="K248" si="117">SUM(E248:I248)</f>
        <v>898647</v>
      </c>
      <c r="L248" s="6"/>
      <c r="M248" s="481">
        <f t="shared" ref="M248" si="118">+(K248-K247)/K247</f>
        <v>1.0661664231803475E-2</v>
      </c>
      <c r="N248" s="29"/>
      <c r="O248" s="29"/>
      <c r="P248" s="29"/>
      <c r="Q248" s="375">
        <f t="shared" ref="Q248" si="119">+K248-K247</f>
        <v>9480</v>
      </c>
      <c r="R248" s="6"/>
      <c r="S248" s="7">
        <f>33741+16495+4726</f>
        <v>54962</v>
      </c>
      <c r="T248" s="6"/>
      <c r="U248" s="286">
        <f t="shared" ref="U248" si="120">+S248/K248</f>
        <v>6.1160834009349609E-2</v>
      </c>
      <c r="W248">
        <f t="shared" si="20"/>
        <v>238</v>
      </c>
      <c r="Y248" s="56"/>
    </row>
    <row r="249" spans="3:25" x14ac:dyDescent="0.3">
      <c r="C249" s="170">
        <f t="shared" si="15"/>
        <v>44148</v>
      </c>
      <c r="E249" s="284">
        <v>545762</v>
      </c>
      <c r="F249" s="7"/>
      <c r="G249" s="7">
        <v>270383</v>
      </c>
      <c r="H249" s="7"/>
      <c r="I249" s="7">
        <v>88645</v>
      </c>
      <c r="J249" s="287"/>
      <c r="K249" s="7">
        <f t="shared" ref="K249" si="121">SUM(E249:I249)</f>
        <v>904790</v>
      </c>
      <c r="L249" s="6"/>
      <c r="M249" s="481">
        <f t="shared" ref="M249" si="122">+(K249-K248)/K248</f>
        <v>6.8358320897972174E-3</v>
      </c>
      <c r="N249" s="29"/>
      <c r="O249" s="29"/>
      <c r="P249" s="29"/>
      <c r="Q249" s="375">
        <f t="shared" ref="Q249" si="123">+K249-K248</f>
        <v>6143</v>
      </c>
      <c r="R249" s="6"/>
      <c r="S249" s="7">
        <f>33993+16522+4737</f>
        <v>55252</v>
      </c>
      <c r="T249" s="6"/>
      <c r="U249" s="286">
        <f t="shared" ref="U249" si="124">+S249/K249</f>
        <v>6.1066103736778697E-2</v>
      </c>
      <c r="W249">
        <f t="shared" si="20"/>
        <v>239</v>
      </c>
      <c r="Y249" s="56"/>
    </row>
    <row r="250" spans="3:25" x14ac:dyDescent="0.3">
      <c r="C250" s="170">
        <f t="shared" si="15"/>
        <v>44149</v>
      </c>
      <c r="E250" s="284">
        <v>556551</v>
      </c>
      <c r="F250" s="7"/>
      <c r="G250" s="7">
        <v>274736</v>
      </c>
      <c r="H250" s="7"/>
      <c r="I250" s="7">
        <v>88645</v>
      </c>
      <c r="J250" s="287"/>
      <c r="K250" s="7">
        <f t="shared" ref="K250" si="125">SUM(E250:I250)</f>
        <v>919932</v>
      </c>
      <c r="L250" s="6"/>
      <c r="M250" s="481">
        <f t="shared" ref="M250" si="126">+(K250-K249)/K249</f>
        <v>1.673537505940605E-2</v>
      </c>
      <c r="N250" s="29"/>
      <c r="O250" s="29"/>
      <c r="P250" s="29"/>
      <c r="Q250" s="375">
        <f t="shared" ref="Q250" si="127">+K250-K249</f>
        <v>15142</v>
      </c>
      <c r="R250" s="6"/>
      <c r="S250" s="7">
        <f>33993+16522+4737</f>
        <v>55252</v>
      </c>
      <c r="T250" s="6"/>
      <c r="U250" s="286">
        <f t="shared" ref="U250" si="128">+S250/K250</f>
        <v>6.0060961027554212E-2</v>
      </c>
      <c r="W250">
        <f t="shared" si="20"/>
        <v>240</v>
      </c>
      <c r="Y250" s="56"/>
    </row>
    <row r="251" spans="3:25" x14ac:dyDescent="0.3">
      <c r="C251" s="170">
        <f t="shared" si="15"/>
        <v>44150</v>
      </c>
      <c r="E251" s="284">
        <v>563690</v>
      </c>
      <c r="F251" s="7"/>
      <c r="G251" s="7">
        <v>281493</v>
      </c>
      <c r="H251" s="7"/>
      <c r="I251" s="7">
        <v>93284</v>
      </c>
      <c r="J251" s="287"/>
      <c r="K251" s="7">
        <f t="shared" ref="K251" si="129">SUM(E251:I251)</f>
        <v>938467</v>
      </c>
      <c r="L251" s="6"/>
      <c r="M251" s="481">
        <f t="shared" ref="M251" si="130">+(K251-K250)/K250</f>
        <v>2.0148228347312627E-2</v>
      </c>
      <c r="N251" s="29"/>
      <c r="O251" s="29"/>
      <c r="P251" s="29"/>
      <c r="Q251" s="375">
        <f t="shared" ref="Q251" si="131">+K251-K250</f>
        <v>18535</v>
      </c>
      <c r="R251" s="6"/>
      <c r="S251" s="7">
        <f>34054+16580+4759</f>
        <v>55393</v>
      </c>
      <c r="T251" s="6"/>
      <c r="U251" s="286">
        <f t="shared" ref="U251" si="132">+S251/K251</f>
        <v>5.9024984362795921E-2</v>
      </c>
      <c r="W251">
        <f t="shared" si="20"/>
        <v>241</v>
      </c>
      <c r="Y251" s="56"/>
    </row>
    <row r="252" spans="3:25" x14ac:dyDescent="0.3">
      <c r="C252" s="170">
        <f t="shared" si="15"/>
        <v>44151</v>
      </c>
      <c r="E252" s="284">
        <v>568778</v>
      </c>
      <c r="F252" s="7"/>
      <c r="G252" s="7">
        <v>285519</v>
      </c>
      <c r="H252" s="7"/>
      <c r="I252" s="7">
        <v>94986</v>
      </c>
      <c r="J252" s="287"/>
      <c r="K252" s="7">
        <f t="shared" ref="K252" si="133">SUM(E252:I252)</f>
        <v>949283</v>
      </c>
      <c r="L252" s="6"/>
      <c r="M252" s="481">
        <f t="shared" ref="M252" si="134">+(K252-K251)/K251</f>
        <v>1.1525178828877308E-2</v>
      </c>
      <c r="N252" s="29"/>
      <c r="O252" s="29"/>
      <c r="P252" s="29"/>
      <c r="Q252" s="375">
        <f t="shared" ref="Q252" si="135">+K252-K251</f>
        <v>10816</v>
      </c>
      <c r="R252" s="6"/>
      <c r="S252" s="7">
        <f>34076+16618+4771</f>
        <v>55465</v>
      </c>
      <c r="T252" s="6"/>
      <c r="U252" s="286">
        <f t="shared" ref="U252" si="136">+S252/K252</f>
        <v>5.8428308523380275E-2</v>
      </c>
      <c r="W252">
        <f t="shared" si="20"/>
        <v>242</v>
      </c>
      <c r="Y252" s="56"/>
    </row>
    <row r="253" spans="3:25" x14ac:dyDescent="0.3">
      <c r="C253" s="170">
        <f t="shared" si="15"/>
        <v>44152</v>
      </c>
      <c r="E253" s="284">
        <v>574072</v>
      </c>
      <c r="F253" s="7"/>
      <c r="G253" s="7">
        <v>289562</v>
      </c>
      <c r="H253" s="7"/>
      <c r="I253" s="7">
        <v>97028</v>
      </c>
      <c r="J253" s="287"/>
      <c r="K253" s="7">
        <f t="shared" ref="K253" si="137">SUM(E253:I253)</f>
        <v>960662</v>
      </c>
      <c r="L253" s="6"/>
      <c r="M253" s="481">
        <f t="shared" ref="M253" si="138">+(K253-K252)/K252</f>
        <v>1.1986941723384912E-2</v>
      </c>
      <c r="N253" s="29"/>
      <c r="O253" s="29"/>
      <c r="P253" s="29"/>
      <c r="Q253" s="375">
        <f t="shared" ref="Q253" si="139">+K253-K252</f>
        <v>11379</v>
      </c>
      <c r="R253" s="6"/>
      <c r="S253" s="7">
        <f>34076+16618+4771</f>
        <v>55465</v>
      </c>
      <c r="T253" s="6"/>
      <c r="U253" s="286">
        <f t="shared" ref="U253" si="140">+S253/K253</f>
        <v>5.7736227726297072E-2</v>
      </c>
      <c r="W253">
        <f t="shared" si="20"/>
        <v>243</v>
      </c>
      <c r="Y253" s="56"/>
    </row>
    <row r="254" spans="3:25" x14ac:dyDescent="0.3">
      <c r="C254" s="170">
        <f t="shared" si="15"/>
        <v>44153</v>
      </c>
      <c r="E254" s="284">
        <v>574072</v>
      </c>
      <c r="F254" s="7"/>
      <c r="G254" s="7">
        <v>289562</v>
      </c>
      <c r="H254" s="7"/>
      <c r="I254" s="7">
        <v>97028</v>
      </c>
      <c r="J254" s="287"/>
      <c r="K254" s="7">
        <f t="shared" ref="K254" si="141">SUM(E254:I254)</f>
        <v>960662</v>
      </c>
      <c r="L254" s="6"/>
      <c r="M254" s="481">
        <f t="shared" ref="M254" si="142">+(K254-K253)/K253</f>
        <v>0</v>
      </c>
      <c r="N254" s="29"/>
      <c r="O254" s="29"/>
      <c r="P254" s="29"/>
      <c r="Q254" s="375">
        <f t="shared" ref="Q254" si="143">+K254-K253</f>
        <v>0</v>
      </c>
      <c r="R254" s="6"/>
      <c r="S254" s="7">
        <f>34076+16618+4771</f>
        <v>55465</v>
      </c>
      <c r="T254" s="6"/>
      <c r="U254" s="286">
        <f t="shared" ref="U254" si="144">+S254/K254</f>
        <v>5.7736227726297072E-2</v>
      </c>
      <c r="W254">
        <f t="shared" si="20"/>
        <v>244</v>
      </c>
      <c r="Y254" s="56"/>
    </row>
    <row r="255" spans="3:25" x14ac:dyDescent="0.3">
      <c r="C255" s="170">
        <f t="shared" si="15"/>
        <v>44154</v>
      </c>
      <c r="E255" s="284">
        <v>579382</v>
      </c>
      <c r="F255" s="7"/>
      <c r="G255" s="7">
        <v>293744</v>
      </c>
      <c r="H255" s="7"/>
      <c r="I255" s="7">
        <v>99381</v>
      </c>
      <c r="J255" s="287"/>
      <c r="K255" s="7">
        <f t="shared" ref="K255" si="145">SUM(E255:I255)</f>
        <v>972507</v>
      </c>
      <c r="L255" s="6"/>
      <c r="M255" s="481">
        <f t="shared" ref="M255" si="146">+(K255-K254)/K254</f>
        <v>1.2330039077219667E-2</v>
      </c>
      <c r="N255" s="29"/>
      <c r="O255" s="29"/>
      <c r="P255" s="29"/>
      <c r="Q255" s="375">
        <f t="shared" ref="Q255" si="147">+K255-K254</f>
        <v>11845</v>
      </c>
      <c r="R255" s="6"/>
      <c r="S255" s="7">
        <f>34076+16618+4771</f>
        <v>55465</v>
      </c>
      <c r="T255" s="6"/>
      <c r="U255" s="286">
        <f t="shared" ref="U255" si="148">+S255/K255</f>
        <v>5.7033008502766561E-2</v>
      </c>
      <c r="W255">
        <f t="shared" si="20"/>
        <v>245</v>
      </c>
      <c r="Y255" s="56"/>
    </row>
    <row r="256" spans="3:25" x14ac:dyDescent="0.3">
      <c r="C256" s="170">
        <f t="shared" si="15"/>
        <v>44155</v>
      </c>
      <c r="E256" s="284">
        <v>584850</v>
      </c>
      <c r="F256" s="7"/>
      <c r="G256" s="7">
        <v>297370</v>
      </c>
      <c r="H256" s="7"/>
      <c r="I256" s="7">
        <v>101469</v>
      </c>
      <c r="J256" s="287"/>
      <c r="K256" s="7">
        <f t="shared" ref="K256" si="149">SUM(E256:I256)</f>
        <v>983689</v>
      </c>
      <c r="L256" s="6"/>
      <c r="M256" s="481">
        <f t="shared" ref="M256" si="150">+(K256-K255)/K255</f>
        <v>1.1498117751337522E-2</v>
      </c>
      <c r="N256" s="29"/>
      <c r="O256" s="29"/>
      <c r="P256" s="29"/>
      <c r="Q256" s="375">
        <f t="shared" ref="Q256" si="151">+K256-K255</f>
        <v>11182</v>
      </c>
      <c r="R256" s="6"/>
      <c r="S256" s="7">
        <f>34252+16712+4828</f>
        <v>55792</v>
      </c>
      <c r="T256" s="6"/>
      <c r="U256" s="286">
        <f t="shared" ref="U256" si="152">+S256/K256</f>
        <v>5.671711282732652E-2</v>
      </c>
      <c r="W256">
        <f t="shared" si="20"/>
        <v>246</v>
      </c>
      <c r="Y256" s="56"/>
    </row>
    <row r="257" spans="3:25" x14ac:dyDescent="0.3">
      <c r="C257" s="170">
        <f t="shared" si="15"/>
        <v>44156</v>
      </c>
      <c r="E257" s="284">
        <v>590823</v>
      </c>
      <c r="F257" s="7"/>
      <c r="G257" s="7">
        <v>302039</v>
      </c>
      <c r="H257" s="7"/>
      <c r="I257" s="7">
        <v>101469</v>
      </c>
      <c r="J257" s="287"/>
      <c r="K257" s="7">
        <f t="shared" ref="K257" si="153">SUM(E257:I257)</f>
        <v>994331</v>
      </c>
      <c r="L257" s="6"/>
      <c r="M257" s="481">
        <f t="shared" ref="M257" si="154">+(K257-K256)/K256</f>
        <v>1.081845989941943E-2</v>
      </c>
      <c r="N257" s="29"/>
      <c r="O257" s="29"/>
      <c r="P257" s="29"/>
      <c r="Q257" s="375">
        <f t="shared" ref="Q257" si="155">+K257-K256</f>
        <v>10642</v>
      </c>
      <c r="R257" s="6"/>
      <c r="S257" s="7">
        <f>34287+16746+4828</f>
        <v>55861</v>
      </c>
      <c r="T257" s="6"/>
      <c r="U257" s="286">
        <f t="shared" ref="U257" si="156">+S257/K257</f>
        <v>5.6179481480513029E-2</v>
      </c>
      <c r="W257">
        <f t="shared" si="20"/>
        <v>247</v>
      </c>
      <c r="Y257" s="56"/>
    </row>
    <row r="258" spans="3:25" x14ac:dyDescent="0.3">
      <c r="C258" s="170">
        <f t="shared" si="15"/>
        <v>44157</v>
      </c>
      <c r="E258" s="284">
        <v>596214</v>
      </c>
      <c r="F258" s="7"/>
      <c r="G258" s="7">
        <v>313358</v>
      </c>
      <c r="H258" s="7"/>
      <c r="I258" s="7">
        <v>101469</v>
      </c>
      <c r="J258" s="287"/>
      <c r="K258" s="7">
        <f t="shared" ref="K258" si="157">SUM(E258:I258)</f>
        <v>1011041</v>
      </c>
      <c r="L258" s="6"/>
      <c r="M258" s="481">
        <f t="shared" ref="M258" si="158">+(K258-K257)/K257</f>
        <v>1.6805269070359868E-2</v>
      </c>
      <c r="N258" s="29"/>
      <c r="O258" s="29"/>
      <c r="P258" s="29"/>
      <c r="Q258" s="375">
        <f t="shared" ref="Q258" si="159">+K258-K257</f>
        <v>16710</v>
      </c>
      <c r="R258" s="6"/>
      <c r="S258" s="7">
        <f>34319+16761+4828</f>
        <v>55908</v>
      </c>
      <c r="T258" s="6"/>
      <c r="U258" s="286">
        <f t="shared" ref="U258" si="160">+S258/K258</f>
        <v>5.5297460736013673E-2</v>
      </c>
      <c r="W258">
        <f t="shared" si="20"/>
        <v>248</v>
      </c>
      <c r="Y258" s="56"/>
    </row>
    <row r="259" spans="3:25" x14ac:dyDescent="0.3">
      <c r="C259" s="170">
        <f t="shared" si="15"/>
        <v>44158</v>
      </c>
      <c r="E259" s="284">
        <v>602120</v>
      </c>
      <c r="F259" s="7"/>
      <c r="G259" s="7">
        <v>309588</v>
      </c>
      <c r="H259" s="7"/>
      <c r="I259" s="7">
        <v>106740</v>
      </c>
      <c r="J259" s="287"/>
      <c r="K259" s="7">
        <f t="shared" ref="K259" si="161">SUM(E259:I259)</f>
        <v>1018448</v>
      </c>
      <c r="L259" s="6"/>
      <c r="M259" s="481">
        <f t="shared" ref="M259" si="162">+(K259-K258)/K258</f>
        <v>7.3261123930681345E-3</v>
      </c>
      <c r="N259" s="29"/>
      <c r="O259" s="29"/>
      <c r="P259" s="29"/>
      <c r="Q259" s="375">
        <f t="shared" ref="Q259" si="163">+K259-K258</f>
        <v>7407</v>
      </c>
      <c r="R259" s="6"/>
      <c r="S259" s="7">
        <f>34339+16772+4871</f>
        <v>55982</v>
      </c>
      <c r="T259" s="6"/>
      <c r="U259" s="286">
        <f t="shared" ref="U259" si="164">+S259/K259</f>
        <v>5.496795123560555E-2</v>
      </c>
      <c r="W259">
        <f t="shared" si="20"/>
        <v>249</v>
      </c>
      <c r="Y259" s="56"/>
    </row>
    <row r="260" spans="3:25" x14ac:dyDescent="0.3">
      <c r="C260" s="170">
        <f t="shared" si="15"/>
        <v>44159</v>
      </c>
      <c r="E260" s="284">
        <v>607001</v>
      </c>
      <c r="F260" s="7"/>
      <c r="G260" s="7">
        <v>313863</v>
      </c>
      <c r="H260" s="7"/>
      <c r="I260" s="7">
        <v>107280</v>
      </c>
      <c r="J260" s="287"/>
      <c r="K260" s="7">
        <f t="shared" ref="K260" si="165">SUM(E260:I260)</f>
        <v>1028144</v>
      </c>
      <c r="L260" s="6"/>
      <c r="M260" s="481">
        <f t="shared" ref="M260" si="166">+(K260-K259)/K259</f>
        <v>9.5203682465869639E-3</v>
      </c>
      <c r="N260" s="29"/>
      <c r="O260" s="29"/>
      <c r="P260" s="29"/>
      <c r="Q260" s="375">
        <f t="shared" ref="Q260" si="167">+K260-K259</f>
        <v>9696</v>
      </c>
      <c r="R260" s="6"/>
      <c r="S260" s="7">
        <f>34339+16772+4871</f>
        <v>55982</v>
      </c>
      <c r="T260" s="6"/>
      <c r="U260" s="286">
        <f t="shared" ref="U260" si="168">+S260/K260</f>
        <v>5.4449571266281763E-2</v>
      </c>
      <c r="W260">
        <f t="shared" si="20"/>
        <v>250</v>
      </c>
      <c r="Y260" s="56"/>
    </row>
    <row r="261" spans="3:25" x14ac:dyDescent="0.3">
      <c r="C261" s="170">
        <f t="shared" si="15"/>
        <v>44160</v>
      </c>
      <c r="E261" s="284">
        <v>613266</v>
      </c>
      <c r="F261" s="7"/>
      <c r="G261" s="7">
        <v>317905</v>
      </c>
      <c r="H261" s="7"/>
      <c r="I261" s="7">
        <v>109152</v>
      </c>
      <c r="J261" s="287"/>
      <c r="K261" s="7">
        <f t="shared" ref="K261" si="169">SUM(E261:I261)</f>
        <v>1040323</v>
      </c>
      <c r="L261" s="6"/>
      <c r="M261" s="481">
        <f t="shared" ref="M261" si="170">+(K261-K260)/K260</f>
        <v>1.1845616956379651E-2</v>
      </c>
      <c r="N261" s="29"/>
      <c r="O261" s="29"/>
      <c r="P261" s="29"/>
      <c r="Q261" s="375">
        <f t="shared" ref="Q261" si="171">+K261-K260</f>
        <v>12179</v>
      </c>
      <c r="R261" s="6"/>
      <c r="S261" s="7">
        <f>34388+16886+4926</f>
        <v>56200</v>
      </c>
      <c r="T261" s="6"/>
      <c r="U261" s="286">
        <f t="shared" ref="U261" si="172">+S261/K261</f>
        <v>5.4021683650174034E-2</v>
      </c>
      <c r="W261">
        <f t="shared" si="20"/>
        <v>251</v>
      </c>
      <c r="Y261" s="56"/>
    </row>
    <row r="262" spans="3:25" x14ac:dyDescent="0.3">
      <c r="C262" s="170">
        <f t="shared" si="15"/>
        <v>44161</v>
      </c>
      <c r="E262" s="284">
        <v>620199</v>
      </c>
      <c r="F262" s="7"/>
      <c r="G262" s="7">
        <v>322378</v>
      </c>
      <c r="H262" s="7"/>
      <c r="I262" s="7">
        <v>109152</v>
      </c>
      <c r="J262" s="287"/>
      <c r="K262" s="7">
        <f t="shared" ref="K262" si="173">SUM(E262:I262)</f>
        <v>1051729</v>
      </c>
      <c r="L262" s="6"/>
      <c r="M262" s="481">
        <f t="shared" ref="M262" si="174">+(K262-K261)/K261</f>
        <v>1.0963902557186565E-2</v>
      </c>
      <c r="N262" s="29"/>
      <c r="O262" s="29"/>
      <c r="P262" s="29"/>
      <c r="Q262" s="375">
        <f t="shared" ref="Q262" si="175">+K262-K261</f>
        <v>11406</v>
      </c>
      <c r="R262" s="6"/>
      <c r="S262" s="7">
        <f>34443+16925+4926</f>
        <v>56294</v>
      </c>
      <c r="T262" s="6"/>
      <c r="U262" s="286">
        <f t="shared" ref="U262" si="176">+S262/K262</f>
        <v>5.3525195178605899E-2</v>
      </c>
      <c r="W262">
        <f t="shared" si="20"/>
        <v>252</v>
      </c>
      <c r="Y262" s="56"/>
    </row>
    <row r="263" spans="3:25" x14ac:dyDescent="0.3">
      <c r="C263" s="170">
        <f t="shared" si="15"/>
        <v>44162</v>
      </c>
      <c r="E263" s="284">
        <v>628375</v>
      </c>
      <c r="F263" s="7"/>
      <c r="G263" s="7">
        <v>326473</v>
      </c>
      <c r="H263" s="7"/>
      <c r="I263" s="7">
        <v>112581</v>
      </c>
      <c r="J263" s="287"/>
      <c r="K263" s="7">
        <f t="shared" ref="K263" si="177">SUM(E263:I263)</f>
        <v>1067429</v>
      </c>
      <c r="L263" s="6"/>
      <c r="M263" s="481">
        <f t="shared" ref="M263" si="178">+(K263-K262)/K262</f>
        <v>1.4927799841974501E-2</v>
      </c>
      <c r="N263" s="29"/>
      <c r="O263" s="29"/>
      <c r="P263" s="29"/>
      <c r="Q263" s="375">
        <f t="shared" ref="Q263" si="179">+K263-K262</f>
        <v>15700</v>
      </c>
      <c r="R263" s="6"/>
      <c r="S263" s="7">
        <f>34443+16925+4926</f>
        <v>56294</v>
      </c>
      <c r="T263" s="6"/>
      <c r="U263" s="286">
        <f t="shared" ref="U263" si="180">+S263/K263</f>
        <v>5.2737933857895936E-2</v>
      </c>
      <c r="W263">
        <f t="shared" si="20"/>
        <v>253</v>
      </c>
      <c r="Y263" s="56"/>
    </row>
    <row r="264" spans="3:25" x14ac:dyDescent="0.3">
      <c r="C264" s="170">
        <f t="shared" si="15"/>
        <v>44163</v>
      </c>
      <c r="E264" s="284">
        <v>634438</v>
      </c>
      <c r="F264" s="7"/>
      <c r="G264" s="7">
        <v>329553</v>
      </c>
      <c r="H264" s="7"/>
      <c r="I264" s="7">
        <v>112581</v>
      </c>
      <c r="J264" s="287"/>
      <c r="K264" s="7">
        <f t="shared" ref="K264" si="181">SUM(E264:I264)</f>
        <v>1076572</v>
      </c>
      <c r="L264" s="6"/>
      <c r="M264" s="481">
        <f t="shared" ref="M264" si="182">+(K264-K263)/K263</f>
        <v>8.5654408864664529E-3</v>
      </c>
      <c r="N264" s="29"/>
      <c r="O264" s="29"/>
      <c r="P264" s="29"/>
      <c r="Q264" s="375">
        <f t="shared" ref="Q264" si="183">+K264-K263</f>
        <v>9143</v>
      </c>
      <c r="R264" s="6"/>
      <c r="S264" s="7">
        <f>34443+16925+4926</f>
        <v>56294</v>
      </c>
      <c r="T264" s="6"/>
      <c r="U264" s="286">
        <f t="shared" ref="U264" si="184">+S264/K264</f>
        <v>5.2290046555176987E-2</v>
      </c>
      <c r="W264">
        <f t="shared" si="20"/>
        <v>254</v>
      </c>
      <c r="Y264" s="56"/>
    </row>
    <row r="265" spans="3:25" x14ac:dyDescent="0.3">
      <c r="C265" s="170">
        <f t="shared" si="15"/>
        <v>44164</v>
      </c>
      <c r="E265" s="284">
        <v>641161</v>
      </c>
      <c r="F265" s="7"/>
      <c r="G265" s="7">
        <v>334114</v>
      </c>
      <c r="H265" s="7"/>
      <c r="I265" s="7">
        <v>112581</v>
      </c>
      <c r="J265" s="287"/>
      <c r="K265" s="7">
        <f t="shared" ref="K265" si="185">SUM(E265:I265)</f>
        <v>1087856</v>
      </c>
      <c r="L265" s="6"/>
      <c r="M265" s="481">
        <f t="shared" ref="M265" si="186">+(K265-K264)/K264</f>
        <v>1.0481416941923068E-2</v>
      </c>
      <c r="N265" s="29"/>
      <c r="O265" s="29"/>
      <c r="P265" s="29"/>
      <c r="Q265" s="375">
        <f t="shared" ref="Q265" si="187">+K265-K264</f>
        <v>11284</v>
      </c>
      <c r="R265" s="6"/>
      <c r="S265" s="7">
        <f>34561+16978+4961</f>
        <v>56500</v>
      </c>
      <c r="T265" s="6"/>
      <c r="U265" s="286">
        <f t="shared" ref="U265" si="188">+S265/K265</f>
        <v>5.1937021076318923E-2</v>
      </c>
      <c r="W265">
        <f t="shared" si="20"/>
        <v>255</v>
      </c>
      <c r="Y265" s="56"/>
    </row>
    <row r="266" spans="3:25" x14ac:dyDescent="0.3">
      <c r="C266" s="170">
        <f t="shared" si="15"/>
        <v>44165</v>
      </c>
      <c r="E266" s="284"/>
      <c r="F266" s="7"/>
      <c r="G266" s="7"/>
      <c r="H266" s="7"/>
      <c r="I266" s="7"/>
      <c r="J266" s="287"/>
      <c r="K266" s="7"/>
      <c r="L266" s="6"/>
      <c r="M266" s="481"/>
      <c r="N266" s="29"/>
      <c r="O266" s="29"/>
      <c r="P266" s="29"/>
      <c r="Q266" s="375"/>
      <c r="R266" s="6"/>
      <c r="S266" s="7"/>
      <c r="T266" s="6"/>
      <c r="U266" s="286"/>
      <c r="Y266" s="56"/>
    </row>
    <row r="267" spans="3:25" x14ac:dyDescent="0.3">
      <c r="C267" s="170">
        <f t="shared" si="15"/>
        <v>44166</v>
      </c>
      <c r="E267" s="284"/>
      <c r="F267" s="7"/>
      <c r="G267" s="7"/>
      <c r="H267" s="7"/>
      <c r="I267" s="7"/>
      <c r="J267" s="287"/>
      <c r="K267" s="7"/>
      <c r="L267" s="6"/>
      <c r="M267" s="481"/>
      <c r="N267" s="29"/>
      <c r="O267" s="29"/>
      <c r="P267" s="29"/>
      <c r="Q267" s="375"/>
      <c r="R267" s="6"/>
      <c r="S267" s="7"/>
      <c r="T267" s="6"/>
      <c r="U267" s="286"/>
      <c r="Y267" s="56"/>
    </row>
    <row r="268" spans="3:25" x14ac:dyDescent="0.3">
      <c r="C268" s="170">
        <f t="shared" si="15"/>
        <v>44167</v>
      </c>
      <c r="E268" s="284"/>
      <c r="F268" s="7"/>
      <c r="G268" s="7"/>
      <c r="H268" s="7"/>
      <c r="I268" s="7"/>
      <c r="J268" s="287"/>
      <c r="K268" s="7"/>
      <c r="L268" s="6"/>
      <c r="M268" s="481"/>
      <c r="N268" s="29"/>
      <c r="O268" s="29"/>
      <c r="P268" s="29"/>
      <c r="Q268" s="375"/>
      <c r="R268" s="6"/>
      <c r="S268" s="7"/>
      <c r="T268" s="6"/>
      <c r="U268" s="286"/>
      <c r="Y268" s="56"/>
    </row>
    <row r="269" spans="3:25" x14ac:dyDescent="0.3">
      <c r="C269" s="170">
        <f t="shared" si="15"/>
        <v>44168</v>
      </c>
      <c r="E269" s="284"/>
      <c r="F269" s="7"/>
      <c r="G269" s="7"/>
      <c r="H269" s="7"/>
      <c r="I269" s="7"/>
      <c r="J269" s="287"/>
      <c r="K269" s="7"/>
      <c r="L269" s="6"/>
      <c r="M269" s="481"/>
      <c r="N269" s="29"/>
      <c r="O269" s="29"/>
      <c r="P269" s="29"/>
      <c r="Q269" s="375"/>
      <c r="R269" s="6"/>
      <c r="S269" s="7"/>
      <c r="T269" s="6"/>
      <c r="U269" s="286"/>
      <c r="Y269" s="56"/>
    </row>
    <row r="270" spans="3:25" x14ac:dyDescent="0.3">
      <c r="C270" s="170">
        <f t="shared" si="15"/>
        <v>44169</v>
      </c>
      <c r="E270" s="284"/>
      <c r="F270" s="7"/>
      <c r="G270" s="7"/>
      <c r="H270" s="7"/>
      <c r="I270" s="7"/>
      <c r="J270" s="287"/>
      <c r="K270" s="7"/>
      <c r="L270" s="6"/>
      <c r="M270" s="481"/>
      <c r="N270" s="29"/>
      <c r="O270" s="29"/>
      <c r="P270" s="29"/>
      <c r="Q270" s="375"/>
      <c r="R270" s="6"/>
      <c r="S270" s="7"/>
      <c r="T270" s="6"/>
      <c r="U270" s="286"/>
      <c r="W270">
        <f>+W259+1</f>
        <v>250</v>
      </c>
      <c r="Y270" s="56"/>
    </row>
    <row r="271" spans="3:25" x14ac:dyDescent="0.3">
      <c r="C271" s="170">
        <f t="shared" si="15"/>
        <v>44170</v>
      </c>
      <c r="E271" s="284"/>
      <c r="F271" s="7"/>
      <c r="G271" s="7"/>
      <c r="H271" s="7"/>
      <c r="I271" s="7"/>
      <c r="J271" s="287"/>
      <c r="K271" s="7"/>
      <c r="L271" s="6"/>
      <c r="M271" s="474"/>
      <c r="N271" s="29"/>
      <c r="O271" s="29"/>
      <c r="P271" s="29"/>
      <c r="Q271" s="375"/>
      <c r="R271" s="6"/>
      <c r="S271" s="7"/>
      <c r="T271" s="6"/>
      <c r="U271" s="286"/>
      <c r="W271">
        <f t="shared" si="20"/>
        <v>251</v>
      </c>
      <c r="Y271" s="56"/>
    </row>
    <row r="272" spans="3:25" ht="15" thickBot="1" x14ac:dyDescent="0.35">
      <c r="C272" s="170">
        <f t="shared" si="15"/>
        <v>44171</v>
      </c>
      <c r="E272" s="288"/>
      <c r="F272" s="289"/>
      <c r="G272" s="289"/>
      <c r="H272" s="289"/>
      <c r="I272" s="289"/>
      <c r="J272" s="289"/>
      <c r="K272" s="289"/>
      <c r="L272" s="290"/>
      <c r="M272" s="291"/>
      <c r="N272" s="291"/>
      <c r="O272" s="291"/>
      <c r="P272" s="291"/>
      <c r="Q272" s="374"/>
      <c r="R272" s="290"/>
      <c r="S272" s="290"/>
      <c r="T272" s="290"/>
      <c r="U272" s="292"/>
      <c r="W272">
        <f t="shared" si="20"/>
        <v>252</v>
      </c>
      <c r="Y272" s="59"/>
    </row>
    <row r="273" spans="3:41" x14ac:dyDescent="0.3">
      <c r="E273" s="56"/>
      <c r="F273" s="1"/>
      <c r="G273" s="56"/>
      <c r="H273" s="56"/>
      <c r="I273" s="56"/>
      <c r="J273" s="1"/>
      <c r="K273" s="56"/>
      <c r="S273" s="56"/>
    </row>
    <row r="274" spans="3:41" x14ac:dyDescent="0.3">
      <c r="C274" s="179" t="s">
        <v>81</v>
      </c>
      <c r="E274" s="56">
        <f>+E265</f>
        <v>641161</v>
      </c>
      <c r="F274" s="56"/>
      <c r="G274" s="56">
        <f t="shared" ref="G274:U274" si="189">+G265</f>
        <v>334114</v>
      </c>
      <c r="H274" s="56">
        <f t="shared" si="189"/>
        <v>0</v>
      </c>
      <c r="I274" s="56">
        <f t="shared" si="189"/>
        <v>112581</v>
      </c>
      <c r="J274" s="56">
        <f t="shared" si="189"/>
        <v>0</v>
      </c>
      <c r="K274" s="56">
        <f t="shared" si="189"/>
        <v>1087856</v>
      </c>
      <c r="L274" s="56">
        <f t="shared" si="189"/>
        <v>0</v>
      </c>
      <c r="M274" s="56">
        <f t="shared" si="189"/>
        <v>1.0481416941923068E-2</v>
      </c>
      <c r="N274" s="56">
        <f t="shared" si="189"/>
        <v>0</v>
      </c>
      <c r="O274" s="56">
        <f t="shared" si="189"/>
        <v>0</v>
      </c>
      <c r="P274" s="56">
        <f t="shared" si="189"/>
        <v>0</v>
      </c>
      <c r="Q274" s="56">
        <f t="shared" si="189"/>
        <v>11284</v>
      </c>
      <c r="R274" s="56">
        <f t="shared" si="189"/>
        <v>0</v>
      </c>
      <c r="S274" s="56">
        <f t="shared" si="189"/>
        <v>56500</v>
      </c>
      <c r="T274" s="56">
        <f t="shared" si="189"/>
        <v>0</v>
      </c>
      <c r="U274" s="56">
        <f t="shared" si="189"/>
        <v>5.1937021076318923E-2</v>
      </c>
      <c r="V274" s="56">
        <f t="shared" ref="V274" si="190">+V259</f>
        <v>0</v>
      </c>
    </row>
    <row r="275" spans="3:41" x14ac:dyDescent="0.3">
      <c r="E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</row>
    <row r="276" spans="3:41" x14ac:dyDescent="0.3">
      <c r="E276" s="59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</row>
    <row r="277" spans="3:41" x14ac:dyDescent="0.3">
      <c r="C277" s="123"/>
      <c r="D277" s="124"/>
      <c r="E277" s="392"/>
      <c r="F277" s="10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</row>
    <row r="278" spans="3:41" x14ac:dyDescent="0.3">
      <c r="E278" s="56"/>
      <c r="K278" s="56"/>
      <c r="Q278" s="56"/>
    </row>
    <row r="279" spans="3:41" x14ac:dyDescent="0.3">
      <c r="Q279" s="56"/>
      <c r="S279" s="59"/>
    </row>
    <row r="282" spans="3:41" x14ac:dyDescent="0.3">
      <c r="AO282" s="1">
        <v>3797000</v>
      </c>
    </row>
    <row r="283" spans="3:41" x14ac:dyDescent="0.3">
      <c r="C283" s="1"/>
    </row>
    <row r="284" spans="3:41" x14ac:dyDescent="0.3">
      <c r="C284" s="1"/>
      <c r="AO284" s="1">
        <v>30000</v>
      </c>
    </row>
    <row r="285" spans="3:41" x14ac:dyDescent="0.3">
      <c r="C285" s="59"/>
    </row>
    <row r="286" spans="3:41" x14ac:dyDescent="0.3">
      <c r="AO286" s="277">
        <f>+AO284/AO282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J261"/>
  <sheetViews>
    <sheetView topLeftCell="A83" workbookViewId="0">
      <selection activeCell="I21" sqref="I21"/>
    </sheetView>
  </sheetViews>
  <sheetFormatPr defaultRowHeight="14.4" outlineLevelRow="1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3.77734375" customWidth="1"/>
    <col min="9" max="9" width="11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1.44140625" customWidth="1"/>
    <col min="18" max="18" width="16.77734375" customWidth="1"/>
    <col min="19" max="19" width="2" customWidth="1"/>
    <col min="20" max="20" width="2.33203125" customWidth="1"/>
    <col min="21" max="21" width="9.109375" bestFit="1" customWidth="1"/>
    <col min="22" max="22" width="2.21875" customWidth="1"/>
    <col min="23" max="23" width="14.6640625" bestFit="1" customWidth="1"/>
    <col min="24" max="24" width="1.88671875" customWidth="1"/>
    <col min="25" max="25" width="10.109375" bestFit="1" customWidth="1"/>
    <col min="26" max="26" width="2" customWidth="1"/>
    <col min="27" max="27" width="11.109375" bestFit="1" customWidth="1"/>
    <col min="28" max="28" width="2.33203125" customWidth="1"/>
    <col min="29" max="29" width="1.88671875" customWidth="1"/>
    <col min="30" max="30" width="2.44140625" customWidth="1"/>
    <col min="36" max="36" width="11.44140625" customWidth="1"/>
  </cols>
  <sheetData>
    <row r="1" spans="2:30" ht="15.6" x14ac:dyDescent="0.3">
      <c r="B1" s="258" t="s">
        <v>5</v>
      </c>
      <c r="C1" s="258"/>
      <c r="D1" s="258"/>
    </row>
    <row r="2" spans="2:30" ht="16.2" thickBot="1" x14ac:dyDescent="0.35">
      <c r="B2" s="258" t="s">
        <v>6</v>
      </c>
      <c r="C2" s="258"/>
      <c r="D2" s="258"/>
    </row>
    <row r="3" spans="2:30" ht="16.2" thickBot="1" x14ac:dyDescent="0.35">
      <c r="B3" s="256" t="s">
        <v>13</v>
      </c>
      <c r="C3" s="256"/>
      <c r="D3" s="166"/>
      <c r="T3" s="707" t="s">
        <v>114</v>
      </c>
      <c r="U3" s="708"/>
      <c r="V3" s="708"/>
      <c r="W3" s="708"/>
      <c r="X3" s="708"/>
      <c r="Y3" s="708"/>
      <c r="Z3" s="708"/>
      <c r="AA3" s="708"/>
      <c r="AB3" s="708"/>
      <c r="AC3" s="708"/>
      <c r="AD3" s="709"/>
    </row>
    <row r="4" spans="2:30" ht="15.6" x14ac:dyDescent="0.3">
      <c r="B4" s="256"/>
      <c r="C4" s="256"/>
      <c r="D4" s="166"/>
      <c r="T4" s="497"/>
      <c r="U4" s="498" t="s">
        <v>78</v>
      </c>
      <c r="V4" s="499"/>
      <c r="W4" s="498" t="s">
        <v>106</v>
      </c>
      <c r="X4" s="500"/>
      <c r="Y4" s="498" t="s">
        <v>107</v>
      </c>
      <c r="Z4" s="500"/>
      <c r="AA4" s="498" t="s">
        <v>73</v>
      </c>
      <c r="AB4" s="499"/>
      <c r="AC4" s="501" t="s">
        <v>15</v>
      </c>
      <c r="AD4" s="502"/>
    </row>
    <row r="5" spans="2:30" ht="15.6" x14ac:dyDescent="0.3">
      <c r="B5" s="256"/>
      <c r="C5" t="s">
        <v>92</v>
      </c>
      <c r="D5" s="166"/>
      <c r="E5" t="s">
        <v>93</v>
      </c>
      <c r="T5" s="293"/>
      <c r="U5" s="6"/>
      <c r="V5" s="6"/>
      <c r="W5" s="6"/>
      <c r="X5" s="6"/>
      <c r="Y5" s="6"/>
      <c r="Z5" s="6"/>
      <c r="AA5" s="6"/>
      <c r="AB5" s="6"/>
      <c r="AC5" s="6"/>
      <c r="AD5" s="294"/>
    </row>
    <row r="6" spans="2:30" ht="15.6" x14ac:dyDescent="0.3">
      <c r="B6" s="256"/>
      <c r="C6" s="256"/>
      <c r="D6" s="169"/>
      <c r="E6" t="s">
        <v>94</v>
      </c>
      <c r="F6" t="s">
        <v>111</v>
      </c>
      <c r="T6" s="293"/>
      <c r="U6" s="295">
        <v>43951</v>
      </c>
      <c r="V6" s="6"/>
      <c r="W6" s="7">
        <v>427734</v>
      </c>
      <c r="X6" s="6"/>
      <c r="Y6" s="44">
        <v>0.39100000000000001</v>
      </c>
      <c r="Z6" s="6"/>
      <c r="AA6" s="6"/>
      <c r="AB6" s="6"/>
      <c r="AC6" s="6"/>
      <c r="AD6" s="294"/>
    </row>
    <row r="7" spans="2:30" ht="15.6" x14ac:dyDescent="0.3">
      <c r="B7" s="256"/>
      <c r="C7" s="256"/>
      <c r="D7" s="169"/>
      <c r="E7" t="s">
        <v>95</v>
      </c>
      <c r="F7" t="s">
        <v>97</v>
      </c>
      <c r="T7" s="293"/>
      <c r="U7" s="295">
        <f>+U6+1</f>
        <v>43952</v>
      </c>
      <c r="V7" s="6"/>
      <c r="W7" s="7">
        <v>432831</v>
      </c>
      <c r="X7" s="6"/>
      <c r="Y7" s="44">
        <v>0.38300000000000001</v>
      </c>
      <c r="Z7" s="6"/>
      <c r="AA7" s="297">
        <f t="shared" ref="AA7:AA19" si="0">+W6-W7</f>
        <v>-5097</v>
      </c>
      <c r="AB7" s="6"/>
      <c r="AC7" s="6"/>
      <c r="AD7" s="294"/>
    </row>
    <row r="8" spans="2:30" ht="15.6" x14ac:dyDescent="0.3">
      <c r="B8" s="256"/>
      <c r="C8" s="256"/>
      <c r="D8" s="169"/>
      <c r="E8" t="s">
        <v>96</v>
      </c>
      <c r="F8" t="s">
        <v>112</v>
      </c>
      <c r="T8" s="293"/>
      <c r="U8" s="295">
        <f t="shared" ref="U8:U50" si="1">+U7+1</f>
        <v>43953</v>
      </c>
      <c r="V8" s="6"/>
      <c r="W8" s="7">
        <v>433512</v>
      </c>
      <c r="X8" s="6"/>
      <c r="Y8" s="44">
        <v>0.373</v>
      </c>
      <c r="Z8" s="6"/>
      <c r="AA8" s="297">
        <f t="shared" si="0"/>
        <v>-681</v>
      </c>
      <c r="AB8" s="6"/>
      <c r="AC8" s="6"/>
      <c r="AD8" s="294"/>
    </row>
    <row r="9" spans="2:30" ht="15.6" x14ac:dyDescent="0.3">
      <c r="B9" s="256"/>
      <c r="C9" s="256"/>
      <c r="D9" s="169"/>
      <c r="S9" s="472"/>
      <c r="T9" s="293"/>
      <c r="U9" s="295">
        <f t="shared" si="1"/>
        <v>43954</v>
      </c>
      <c r="V9" s="6"/>
      <c r="W9" s="7">
        <v>434345</v>
      </c>
      <c r="X9" s="6"/>
      <c r="Y9" s="44">
        <v>0.36599999999999999</v>
      </c>
      <c r="Z9" s="6"/>
      <c r="AA9" s="297">
        <f t="shared" si="0"/>
        <v>-833</v>
      </c>
      <c r="AB9" s="6"/>
      <c r="AC9" s="6"/>
      <c r="AD9" s="294"/>
    </row>
    <row r="10" spans="2:30" ht="15.6" x14ac:dyDescent="0.3">
      <c r="B10" s="256"/>
      <c r="C10" s="278" t="s">
        <v>98</v>
      </c>
      <c r="D10" s="169"/>
      <c r="E10" t="s">
        <v>101</v>
      </c>
      <c r="T10" s="293"/>
      <c r="U10" s="295">
        <f t="shared" si="1"/>
        <v>43955</v>
      </c>
      <c r="V10" s="6"/>
      <c r="W10" s="7">
        <v>458962</v>
      </c>
      <c r="X10" s="6"/>
      <c r="Y10" s="44">
        <v>0.378</v>
      </c>
      <c r="Z10" s="6"/>
      <c r="AA10" s="297">
        <f t="shared" si="0"/>
        <v>-24617</v>
      </c>
      <c r="AB10" s="6"/>
      <c r="AC10" s="6"/>
      <c r="AD10" s="294"/>
    </row>
    <row r="11" spans="2:30" ht="15.6" x14ac:dyDescent="0.3">
      <c r="B11" s="256"/>
      <c r="C11" s="256"/>
      <c r="D11" s="169"/>
      <c r="E11" t="s">
        <v>94</v>
      </c>
      <c r="F11" t="s">
        <v>99</v>
      </c>
      <c r="T11" s="293"/>
      <c r="U11" s="295">
        <f t="shared" si="1"/>
        <v>43956</v>
      </c>
      <c r="V11" s="6"/>
      <c r="W11" s="296">
        <v>455743</v>
      </c>
      <c r="X11" s="6"/>
      <c r="Y11" s="44">
        <v>0.36799999999999999</v>
      </c>
      <c r="Z11" s="6"/>
      <c r="AA11" s="297">
        <f t="shared" si="0"/>
        <v>3219</v>
      </c>
      <c r="AB11" s="6"/>
      <c r="AC11" s="301"/>
      <c r="AD11" s="294"/>
    </row>
    <row r="12" spans="2:30" ht="15.6" x14ac:dyDescent="0.3">
      <c r="B12" s="256"/>
      <c r="C12" s="256"/>
      <c r="D12" s="169"/>
      <c r="E12" t="s">
        <v>95</v>
      </c>
      <c r="F12" t="s">
        <v>100</v>
      </c>
      <c r="T12" s="293"/>
      <c r="U12" s="295">
        <f t="shared" si="1"/>
        <v>43957</v>
      </c>
      <c r="V12" s="6"/>
      <c r="W12" s="296">
        <v>454697</v>
      </c>
      <c r="X12" s="6"/>
      <c r="Y12" s="44">
        <f>+L$36</f>
        <v>0.10474446117876728</v>
      </c>
      <c r="Z12" s="6"/>
      <c r="AA12" s="297">
        <f t="shared" si="0"/>
        <v>1046</v>
      </c>
      <c r="AB12" s="6"/>
      <c r="AC12" s="301"/>
      <c r="AD12" s="294"/>
    </row>
    <row r="13" spans="2:30" ht="15.6" x14ac:dyDescent="0.3">
      <c r="B13" s="256"/>
      <c r="C13" s="256"/>
      <c r="D13" s="169"/>
      <c r="T13" s="293"/>
      <c r="U13" s="295">
        <f t="shared" si="1"/>
        <v>43958</v>
      </c>
      <c r="V13" s="6"/>
      <c r="W13" s="296">
        <v>454838</v>
      </c>
      <c r="X13" s="6"/>
      <c r="Y13" s="44">
        <f>+L37</f>
        <v>0</v>
      </c>
      <c r="Z13" s="6"/>
      <c r="AA13" s="297">
        <f t="shared" si="0"/>
        <v>-141</v>
      </c>
      <c r="AB13" s="6"/>
      <c r="AC13" s="301"/>
      <c r="AD13" s="294"/>
    </row>
    <row r="14" spans="2:30" ht="15.6" x14ac:dyDescent="0.3">
      <c r="B14" s="256"/>
      <c r="C14" s="278" t="s">
        <v>102</v>
      </c>
      <c r="D14" s="169"/>
      <c r="E14" t="s">
        <v>103</v>
      </c>
      <c r="T14" s="293"/>
      <c r="U14" s="295">
        <f t="shared" si="1"/>
        <v>43959</v>
      </c>
      <c r="V14" s="6"/>
      <c r="W14" s="296">
        <v>452043</v>
      </c>
      <c r="X14" s="6"/>
      <c r="Y14" s="44">
        <f>+L38</f>
        <v>0</v>
      </c>
      <c r="Z14" s="6"/>
      <c r="AA14" s="297">
        <f t="shared" si="0"/>
        <v>2795</v>
      </c>
      <c r="AB14" s="6"/>
      <c r="AC14" s="301"/>
      <c r="AD14" s="294"/>
    </row>
    <row r="15" spans="2:30" x14ac:dyDescent="0.3">
      <c r="B15" s="256"/>
      <c r="E15" s="710" t="s">
        <v>104</v>
      </c>
      <c r="F15" s="710"/>
      <c r="G15" s="710"/>
      <c r="H15" s="710"/>
      <c r="I15" s="710"/>
      <c r="T15" s="293"/>
      <c r="U15" s="295">
        <f t="shared" si="1"/>
        <v>43960</v>
      </c>
      <c r="V15" s="6"/>
      <c r="W15" s="296">
        <v>439209</v>
      </c>
      <c r="X15" s="6"/>
      <c r="Y15" s="44">
        <f>+L40</f>
        <v>0</v>
      </c>
      <c r="Z15" s="6"/>
      <c r="AA15" s="297">
        <f t="shared" si="0"/>
        <v>12834</v>
      </c>
      <c r="AB15" s="6"/>
      <c r="AC15" s="301"/>
      <c r="AD15" s="294"/>
    </row>
    <row r="16" spans="2:30" x14ac:dyDescent="0.3">
      <c r="S16" s="472"/>
      <c r="T16" s="293"/>
      <c r="U16" s="295">
        <f t="shared" si="1"/>
        <v>43961</v>
      </c>
      <c r="V16" s="6"/>
      <c r="W16" s="296">
        <v>423501</v>
      </c>
      <c r="X16" s="6"/>
      <c r="Y16" s="44">
        <f>+L41</f>
        <v>0</v>
      </c>
      <c r="Z16" s="6"/>
      <c r="AA16" s="297">
        <f t="shared" si="0"/>
        <v>15708</v>
      </c>
      <c r="AB16" s="6"/>
      <c r="AC16" s="301"/>
      <c r="AD16" s="294"/>
    </row>
    <row r="17" spans="3:30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90"/>
      <c r="T17" s="293"/>
      <c r="U17" s="295">
        <f t="shared" si="1"/>
        <v>43962</v>
      </c>
      <c r="V17" s="6"/>
      <c r="W17" s="296">
        <v>415158</v>
      </c>
      <c r="X17" s="6"/>
      <c r="Y17" s="44">
        <f>+L42</f>
        <v>0</v>
      </c>
      <c r="Z17" s="6"/>
      <c r="AA17" s="297">
        <f t="shared" si="0"/>
        <v>8343</v>
      </c>
      <c r="AB17" s="6"/>
      <c r="AC17" s="301"/>
      <c r="AD17" s="294"/>
    </row>
    <row r="18" spans="3:30" ht="15" thickBot="1" x14ac:dyDescent="0.35">
      <c r="C18" s="1"/>
      <c r="D18" s="716" t="s">
        <v>46</v>
      </c>
      <c r="E18" s="717"/>
      <c r="F18" s="717"/>
      <c r="G18" s="717"/>
      <c r="H18" s="717"/>
      <c r="I18" s="717"/>
      <c r="J18" s="717"/>
      <c r="K18" s="717"/>
      <c r="L18" s="717"/>
      <c r="M18" s="717"/>
      <c r="N18" s="717"/>
      <c r="O18" s="718"/>
      <c r="P18" s="90"/>
      <c r="Q18" s="90"/>
      <c r="R18" s="90"/>
      <c r="S18" s="90"/>
      <c r="T18" s="293"/>
      <c r="U18" s="295">
        <f t="shared" si="1"/>
        <v>43963</v>
      </c>
      <c r="V18" s="6"/>
      <c r="W18" s="296">
        <v>413524</v>
      </c>
      <c r="X18" s="6"/>
      <c r="Y18" s="44">
        <f>+L43</f>
        <v>0</v>
      </c>
      <c r="Z18" s="6"/>
      <c r="AA18" s="297">
        <f t="shared" si="0"/>
        <v>1634</v>
      </c>
      <c r="AB18" s="6"/>
      <c r="AC18" s="301"/>
      <c r="AD18" s="294"/>
    </row>
    <row r="19" spans="3:30" ht="15" thickBot="1" x14ac:dyDescent="0.35">
      <c r="C19" s="1"/>
      <c r="D19" s="145"/>
      <c r="E19" s="719" t="s">
        <v>75</v>
      </c>
      <c r="F19" s="719"/>
      <c r="G19" s="719"/>
      <c r="H19" s="719"/>
      <c r="I19" s="146" t="s">
        <v>74</v>
      </c>
      <c r="J19" s="147"/>
      <c r="K19" s="724" t="s">
        <v>72</v>
      </c>
      <c r="L19" s="724"/>
      <c r="M19" s="140"/>
      <c r="N19" s="144" t="s">
        <v>73</v>
      </c>
      <c r="O19" s="141"/>
      <c r="P19" s="114"/>
      <c r="Q19" s="114"/>
      <c r="R19" s="114"/>
      <c r="S19" s="114"/>
      <c r="T19" s="293"/>
      <c r="U19" s="295">
        <f t="shared" si="1"/>
        <v>43964</v>
      </c>
      <c r="V19" s="6"/>
      <c r="W19" s="296">
        <v>410932</v>
      </c>
      <c r="X19" s="6"/>
      <c r="Y19" s="44">
        <f>+L44</f>
        <v>0</v>
      </c>
      <c r="Z19" s="6"/>
      <c r="AA19" s="297">
        <f t="shared" si="0"/>
        <v>2592</v>
      </c>
      <c r="AB19" s="6"/>
      <c r="AC19" s="301"/>
      <c r="AD19" s="294"/>
    </row>
    <row r="20" spans="3:30" x14ac:dyDescent="0.3">
      <c r="C20" s="1"/>
      <c r="D20" s="125"/>
      <c r="E20" s="126" t="s">
        <v>170</v>
      </c>
      <c r="F20" s="127"/>
      <c r="G20" s="126"/>
      <c r="H20" s="126"/>
      <c r="I20" s="93">
        <f>+'Main Table'!H255</f>
        <v>12146317</v>
      </c>
      <c r="J20" s="128"/>
      <c r="K20" s="139"/>
      <c r="L20" s="139"/>
      <c r="M20" s="139"/>
      <c r="N20" s="139"/>
      <c r="O20" s="135"/>
      <c r="P20" s="90"/>
      <c r="Q20" s="90"/>
      <c r="R20" s="90"/>
      <c r="S20" s="90"/>
      <c r="T20" s="293"/>
      <c r="U20" s="295">
        <f t="shared" si="1"/>
        <v>43965</v>
      </c>
      <c r="V20" s="6"/>
      <c r="W20" s="296">
        <v>409640</v>
      </c>
      <c r="X20" s="6"/>
      <c r="Y20" s="44">
        <v>0</v>
      </c>
      <c r="Z20" s="6"/>
      <c r="AA20" s="297">
        <f t="shared" ref="AA20:AA51" si="2">+W19-W20</f>
        <v>1292</v>
      </c>
      <c r="AB20" s="6"/>
      <c r="AC20" s="301"/>
      <c r="AD20" s="294"/>
    </row>
    <row r="21" spans="3:30" x14ac:dyDescent="0.3">
      <c r="C21" s="1"/>
      <c r="D21" s="125"/>
      <c r="E21" s="126" t="s">
        <v>44</v>
      </c>
      <c r="F21" s="126" t="s">
        <v>4</v>
      </c>
      <c r="G21" s="126"/>
      <c r="H21" s="126"/>
      <c r="I21" s="129">
        <f>+'Main Table'!AA274</f>
        <v>271986</v>
      </c>
      <c r="J21" s="128"/>
      <c r="K21" s="139"/>
      <c r="L21" s="139"/>
      <c r="M21" s="139"/>
      <c r="N21" s="139"/>
      <c r="O21" s="135"/>
      <c r="P21" s="90"/>
      <c r="Q21" s="90"/>
      <c r="R21" s="90"/>
      <c r="S21" s="90"/>
      <c r="T21" s="293"/>
      <c r="U21" s="295">
        <f t="shared" si="1"/>
        <v>43966</v>
      </c>
      <c r="V21" s="6"/>
      <c r="W21" s="296">
        <v>405327</v>
      </c>
      <c r="X21" s="6"/>
      <c r="Y21" s="44">
        <v>0.27300000000000002</v>
      </c>
      <c r="Z21" s="6"/>
      <c r="AA21" s="297">
        <f t="shared" si="2"/>
        <v>4313</v>
      </c>
      <c r="AB21" s="6"/>
      <c r="AC21" s="301"/>
      <c r="AD21" s="294"/>
    </row>
    <row r="22" spans="3:30" x14ac:dyDescent="0.3">
      <c r="C22" s="1"/>
      <c r="D22" s="125"/>
      <c r="E22" s="126"/>
      <c r="F22" s="126" t="s">
        <v>45</v>
      </c>
      <c r="G22" s="126"/>
      <c r="H22" s="126"/>
      <c r="I22" s="158">
        <v>24822</v>
      </c>
      <c r="J22" s="128"/>
      <c r="K22" s="139"/>
      <c r="L22" s="281">
        <v>24647</v>
      </c>
      <c r="M22" s="139"/>
      <c r="N22" s="159">
        <f>+(I22-L22)/I22</f>
        <v>7.050197405527355E-3</v>
      </c>
      <c r="O22" s="135"/>
      <c r="P22" s="90"/>
      <c r="Q22" s="90"/>
      <c r="R22" s="90"/>
      <c r="S22" s="90"/>
      <c r="T22" s="293"/>
      <c r="U22" s="295">
        <f t="shared" si="1"/>
        <v>43967</v>
      </c>
      <c r="V22" s="6"/>
      <c r="W22" s="296">
        <v>393991</v>
      </c>
      <c r="X22" s="6"/>
      <c r="Y22" s="44">
        <v>0.26100000000000001</v>
      </c>
      <c r="Z22" s="6"/>
      <c r="AA22" s="297">
        <f t="shared" si="2"/>
        <v>11336</v>
      </c>
      <c r="AB22" s="6"/>
      <c r="AC22" s="301"/>
      <c r="AD22" s="294"/>
    </row>
    <row r="23" spans="3:30" x14ac:dyDescent="0.3">
      <c r="C23" s="1"/>
      <c r="D23" s="125"/>
      <c r="E23" s="126"/>
      <c r="F23" s="136" t="s">
        <v>70</v>
      </c>
      <c r="G23" s="136"/>
      <c r="H23" s="136"/>
      <c r="I23" s="129">
        <f>+I20-I21-I22</f>
        <v>11849509</v>
      </c>
      <c r="J23" s="128"/>
      <c r="K23" s="139"/>
      <c r="L23" s="139"/>
      <c r="M23" s="139"/>
      <c r="N23" s="139"/>
      <c r="O23" s="135"/>
      <c r="P23" s="113"/>
      <c r="Q23" s="113"/>
      <c r="R23" s="113"/>
      <c r="S23" s="473"/>
      <c r="T23" s="293"/>
      <c r="U23" s="295">
        <f t="shared" si="1"/>
        <v>43968</v>
      </c>
      <c r="V23" s="6"/>
      <c r="W23" s="296">
        <v>384245</v>
      </c>
      <c r="X23" s="6"/>
      <c r="Y23" s="44">
        <v>0.251</v>
      </c>
      <c r="Z23" s="6"/>
      <c r="AA23" s="297">
        <f t="shared" si="2"/>
        <v>9746</v>
      </c>
      <c r="AB23" s="6"/>
      <c r="AC23" s="301"/>
      <c r="AD23" s="294"/>
    </row>
    <row r="24" spans="3:30" x14ac:dyDescent="0.3">
      <c r="C24" s="1"/>
      <c r="D24" s="125"/>
      <c r="E24" s="126" t="s">
        <v>77</v>
      </c>
      <c r="F24" s="128"/>
      <c r="G24" s="128"/>
      <c r="H24" s="128"/>
      <c r="I24" s="130">
        <f>+'Main Table'!AP274</f>
        <v>8107203</v>
      </c>
      <c r="J24" s="128"/>
      <c r="K24" s="139"/>
      <c r="L24" s="139"/>
      <c r="M24" s="139"/>
      <c r="N24" s="139"/>
      <c r="O24" s="135"/>
      <c r="P24" s="113"/>
      <c r="Q24" s="113"/>
      <c r="R24" s="113"/>
      <c r="S24" s="113"/>
      <c r="T24" s="293"/>
      <c r="U24" s="295">
        <f t="shared" si="1"/>
        <v>43969</v>
      </c>
      <c r="V24" s="6"/>
      <c r="W24" s="296">
        <v>379527</v>
      </c>
      <c r="X24" s="6"/>
      <c r="Y24" s="44">
        <v>0.245</v>
      </c>
      <c r="Z24" s="6"/>
      <c r="AA24" s="297">
        <f t="shared" si="2"/>
        <v>4718</v>
      </c>
      <c r="AB24" s="6"/>
      <c r="AC24" s="301"/>
      <c r="AD24" s="294"/>
    </row>
    <row r="25" spans="3:30" x14ac:dyDescent="0.3">
      <c r="C25" s="1"/>
      <c r="D25" s="720" t="s">
        <v>49</v>
      </c>
      <c r="E25" s="721"/>
      <c r="F25" s="721"/>
      <c r="G25" s="721"/>
      <c r="H25" s="721"/>
      <c r="I25" s="131">
        <f>+I23-I24</f>
        <v>3742306</v>
      </c>
      <c r="J25" s="128"/>
      <c r="K25" s="139"/>
      <c r="L25" s="139"/>
      <c r="M25" s="139"/>
      <c r="N25" s="139"/>
      <c r="O25" s="135"/>
      <c r="P25" s="113"/>
      <c r="Q25" s="113"/>
      <c r="R25" s="113"/>
      <c r="S25" s="113"/>
      <c r="T25" s="293"/>
      <c r="U25" s="295">
        <f t="shared" si="1"/>
        <v>43970</v>
      </c>
      <c r="V25" s="6"/>
      <c r="W25" s="296">
        <v>375997</v>
      </c>
      <c r="X25" s="6"/>
      <c r="Y25" s="44">
        <v>0.23899999999999999</v>
      </c>
      <c r="Z25" s="6"/>
      <c r="AA25" s="297">
        <f t="shared" si="2"/>
        <v>3530</v>
      </c>
      <c r="AB25" s="6"/>
      <c r="AC25" s="301"/>
      <c r="AD25" s="294"/>
    </row>
    <row r="26" spans="3:30" x14ac:dyDescent="0.3">
      <c r="C26" s="1"/>
      <c r="D26" s="125"/>
      <c r="E26" s="126" t="s">
        <v>71</v>
      </c>
      <c r="F26" s="128"/>
      <c r="G26" s="128"/>
      <c r="H26" s="128"/>
      <c r="I26" s="130">
        <f>+I24</f>
        <v>8107203</v>
      </c>
      <c r="J26" s="128"/>
      <c r="K26" s="139"/>
      <c r="L26" s="139"/>
      <c r="M26" s="139"/>
      <c r="N26" s="139"/>
      <c r="O26" s="135"/>
      <c r="P26" s="90"/>
      <c r="Q26" s="90"/>
      <c r="R26" s="90"/>
      <c r="S26" s="90"/>
      <c r="T26" s="293"/>
      <c r="U26" s="295">
        <f t="shared" si="1"/>
        <v>43971</v>
      </c>
      <c r="V26" s="6"/>
      <c r="W26" s="296">
        <v>373168</v>
      </c>
      <c r="X26" s="6"/>
      <c r="Y26" s="44">
        <v>0.23400000000000001</v>
      </c>
      <c r="Z26" s="6"/>
      <c r="AA26" s="297">
        <f t="shared" si="2"/>
        <v>2829</v>
      </c>
      <c r="AB26" s="6"/>
      <c r="AC26" s="301"/>
      <c r="AD26" s="294"/>
    </row>
    <row r="27" spans="3:30" ht="15" thickBot="1" x14ac:dyDescent="0.35">
      <c r="C27" s="1"/>
      <c r="D27" s="720" t="s">
        <v>46</v>
      </c>
      <c r="E27" s="721"/>
      <c r="F27" s="721"/>
      <c r="G27" s="721"/>
      <c r="H27" s="721"/>
      <c r="I27" s="148">
        <f>+I25+I26</f>
        <v>11849509</v>
      </c>
      <c r="J27" s="128"/>
      <c r="K27" s="725">
        <v>11646324</v>
      </c>
      <c r="L27" s="725"/>
      <c r="M27" s="139"/>
      <c r="N27" s="149">
        <f>+I27-K27</f>
        <v>203185</v>
      </c>
      <c r="O27" s="135"/>
      <c r="P27" s="90"/>
      <c r="Q27" s="90"/>
      <c r="R27" s="90"/>
      <c r="S27" s="90"/>
      <c r="T27" s="293"/>
      <c r="U27" s="295">
        <f t="shared" si="1"/>
        <v>43972</v>
      </c>
      <c r="V27" s="6"/>
      <c r="W27" s="296">
        <v>346181</v>
      </c>
      <c r="X27" s="6"/>
      <c r="Y27" s="44">
        <v>0.214</v>
      </c>
      <c r="Z27" s="6"/>
      <c r="AA27" s="297">
        <f t="shared" si="2"/>
        <v>26987</v>
      </c>
      <c r="AB27" s="6"/>
      <c r="AC27" s="301"/>
      <c r="AD27" s="294"/>
    </row>
    <row r="28" spans="3:30" ht="15.6" thickTop="1" thickBot="1" x14ac:dyDescent="0.35">
      <c r="C28" s="10"/>
      <c r="D28" s="134"/>
      <c r="E28" s="722" t="s">
        <v>69</v>
      </c>
      <c r="F28" s="722"/>
      <c r="G28" s="722"/>
      <c r="H28" s="136"/>
      <c r="I28" s="274">
        <f>+I27/I32</f>
        <v>0.87516750735466597</v>
      </c>
      <c r="J28" s="139"/>
      <c r="K28" s="139"/>
      <c r="L28" s="139"/>
      <c r="M28" s="110"/>
      <c r="N28" s="506">
        <f>+N27/K27</f>
        <v>1.744627746918255E-2</v>
      </c>
      <c r="O28" s="135"/>
      <c r="P28" s="1"/>
      <c r="Q28" s="1"/>
      <c r="R28" s="1"/>
      <c r="S28" s="1"/>
      <c r="T28" s="293"/>
      <c r="U28" s="295">
        <f t="shared" si="1"/>
        <v>43973</v>
      </c>
      <c r="V28" s="6"/>
      <c r="W28" s="296">
        <v>341216</v>
      </c>
      <c r="X28" s="6"/>
      <c r="Y28" s="44">
        <v>0.20699999999999999</v>
      </c>
      <c r="Z28" s="6"/>
      <c r="AA28" s="297">
        <f t="shared" si="2"/>
        <v>4965</v>
      </c>
      <c r="AB28" s="6"/>
      <c r="AC28" s="301"/>
      <c r="AD28" s="294"/>
    </row>
    <row r="29" spans="3:30" ht="15.6" thickTop="1" thickBot="1" x14ac:dyDescent="0.35">
      <c r="C29" s="10"/>
      <c r="D29" s="132"/>
      <c r="E29" s="137"/>
      <c r="F29" s="137"/>
      <c r="G29" s="137"/>
      <c r="H29" s="137"/>
      <c r="I29" s="138"/>
      <c r="J29" s="133"/>
      <c r="K29" s="142"/>
      <c r="L29" s="142"/>
      <c r="M29" s="142"/>
      <c r="N29" s="142"/>
      <c r="O29" s="143"/>
      <c r="P29" s="1"/>
      <c r="Q29" s="1"/>
      <c r="R29" s="1"/>
      <c r="S29" s="1"/>
      <c r="T29" s="293"/>
      <c r="U29" s="295">
        <f t="shared" si="1"/>
        <v>43974</v>
      </c>
      <c r="V29" s="6"/>
      <c r="W29" s="296">
        <v>336852</v>
      </c>
      <c r="X29" s="6"/>
      <c r="Y29" s="44">
        <v>0.20200000000000001</v>
      </c>
      <c r="Z29" s="6"/>
      <c r="AA29" s="297">
        <f t="shared" si="2"/>
        <v>4364</v>
      </c>
      <c r="AB29" s="6"/>
      <c r="AC29" s="301"/>
      <c r="AD29" s="294"/>
    </row>
    <row r="30" spans="3:30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90"/>
      <c r="S30" s="469"/>
      <c r="T30" s="293"/>
      <c r="U30" s="295">
        <f t="shared" si="1"/>
        <v>43975</v>
      </c>
      <c r="V30" s="6"/>
      <c r="W30" s="296">
        <v>336142</v>
      </c>
      <c r="X30" s="6"/>
      <c r="Y30" s="44">
        <v>0.19900000000000001</v>
      </c>
      <c r="Z30" s="6"/>
      <c r="AA30" s="297">
        <f t="shared" si="2"/>
        <v>710</v>
      </c>
      <c r="AB30" s="6"/>
      <c r="AC30" s="301"/>
      <c r="AD30" s="294"/>
    </row>
    <row r="31" spans="3:30" ht="16.2" thickBot="1" x14ac:dyDescent="0.35">
      <c r="C31" s="90"/>
      <c r="D31" s="272"/>
      <c r="E31" s="701" t="s">
        <v>114</v>
      </c>
      <c r="F31" s="702"/>
      <c r="G31" s="702"/>
      <c r="H31" s="702"/>
      <c r="I31" s="702"/>
      <c r="J31" s="703"/>
      <c r="K31" s="271"/>
      <c r="L31" s="270" t="s">
        <v>10</v>
      </c>
      <c r="M31" s="269"/>
      <c r="N31" s="268"/>
      <c r="O31" s="110"/>
      <c r="P31" s="90"/>
      <c r="Q31" s="90"/>
      <c r="R31" s="90"/>
      <c r="S31" s="90"/>
      <c r="T31" s="293"/>
      <c r="U31" s="295">
        <f t="shared" si="1"/>
        <v>43976</v>
      </c>
      <c r="V31" s="6"/>
      <c r="W31" s="296">
        <v>337736</v>
      </c>
      <c r="X31" s="6"/>
      <c r="Y31" s="44">
        <v>0.19800000000000001</v>
      </c>
      <c r="Z31" s="6"/>
      <c r="AA31" s="297">
        <f t="shared" si="2"/>
        <v>-1594</v>
      </c>
      <c r="AB31" s="6"/>
      <c r="AC31" s="301"/>
      <c r="AD31" s="294"/>
    </row>
    <row r="32" spans="3:30" x14ac:dyDescent="0.3">
      <c r="C32" s="10"/>
      <c r="D32" s="259"/>
      <c r="E32" s="260" t="s">
        <v>88</v>
      </c>
      <c r="F32" s="24"/>
      <c r="G32" s="24"/>
      <c r="H32" s="24"/>
      <c r="I32" s="696">
        <f>+'Main Table'!H274</f>
        <v>13539704</v>
      </c>
      <c r="J32" s="696"/>
      <c r="K32" s="24"/>
      <c r="L32" s="25">
        <f>+I32/$I$32</f>
        <v>1</v>
      </c>
      <c r="M32" s="261"/>
      <c r="N32" s="90"/>
      <c r="O32" s="90"/>
      <c r="P32" s="90"/>
      <c r="Q32" s="90"/>
      <c r="R32" s="90"/>
      <c r="S32" s="90"/>
      <c r="T32" s="293"/>
      <c r="U32" s="295">
        <f t="shared" si="1"/>
        <v>43977</v>
      </c>
      <c r="V32" s="6"/>
      <c r="W32" s="296">
        <v>333791</v>
      </c>
      <c r="X32" s="6"/>
      <c r="Y32" s="44">
        <v>0.193</v>
      </c>
      <c r="Z32" s="6"/>
      <c r="AA32" s="297">
        <f t="shared" si="2"/>
        <v>3945</v>
      </c>
      <c r="AB32" s="6"/>
      <c r="AC32" s="301"/>
      <c r="AD32" s="294"/>
    </row>
    <row r="33" spans="3:30" x14ac:dyDescent="0.3">
      <c r="C33" s="10"/>
      <c r="D33" s="259"/>
      <c r="E33" s="260"/>
      <c r="F33" s="24"/>
      <c r="G33" s="24"/>
      <c r="H33" s="24"/>
      <c r="I33" s="24"/>
      <c r="J33" s="24"/>
      <c r="K33" s="24"/>
      <c r="L33" s="24"/>
      <c r="M33" s="261"/>
      <c r="N33" s="90"/>
      <c r="O33" s="90"/>
      <c r="P33" s="90"/>
      <c r="Q33" s="90"/>
      <c r="R33" s="90"/>
      <c r="S33" s="90"/>
      <c r="T33" s="293"/>
      <c r="U33" s="295">
        <f t="shared" si="1"/>
        <v>43978</v>
      </c>
      <c r="V33" s="6"/>
      <c r="W33" s="296">
        <v>332639</v>
      </c>
      <c r="X33" s="6"/>
      <c r="Y33" s="44">
        <v>0.191</v>
      </c>
      <c r="Z33" s="6"/>
      <c r="AA33" s="297">
        <f t="shared" si="2"/>
        <v>1152</v>
      </c>
      <c r="AB33" s="6"/>
      <c r="AC33" s="301"/>
      <c r="AD33" s="294"/>
    </row>
    <row r="34" spans="3:30" x14ac:dyDescent="0.3">
      <c r="D34" s="262"/>
      <c r="E34" s="22"/>
      <c r="F34" s="263" t="s">
        <v>113</v>
      </c>
      <c r="G34" s="263"/>
      <c r="H34" s="22"/>
      <c r="I34" s="697">
        <f>+I27</f>
        <v>11849509</v>
      </c>
      <c r="J34" s="698"/>
      <c r="K34" s="22"/>
      <c r="L34" s="25">
        <f>+I34/$I$32</f>
        <v>0.87516750735466597</v>
      </c>
      <c r="M34" s="264"/>
      <c r="P34" s="232"/>
      <c r="Q34" s="232"/>
      <c r="R34" s="232"/>
      <c r="S34" s="232"/>
      <c r="T34" s="293"/>
      <c r="U34" s="295">
        <f t="shared" si="1"/>
        <v>43979</v>
      </c>
      <c r="V34" s="6"/>
      <c r="W34" s="296">
        <v>328088</v>
      </c>
      <c r="X34" s="6"/>
      <c r="Y34" s="44">
        <v>0.186</v>
      </c>
      <c r="Z34" s="6"/>
      <c r="AA34" s="297">
        <f t="shared" si="2"/>
        <v>4551</v>
      </c>
      <c r="AB34" s="6"/>
      <c r="AC34" s="301"/>
      <c r="AD34" s="294"/>
    </row>
    <row r="35" spans="3:30" x14ac:dyDescent="0.3">
      <c r="D35" s="262"/>
      <c r="E35" s="22"/>
      <c r="F35" s="22" t="s">
        <v>89</v>
      </c>
      <c r="G35" s="22"/>
      <c r="H35" s="22"/>
      <c r="I35" s="704">
        <f>+I21</f>
        <v>271986</v>
      </c>
      <c r="J35" s="705"/>
      <c r="K35" s="22"/>
      <c r="L35" s="25">
        <f>+I35/$I$32</f>
        <v>2.0088031466566774E-2</v>
      </c>
      <c r="M35" s="264"/>
      <c r="P35" s="273"/>
      <c r="Q35" s="273"/>
      <c r="R35" s="273"/>
      <c r="S35" s="273"/>
      <c r="T35" s="293"/>
      <c r="U35" s="295">
        <f t="shared" si="1"/>
        <v>43980</v>
      </c>
      <c r="V35" s="6"/>
      <c r="W35" s="296">
        <v>326426</v>
      </c>
      <c r="X35" s="6"/>
      <c r="Y35" s="44">
        <v>0.182</v>
      </c>
      <c r="Z35" s="6"/>
      <c r="AA35" s="297">
        <f t="shared" si="2"/>
        <v>1662</v>
      </c>
      <c r="AB35" s="6"/>
      <c r="AC35" s="301"/>
      <c r="AD35" s="294"/>
    </row>
    <row r="36" spans="3:30" ht="15" thickBot="1" x14ac:dyDescent="0.35">
      <c r="D36" s="262"/>
      <c r="E36" s="723" t="s">
        <v>114</v>
      </c>
      <c r="F36" s="723"/>
      <c r="G36" s="723"/>
      <c r="H36" s="275"/>
      <c r="I36" s="699">
        <f>+I32-I34-I35</f>
        <v>1418209</v>
      </c>
      <c r="J36" s="700"/>
      <c r="K36" s="302"/>
      <c r="L36" s="276">
        <f>+I36/$I$32</f>
        <v>0.10474446117876728</v>
      </c>
      <c r="M36" s="264"/>
      <c r="T36" s="293"/>
      <c r="U36" s="295">
        <f t="shared" si="1"/>
        <v>43981</v>
      </c>
      <c r="V36" s="6"/>
      <c r="W36" s="296">
        <v>326228</v>
      </c>
      <c r="X36" s="6"/>
      <c r="Y36" s="44">
        <v>0.16900000000000001</v>
      </c>
      <c r="Z36" s="6"/>
      <c r="AA36" s="297">
        <f t="shared" si="2"/>
        <v>198</v>
      </c>
      <c r="AB36" s="6"/>
      <c r="AC36" s="301"/>
      <c r="AD36" s="294"/>
    </row>
    <row r="37" spans="3:30" ht="15.6" thickTop="1" thickBot="1" x14ac:dyDescent="0.35">
      <c r="D37" s="265"/>
      <c r="E37" s="266"/>
      <c r="F37" s="266"/>
      <c r="G37" s="266"/>
      <c r="H37" s="266"/>
      <c r="I37" s="266"/>
      <c r="J37" s="266"/>
      <c r="K37" s="266"/>
      <c r="L37" s="266"/>
      <c r="M37" s="267"/>
      <c r="S37" s="472"/>
      <c r="T37" s="293"/>
      <c r="U37" s="295">
        <f t="shared" si="1"/>
        <v>43982</v>
      </c>
      <c r="V37" s="6"/>
      <c r="W37" s="296">
        <v>303951</v>
      </c>
      <c r="X37" s="6"/>
      <c r="Y37" s="44">
        <v>0.16500000000000001</v>
      </c>
      <c r="Z37" s="6"/>
      <c r="AA37" s="297">
        <f t="shared" si="2"/>
        <v>22277</v>
      </c>
      <c r="AB37" s="6"/>
      <c r="AC37" s="301"/>
      <c r="AD37" s="294"/>
    </row>
    <row r="38" spans="3:30" x14ac:dyDescent="0.3">
      <c r="T38" s="293"/>
      <c r="U38" s="295">
        <f t="shared" si="1"/>
        <v>43983</v>
      </c>
      <c r="V38" s="6"/>
      <c r="W38" s="296">
        <v>305817</v>
      </c>
      <c r="X38" s="6"/>
      <c r="Y38" s="44">
        <v>0.16400000000000001</v>
      </c>
      <c r="Z38" s="6"/>
      <c r="AA38" s="297">
        <f t="shared" si="2"/>
        <v>-1866</v>
      </c>
      <c r="AB38" s="6"/>
      <c r="AC38" s="301"/>
      <c r="AD38" s="294"/>
    </row>
    <row r="39" spans="3:30" x14ac:dyDescent="0.3">
      <c r="T39" s="293"/>
      <c r="U39" s="295">
        <f t="shared" si="1"/>
        <v>43984</v>
      </c>
      <c r="V39" s="6"/>
      <c r="W39" s="296">
        <v>305724</v>
      </c>
      <c r="X39" s="6"/>
      <c r="Y39" s="44">
        <v>0.16300000000000001</v>
      </c>
      <c r="Z39" s="6"/>
      <c r="AA39" s="297">
        <f t="shared" si="2"/>
        <v>93</v>
      </c>
      <c r="AB39" s="6"/>
      <c r="AC39" s="301"/>
      <c r="AD39" s="294"/>
    </row>
    <row r="40" spans="3:30" ht="15" thickBot="1" x14ac:dyDescent="0.35">
      <c r="T40" s="293"/>
      <c r="U40" s="295">
        <f t="shared" si="1"/>
        <v>43985</v>
      </c>
      <c r="V40" s="6"/>
      <c r="W40" s="296">
        <v>297824</v>
      </c>
      <c r="X40" s="6"/>
      <c r="Y40" s="44">
        <v>0.157</v>
      </c>
      <c r="Z40" s="6"/>
      <c r="AA40" s="297">
        <f t="shared" si="2"/>
        <v>7900</v>
      </c>
      <c r="AB40" s="6"/>
      <c r="AC40" s="301"/>
      <c r="AD40" s="294"/>
    </row>
    <row r="41" spans="3:30" ht="15" thickBot="1" x14ac:dyDescent="0.35">
      <c r="D41" s="711" t="s">
        <v>127</v>
      </c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3"/>
      <c r="T41" s="293"/>
      <c r="U41" s="295">
        <f t="shared" si="1"/>
        <v>43986</v>
      </c>
      <c r="V41" s="6"/>
      <c r="W41" s="296">
        <v>296183</v>
      </c>
      <c r="X41" s="6"/>
      <c r="Y41" s="44">
        <v>0.154</v>
      </c>
      <c r="Z41" s="6"/>
      <c r="AA41" s="297">
        <f t="shared" si="2"/>
        <v>1641</v>
      </c>
      <c r="AB41" s="6"/>
      <c r="AC41" s="301"/>
      <c r="AD41" s="294"/>
    </row>
    <row r="42" spans="3:30" ht="15" thickBot="1" x14ac:dyDescent="0.35">
      <c r="D42" s="320"/>
      <c r="E42" s="714" t="s">
        <v>75</v>
      </c>
      <c r="F42" s="714"/>
      <c r="G42" s="714"/>
      <c r="H42" s="714"/>
      <c r="I42" s="303" t="s">
        <v>74</v>
      </c>
      <c r="J42" s="304"/>
      <c r="K42" s="715" t="s">
        <v>37</v>
      </c>
      <c r="L42" s="715"/>
      <c r="M42" s="305"/>
      <c r="N42" s="306" t="s">
        <v>73</v>
      </c>
      <c r="O42" s="321"/>
      <c r="T42" s="293"/>
      <c r="U42" s="295">
        <f t="shared" si="1"/>
        <v>43987</v>
      </c>
      <c r="V42" s="6"/>
      <c r="W42" s="296">
        <v>299564</v>
      </c>
      <c r="X42" s="6"/>
      <c r="Y42" s="44">
        <v>0.154</v>
      </c>
      <c r="Z42" s="6"/>
      <c r="AA42" s="297">
        <f t="shared" si="2"/>
        <v>-3381</v>
      </c>
      <c r="AB42" s="6"/>
      <c r="AC42" s="301"/>
      <c r="AD42" s="294"/>
    </row>
    <row r="43" spans="3:30" x14ac:dyDescent="0.3">
      <c r="D43" s="322"/>
      <c r="E43" s="307" t="s">
        <v>43</v>
      </c>
      <c r="F43" s="308"/>
      <c r="G43" s="307"/>
      <c r="H43" s="307"/>
      <c r="I43" s="379">
        <v>25405</v>
      </c>
      <c r="J43" s="379"/>
      <c r="K43" s="380"/>
      <c r="L43" s="380"/>
      <c r="M43" s="380"/>
      <c r="N43" s="380"/>
      <c r="O43" s="314"/>
      <c r="T43" s="293"/>
      <c r="U43" s="295">
        <f t="shared" si="1"/>
        <v>43988</v>
      </c>
      <c r="V43" s="6"/>
      <c r="W43" s="296">
        <v>299553</v>
      </c>
      <c r="X43" s="6"/>
      <c r="Y43" s="44">
        <v>0.154</v>
      </c>
      <c r="Z43" s="6"/>
      <c r="AA43" s="297">
        <f t="shared" si="2"/>
        <v>11</v>
      </c>
      <c r="AB43" s="6"/>
      <c r="AC43" s="301"/>
      <c r="AD43" s="294"/>
    </row>
    <row r="44" spans="3:30" x14ac:dyDescent="0.3">
      <c r="D44" s="322"/>
      <c r="E44" s="307" t="s">
        <v>44</v>
      </c>
      <c r="F44" s="307" t="s">
        <v>4</v>
      </c>
      <c r="G44" s="307"/>
      <c r="H44" s="307"/>
      <c r="I44" s="379">
        <v>1836</v>
      </c>
      <c r="J44" s="379"/>
      <c r="K44" s="380"/>
      <c r="L44" s="380"/>
      <c r="M44" s="380"/>
      <c r="N44" s="380"/>
      <c r="O44" s="314"/>
      <c r="T44" s="293"/>
      <c r="U44" s="295">
        <f t="shared" si="1"/>
        <v>43989</v>
      </c>
      <c r="V44" s="6"/>
      <c r="W44" s="296">
        <v>301798</v>
      </c>
      <c r="X44" s="6"/>
      <c r="Y44" s="44">
        <v>0.152</v>
      </c>
      <c r="Z44" s="6"/>
      <c r="AA44" s="297">
        <f t="shared" si="2"/>
        <v>-2245</v>
      </c>
      <c r="AB44" s="6"/>
      <c r="AC44" s="301"/>
      <c r="AD44" s="294"/>
    </row>
    <row r="45" spans="3:30" x14ac:dyDescent="0.3">
      <c r="D45" s="322"/>
      <c r="E45" s="307"/>
      <c r="F45" s="307" t="s">
        <v>45</v>
      </c>
      <c r="G45" s="307"/>
      <c r="H45" s="307"/>
      <c r="I45" s="381">
        <v>1397</v>
      </c>
      <c r="J45" s="379"/>
      <c r="K45" s="380"/>
      <c r="L45" s="379"/>
      <c r="M45" s="380"/>
      <c r="N45" s="382"/>
      <c r="O45" s="314"/>
      <c r="T45" s="293"/>
      <c r="U45" s="295">
        <f t="shared" si="1"/>
        <v>43990</v>
      </c>
      <c r="V45" s="6"/>
      <c r="W45" s="296">
        <v>301795</v>
      </c>
      <c r="X45" s="6"/>
      <c r="Y45" s="44">
        <v>0.15</v>
      </c>
      <c r="Z45" s="6"/>
      <c r="AA45" s="297">
        <f t="shared" si="2"/>
        <v>3</v>
      </c>
      <c r="AB45" s="6"/>
      <c r="AC45" s="301"/>
      <c r="AD45" s="294"/>
    </row>
    <row r="46" spans="3:30" x14ac:dyDescent="0.3">
      <c r="D46" s="322"/>
      <c r="E46" s="307"/>
      <c r="F46" s="311" t="s">
        <v>70</v>
      </c>
      <c r="G46" s="311"/>
      <c r="H46" s="311"/>
      <c r="I46" s="379">
        <f>+I43-I44-I45</f>
        <v>22172</v>
      </c>
      <c r="J46" s="379"/>
      <c r="K46" s="380"/>
      <c r="L46" s="380"/>
      <c r="M46" s="380"/>
      <c r="N46" s="380"/>
      <c r="O46" s="314"/>
      <c r="T46" s="293"/>
      <c r="U46" s="295">
        <f t="shared" si="1"/>
        <v>43991</v>
      </c>
      <c r="V46" s="6"/>
      <c r="W46" s="296">
        <v>300305</v>
      </c>
      <c r="X46" s="6"/>
      <c r="Y46" s="44">
        <v>0.14799999999999999</v>
      </c>
      <c r="Z46" s="6"/>
      <c r="AA46" s="297">
        <f t="shared" si="2"/>
        <v>1490</v>
      </c>
      <c r="AB46" s="6"/>
      <c r="AC46" s="301"/>
      <c r="AD46" s="294"/>
    </row>
    <row r="47" spans="3:30" x14ac:dyDescent="0.3">
      <c r="D47" s="322"/>
      <c r="E47" s="307" t="s">
        <v>77</v>
      </c>
      <c r="F47" s="309"/>
      <c r="G47" s="309"/>
      <c r="H47" s="309"/>
      <c r="I47" s="381">
        <f>+'Main Table'!AP292</f>
        <v>1970617</v>
      </c>
      <c r="J47" s="379"/>
      <c r="K47" s="380"/>
      <c r="L47" s="380"/>
      <c r="M47" s="380"/>
      <c r="N47" s="380"/>
      <c r="O47" s="314"/>
      <c r="T47" s="293"/>
      <c r="U47" s="295">
        <f t="shared" si="1"/>
        <v>43992</v>
      </c>
      <c r="V47" s="6"/>
      <c r="W47" s="296">
        <v>298430</v>
      </c>
      <c r="X47" s="6"/>
      <c r="Y47" s="44">
        <v>0.14599999999999999</v>
      </c>
      <c r="Z47" s="6"/>
      <c r="AA47" s="297">
        <f t="shared" si="2"/>
        <v>1875</v>
      </c>
      <c r="AB47" s="6"/>
      <c r="AC47" s="301"/>
      <c r="AD47" s="294"/>
    </row>
    <row r="48" spans="3:30" x14ac:dyDescent="0.3">
      <c r="D48" s="680" t="s">
        <v>49</v>
      </c>
      <c r="E48" s="681"/>
      <c r="F48" s="681"/>
      <c r="G48" s="681"/>
      <c r="H48" s="681"/>
      <c r="I48" s="312">
        <f>+I46-I47</f>
        <v>-1948445</v>
      </c>
      <c r="J48" s="379"/>
      <c r="K48" s="380"/>
      <c r="L48" s="380"/>
      <c r="M48" s="380"/>
      <c r="N48" s="380"/>
      <c r="O48" s="314"/>
      <c r="T48" s="293"/>
      <c r="U48" s="295">
        <f t="shared" si="1"/>
        <v>43993</v>
      </c>
      <c r="V48" s="6"/>
      <c r="W48" s="296">
        <v>296204</v>
      </c>
      <c r="X48" s="6"/>
      <c r="Y48" s="44">
        <v>0.14199999999999999</v>
      </c>
      <c r="Z48" s="6"/>
      <c r="AA48" s="297">
        <f t="shared" si="2"/>
        <v>2226</v>
      </c>
      <c r="AB48" s="6"/>
      <c r="AC48" s="301"/>
      <c r="AD48" s="294"/>
    </row>
    <row r="49" spans="4:32" x14ac:dyDescent="0.3">
      <c r="D49" s="322"/>
      <c r="E49" s="307" t="s">
        <v>71</v>
      </c>
      <c r="F49" s="309"/>
      <c r="G49" s="309"/>
      <c r="H49" s="309"/>
      <c r="I49" s="381">
        <f>+I47</f>
        <v>1970617</v>
      </c>
      <c r="J49" s="379"/>
      <c r="K49" s="380"/>
      <c r="L49" s="380"/>
      <c r="M49" s="380"/>
      <c r="N49" s="380"/>
      <c r="O49" s="314"/>
      <c r="T49" s="293"/>
      <c r="U49" s="295">
        <f t="shared" si="1"/>
        <v>43994</v>
      </c>
      <c r="V49" s="6"/>
      <c r="W49" s="296">
        <v>300135</v>
      </c>
      <c r="X49" s="6"/>
      <c r="Y49" s="44">
        <v>0.14199999999999999</v>
      </c>
      <c r="Z49" s="6"/>
      <c r="AA49" s="297">
        <f t="shared" si="2"/>
        <v>-3931</v>
      </c>
      <c r="AB49" s="6"/>
      <c r="AC49" s="301"/>
      <c r="AD49" s="294"/>
    </row>
    <row r="50" spans="4:32" ht="15" thickBot="1" x14ac:dyDescent="0.35">
      <c r="D50" s="680" t="s">
        <v>46</v>
      </c>
      <c r="E50" s="681"/>
      <c r="F50" s="681"/>
      <c r="G50" s="681"/>
      <c r="H50" s="681"/>
      <c r="I50" s="383">
        <f>+I48+I49</f>
        <v>22172</v>
      </c>
      <c r="J50" s="379"/>
      <c r="K50" s="682">
        <v>30167</v>
      </c>
      <c r="L50" s="682"/>
      <c r="M50" s="380"/>
      <c r="N50" s="384">
        <f>+K50-I50</f>
        <v>7995</v>
      </c>
      <c r="O50" s="314"/>
      <c r="T50" s="293"/>
      <c r="U50" s="295">
        <f t="shared" si="1"/>
        <v>43995</v>
      </c>
      <c r="V50" s="6"/>
      <c r="W50" s="296">
        <v>305087</v>
      </c>
      <c r="X50" s="6"/>
      <c r="Y50" s="44">
        <v>0.14199999999999999</v>
      </c>
      <c r="Z50" s="6"/>
      <c r="AA50" s="297">
        <f t="shared" si="2"/>
        <v>-4952</v>
      </c>
      <c r="AB50" s="6"/>
      <c r="AC50" s="301"/>
      <c r="AD50" s="294"/>
    </row>
    <row r="51" spans="4:32" ht="15.6" thickTop="1" thickBot="1" x14ac:dyDescent="0.35">
      <c r="D51" s="313"/>
      <c r="E51" s="683" t="s">
        <v>69</v>
      </c>
      <c r="F51" s="683"/>
      <c r="G51" s="683"/>
      <c r="H51" s="311"/>
      <c r="I51" s="385">
        <f>+I50/K50</f>
        <v>0.73497530414028578</v>
      </c>
      <c r="J51" s="380"/>
      <c r="K51" s="380"/>
      <c r="L51" s="380"/>
      <c r="M51" s="380"/>
      <c r="N51" s="386">
        <f>+N50/K50</f>
        <v>0.26502469585971428</v>
      </c>
      <c r="O51" s="314"/>
      <c r="S51" s="56"/>
      <c r="T51" s="293"/>
      <c r="U51" s="295">
        <f>+U50+1</f>
        <v>43996</v>
      </c>
      <c r="V51" s="6"/>
      <c r="W51" s="296">
        <v>302731</v>
      </c>
      <c r="X51" s="6"/>
      <c r="Y51" s="44">
        <v>0.14000000000000001</v>
      </c>
      <c r="Z51" s="6"/>
      <c r="AA51" s="297">
        <f t="shared" si="2"/>
        <v>2356</v>
      </c>
      <c r="AB51" s="6"/>
      <c r="AC51" s="301"/>
      <c r="AD51" s="294"/>
    </row>
    <row r="52" spans="4:32" ht="15.6" thickTop="1" thickBot="1" x14ac:dyDescent="0.35">
      <c r="D52" s="323"/>
      <c r="E52" s="324"/>
      <c r="F52" s="324"/>
      <c r="G52" s="324"/>
      <c r="H52" s="324"/>
      <c r="I52" s="387"/>
      <c r="J52" s="388"/>
      <c r="K52" s="389"/>
      <c r="L52" s="389"/>
      <c r="M52" s="389"/>
      <c r="N52" s="389"/>
      <c r="O52" s="317"/>
      <c r="T52" s="293"/>
      <c r="U52" s="295">
        <f t="shared" ref="U52:U225" si="3">+U51+1</f>
        <v>43997</v>
      </c>
      <c r="V52" s="6"/>
      <c r="W52" s="296">
        <v>301583</v>
      </c>
      <c r="X52" s="6"/>
      <c r="Y52" s="44">
        <v>0.13800000000000001</v>
      </c>
      <c r="Z52" s="6"/>
      <c r="AA52" s="297">
        <f t="shared" ref="AA52:AA63" si="4">+W51-W52</f>
        <v>1148</v>
      </c>
      <c r="AB52" s="6"/>
      <c r="AC52" s="301"/>
      <c r="AD52" s="294"/>
    </row>
    <row r="53" spans="4:32" ht="15" thickBot="1" x14ac:dyDescent="0.35">
      <c r="D53" s="90"/>
      <c r="E53" s="151"/>
      <c r="F53" s="151"/>
      <c r="G53" s="151"/>
      <c r="H53" s="151"/>
      <c r="I53" s="353"/>
      <c r="J53" s="90"/>
      <c r="K53" s="110"/>
      <c r="L53" s="110"/>
      <c r="M53" s="359"/>
      <c r="N53" s="110"/>
      <c r="O53" s="110"/>
      <c r="P53" s="61"/>
      <c r="Q53" s="61"/>
      <c r="R53" s="61"/>
      <c r="T53" s="293"/>
      <c r="U53" s="295">
        <f t="shared" si="3"/>
        <v>43998</v>
      </c>
      <c r="V53" s="6"/>
      <c r="W53" s="296">
        <v>306362</v>
      </c>
      <c r="X53" s="6"/>
      <c r="Y53" s="44">
        <v>0.13900000000000001</v>
      </c>
      <c r="Z53" s="6"/>
      <c r="AA53" s="297">
        <f t="shared" si="4"/>
        <v>-4779</v>
      </c>
      <c r="AB53" s="6"/>
      <c r="AC53" s="301"/>
      <c r="AD53" s="294"/>
    </row>
    <row r="54" spans="4:32" ht="16.2" thickBot="1" x14ac:dyDescent="0.35">
      <c r="D54" s="360"/>
      <c r="E54" s="684" t="s">
        <v>128</v>
      </c>
      <c r="F54" s="685"/>
      <c r="G54" s="685"/>
      <c r="H54" s="685"/>
      <c r="I54" s="685"/>
      <c r="J54" s="686"/>
      <c r="K54" s="361"/>
      <c r="L54" s="364" t="s">
        <v>10</v>
      </c>
      <c r="M54" s="363"/>
      <c r="N54" s="110"/>
      <c r="O54" s="110"/>
      <c r="P54" s="61"/>
      <c r="Q54" s="61"/>
      <c r="R54" s="61"/>
      <c r="T54" s="293"/>
      <c r="U54" s="295">
        <f t="shared" si="3"/>
        <v>43999</v>
      </c>
      <c r="V54" s="6"/>
      <c r="W54" s="296">
        <v>310165</v>
      </c>
      <c r="X54" s="6"/>
      <c r="Y54" s="44">
        <v>0.13900000000000001</v>
      </c>
      <c r="Z54" s="6"/>
      <c r="AA54" s="297">
        <f t="shared" si="4"/>
        <v>-3803</v>
      </c>
      <c r="AB54" s="6"/>
      <c r="AC54" s="301"/>
      <c r="AD54" s="294"/>
    </row>
    <row r="55" spans="4:32" x14ac:dyDescent="0.3">
      <c r="D55" s="322"/>
      <c r="E55" s="354" t="s">
        <v>88</v>
      </c>
      <c r="F55" s="309"/>
      <c r="G55" s="309"/>
      <c r="H55" s="309"/>
      <c r="I55" s="687">
        <f>+K50</f>
        <v>30167</v>
      </c>
      <c r="J55" s="687"/>
      <c r="K55" s="309"/>
      <c r="L55" s="355">
        <f>+I55/$I$55</f>
        <v>1</v>
      </c>
      <c r="M55" s="362"/>
      <c r="N55" s="110"/>
      <c r="O55" s="110"/>
      <c r="P55" s="61"/>
      <c r="Q55" s="61"/>
      <c r="R55" s="61"/>
      <c r="T55" s="293"/>
      <c r="U55" s="295">
        <f t="shared" si="3"/>
        <v>44000</v>
      </c>
      <c r="V55" s="6"/>
      <c r="W55" s="296">
        <v>321504</v>
      </c>
      <c r="X55" s="6"/>
      <c r="Y55" s="44">
        <v>0.13800000000000001</v>
      </c>
      <c r="Z55" s="6"/>
      <c r="AA55" s="297">
        <f t="shared" si="4"/>
        <v>-11339</v>
      </c>
      <c r="AB55" s="6"/>
      <c r="AC55" s="301"/>
      <c r="AD55" s="294"/>
    </row>
    <row r="56" spans="4:32" x14ac:dyDescent="0.3">
      <c r="D56" s="322"/>
      <c r="E56" s="354"/>
      <c r="F56" s="309"/>
      <c r="G56" s="309"/>
      <c r="H56" s="309"/>
      <c r="I56" s="309"/>
      <c r="J56" s="309"/>
      <c r="K56" s="309"/>
      <c r="L56" s="309"/>
      <c r="M56" s="362"/>
      <c r="N56" s="110"/>
      <c r="O56" s="110"/>
      <c r="P56" s="61"/>
      <c r="Q56" s="61"/>
      <c r="R56" s="61"/>
      <c r="T56" s="293"/>
      <c r="U56" s="295">
        <f t="shared" si="3"/>
        <v>44001</v>
      </c>
      <c r="V56" s="6"/>
      <c r="W56" s="296">
        <v>323237</v>
      </c>
      <c r="X56" s="6"/>
      <c r="Y56" s="44">
        <v>0.14099999999999999</v>
      </c>
      <c r="Z56" s="6"/>
      <c r="AA56" s="297">
        <f t="shared" si="4"/>
        <v>-1733</v>
      </c>
      <c r="AB56" s="6"/>
      <c r="AC56" s="301"/>
      <c r="AD56" s="294"/>
    </row>
    <row r="57" spans="4:32" x14ac:dyDescent="0.3">
      <c r="D57" s="313"/>
      <c r="E57" s="310"/>
      <c r="F57" s="356" t="s">
        <v>113</v>
      </c>
      <c r="G57" s="356"/>
      <c r="H57" s="310"/>
      <c r="I57" s="688">
        <f>+I50</f>
        <v>22172</v>
      </c>
      <c r="J57" s="689"/>
      <c r="K57" s="310"/>
      <c r="L57" s="355">
        <f>+I57/$I$55</f>
        <v>0.73497530414028578</v>
      </c>
      <c r="M57" s="314"/>
      <c r="N57" s="110"/>
      <c r="O57" s="110"/>
      <c r="P57" s="61"/>
      <c r="Q57" s="61"/>
      <c r="R57" s="61"/>
      <c r="T57" s="293"/>
      <c r="U57" s="295">
        <f t="shared" si="3"/>
        <v>44002</v>
      </c>
      <c r="V57" s="6"/>
      <c r="W57" s="296">
        <v>338196</v>
      </c>
      <c r="X57" s="6"/>
      <c r="Y57" s="44">
        <v>0.14499999999999999</v>
      </c>
      <c r="Z57" s="6"/>
      <c r="AA57" s="297">
        <f t="shared" si="4"/>
        <v>-14959</v>
      </c>
      <c r="AB57" s="6"/>
      <c r="AC57" s="301"/>
      <c r="AD57" s="294"/>
    </row>
    <row r="58" spans="4:32" x14ac:dyDescent="0.3">
      <c r="D58" s="313"/>
      <c r="E58" s="310"/>
      <c r="F58" s="310" t="s">
        <v>89</v>
      </c>
      <c r="G58" s="310"/>
      <c r="H58" s="310"/>
      <c r="I58" s="690">
        <f>+I44</f>
        <v>1836</v>
      </c>
      <c r="J58" s="691"/>
      <c r="K58" s="310"/>
      <c r="L58" s="355">
        <f>+I58/$I$55</f>
        <v>6.0861205953525378E-2</v>
      </c>
      <c r="M58" s="314"/>
      <c r="N58" s="110"/>
      <c r="O58" s="110"/>
      <c r="P58" s="61"/>
      <c r="Q58" s="61"/>
      <c r="R58" s="61"/>
      <c r="T58" s="293"/>
      <c r="U58" s="295">
        <f t="shared" si="3"/>
        <v>44003</v>
      </c>
      <c r="V58" s="6"/>
      <c r="W58" s="296">
        <v>345179</v>
      </c>
      <c r="X58" s="6"/>
      <c r="Y58" s="44">
        <v>0.14699999999999999</v>
      </c>
      <c r="Z58" s="6"/>
      <c r="AA58" s="297">
        <f t="shared" si="4"/>
        <v>-6983</v>
      </c>
      <c r="AB58" s="6"/>
      <c r="AC58" s="301"/>
      <c r="AD58" s="294"/>
    </row>
    <row r="59" spans="4:32" ht="15" thickBot="1" x14ac:dyDescent="0.35">
      <c r="D59" s="313"/>
      <c r="E59" s="692" t="s">
        <v>114</v>
      </c>
      <c r="F59" s="692"/>
      <c r="G59" s="692"/>
      <c r="H59" s="310"/>
      <c r="I59" s="693">
        <f>+I55-I57-I58</f>
        <v>6159</v>
      </c>
      <c r="J59" s="694"/>
      <c r="K59" s="357"/>
      <c r="L59" s="358">
        <f>+I59/$I$55</f>
        <v>0.20416348990618888</v>
      </c>
      <c r="M59" s="314"/>
      <c r="N59" s="110"/>
      <c r="O59" s="110"/>
      <c r="P59" s="157"/>
      <c r="Q59" s="157"/>
      <c r="R59" s="157"/>
      <c r="T59" s="293"/>
      <c r="U59" s="295">
        <f t="shared" si="3"/>
        <v>44004</v>
      </c>
      <c r="V59" s="6"/>
      <c r="W59" s="296">
        <v>336790</v>
      </c>
      <c r="X59" s="6"/>
      <c r="Y59" s="44">
        <v>0.14099999999999999</v>
      </c>
      <c r="Z59" s="6"/>
      <c r="AA59" s="297">
        <f t="shared" si="4"/>
        <v>8389</v>
      </c>
      <c r="AB59" s="6"/>
      <c r="AC59" s="301"/>
      <c r="AD59" s="294"/>
    </row>
    <row r="60" spans="4:32" ht="15" thickTop="1" x14ac:dyDescent="0.3">
      <c r="D60" s="313"/>
      <c r="E60" s="467"/>
      <c r="F60" s="467" t="s">
        <v>129</v>
      </c>
      <c r="G60" s="467"/>
      <c r="H60" s="310"/>
      <c r="I60" s="695">
        <f>+I45</f>
        <v>1397</v>
      </c>
      <c r="J60" s="695"/>
      <c r="K60" s="357"/>
      <c r="L60" s="377"/>
      <c r="M60" s="314"/>
      <c r="N60" s="110"/>
      <c r="O60" s="110"/>
      <c r="P60" s="157"/>
      <c r="Q60" s="157"/>
      <c r="R60" s="157"/>
      <c r="T60" s="293"/>
      <c r="U60" s="295">
        <f t="shared" si="3"/>
        <v>44005</v>
      </c>
      <c r="V60" s="6"/>
      <c r="W60" s="296">
        <v>349505</v>
      </c>
      <c r="X60" s="6"/>
      <c r="Y60" s="44">
        <v>0.14399999999999999</v>
      </c>
      <c r="Z60" s="6"/>
      <c r="AA60" s="297">
        <f t="shared" si="4"/>
        <v>-12715</v>
      </c>
      <c r="AB60" s="6"/>
      <c r="AC60" s="301"/>
      <c r="AD60" s="294"/>
      <c r="AF60" s="61"/>
    </row>
    <row r="61" spans="4:32" ht="15" thickBot="1" x14ac:dyDescent="0.35">
      <c r="D61" s="313"/>
      <c r="E61" s="376"/>
      <c r="F61" s="376" t="s">
        <v>130</v>
      </c>
      <c r="G61" s="376"/>
      <c r="H61" s="310"/>
      <c r="I61" s="693">
        <f>+I59-I60</f>
        <v>4762</v>
      </c>
      <c r="J61" s="693"/>
      <c r="K61" s="357"/>
      <c r="L61" s="358">
        <f>+I61/K50</f>
        <v>0.15785460934133325</v>
      </c>
      <c r="M61" s="314"/>
      <c r="N61" s="110"/>
      <c r="O61" s="110"/>
      <c r="P61" s="61"/>
      <c r="Q61" s="61"/>
      <c r="R61" s="61"/>
      <c r="T61" s="293"/>
      <c r="U61" s="295">
        <f t="shared" si="3"/>
        <v>44006</v>
      </c>
      <c r="V61" s="6"/>
      <c r="W61" s="296">
        <v>361428</v>
      </c>
      <c r="X61" s="6"/>
      <c r="Y61" s="44">
        <v>0.14699999999999999</v>
      </c>
      <c r="Z61" s="6"/>
      <c r="AA61" s="297">
        <f t="shared" si="4"/>
        <v>-11923</v>
      </c>
      <c r="AB61" s="6"/>
      <c r="AC61" s="301"/>
      <c r="AD61" s="294"/>
    </row>
    <row r="62" spans="4:32" ht="15.6" thickTop="1" thickBot="1" x14ac:dyDescent="0.35">
      <c r="D62" s="315"/>
      <c r="E62" s="316"/>
      <c r="F62" s="316"/>
      <c r="G62" s="316"/>
      <c r="H62" s="316"/>
      <c r="I62" s="316"/>
      <c r="J62" s="316"/>
      <c r="K62" s="316"/>
      <c r="L62" s="316"/>
      <c r="M62" s="317"/>
      <c r="N62" s="110"/>
      <c r="O62" s="110"/>
      <c r="P62" s="61"/>
      <c r="Q62" s="61"/>
      <c r="R62" s="61"/>
      <c r="T62" s="293"/>
      <c r="U62" s="295">
        <f t="shared" si="3"/>
        <v>44007</v>
      </c>
      <c r="V62" s="6"/>
      <c r="W62" s="296">
        <v>374775</v>
      </c>
      <c r="X62" s="6"/>
      <c r="Y62" s="44">
        <v>0.15</v>
      </c>
      <c r="Z62" s="6"/>
      <c r="AA62" s="297">
        <f t="shared" si="4"/>
        <v>-13347</v>
      </c>
      <c r="AB62" s="6"/>
      <c r="AC62" s="301"/>
      <c r="AD62" s="294"/>
    </row>
    <row r="63" spans="4:32" ht="15" thickBot="1" x14ac:dyDescent="0.35">
      <c r="T63" s="293"/>
      <c r="U63" s="295">
        <f t="shared" si="3"/>
        <v>44008</v>
      </c>
      <c r="V63" s="6"/>
      <c r="W63" s="296">
        <v>402712</v>
      </c>
      <c r="X63" s="6"/>
      <c r="Y63" s="44">
        <v>0.158</v>
      </c>
      <c r="Z63" s="6"/>
      <c r="AA63" s="297">
        <f t="shared" si="4"/>
        <v>-27937</v>
      </c>
      <c r="AB63" s="6"/>
      <c r="AC63" s="301"/>
      <c r="AD63" s="294"/>
    </row>
    <row r="64" spans="4:32" ht="15" thickBot="1" x14ac:dyDescent="0.35">
      <c r="E64" s="684" t="s">
        <v>117</v>
      </c>
      <c r="F64" s="685"/>
      <c r="G64" s="685"/>
      <c r="H64" s="685"/>
      <c r="I64" s="685"/>
      <c r="J64" s="685"/>
      <c r="K64" s="685"/>
      <c r="L64" s="685"/>
      <c r="M64" s="686"/>
      <c r="P64" s="370"/>
      <c r="Q64" s="370"/>
      <c r="R64" s="370"/>
      <c r="T64" s="293"/>
      <c r="U64" s="295">
        <f t="shared" si="3"/>
        <v>44009</v>
      </c>
      <c r="V64" s="6"/>
      <c r="W64" s="296">
        <v>425664</v>
      </c>
      <c r="X64" s="6"/>
      <c r="Y64" s="44">
        <v>0.16400000000000001</v>
      </c>
      <c r="Z64" s="6"/>
      <c r="AA64" s="297">
        <f t="shared" ref="AA64:AA81" si="5">+W63-W64</f>
        <v>-22952</v>
      </c>
      <c r="AB64" s="6"/>
      <c r="AC64" s="301"/>
      <c r="AD64" s="294"/>
    </row>
    <row r="65" spans="4:30" x14ac:dyDescent="0.3">
      <c r="E65" s="365"/>
      <c r="F65" s="318" t="s">
        <v>109</v>
      </c>
      <c r="G65" s="318"/>
      <c r="H65" s="318"/>
      <c r="I65" s="679">
        <v>11690000</v>
      </c>
      <c r="J65" s="679"/>
      <c r="K65" s="679"/>
      <c r="L65" s="679"/>
      <c r="M65" s="366"/>
      <c r="P65" s="57"/>
      <c r="Q65" s="57"/>
      <c r="R65" s="57"/>
      <c r="S65" s="57"/>
      <c r="T65" s="293"/>
      <c r="U65" s="295">
        <f t="shared" si="3"/>
        <v>44010</v>
      </c>
      <c r="V65" s="6"/>
      <c r="W65" s="296">
        <v>440910</v>
      </c>
      <c r="X65" s="6"/>
      <c r="Y65" s="44">
        <v>0.16700000000000001</v>
      </c>
      <c r="Z65" s="6"/>
      <c r="AA65" s="297">
        <f t="shared" si="5"/>
        <v>-15246</v>
      </c>
      <c r="AB65" s="6"/>
      <c r="AC65" s="301"/>
      <c r="AD65" s="294"/>
    </row>
    <row r="66" spans="4:30" x14ac:dyDescent="0.3">
      <c r="E66" s="365"/>
      <c r="F66" s="318" t="s">
        <v>110</v>
      </c>
      <c r="G66" s="318"/>
      <c r="H66" s="318"/>
      <c r="I66" s="318"/>
      <c r="J66" s="318"/>
      <c r="K66" s="318"/>
      <c r="L66" s="319">
        <f>+I59/I65</f>
        <v>5.2686056458511551E-4</v>
      </c>
      <c r="M66" s="366"/>
      <c r="T66" s="293"/>
      <c r="U66" s="295">
        <f t="shared" si="3"/>
        <v>44011</v>
      </c>
      <c r="V66" s="6"/>
      <c r="W66" s="296">
        <v>459097</v>
      </c>
      <c r="X66" s="6"/>
      <c r="Y66" s="44">
        <v>0.17100000000000001</v>
      </c>
      <c r="Z66" s="6"/>
      <c r="AA66" s="297">
        <f t="shared" si="5"/>
        <v>-18187</v>
      </c>
      <c r="AB66" s="6"/>
      <c r="AC66" s="301"/>
      <c r="AD66" s="294"/>
    </row>
    <row r="67" spans="4:30" x14ac:dyDescent="0.3">
      <c r="E67" s="365"/>
      <c r="F67" s="706" t="s">
        <v>108</v>
      </c>
      <c r="G67" s="706"/>
      <c r="H67" s="318"/>
      <c r="I67" s="318"/>
      <c r="J67" s="318"/>
      <c r="K67" s="318"/>
      <c r="L67" s="378">
        <f>+I59/(I65/100000)</f>
        <v>52.686056458511544</v>
      </c>
      <c r="M67" s="366"/>
      <c r="T67" s="293"/>
      <c r="U67" s="295">
        <f t="shared" si="3"/>
        <v>44012</v>
      </c>
      <c r="V67" s="6"/>
      <c r="W67" s="296">
        <v>477287</v>
      </c>
      <c r="X67" s="6"/>
      <c r="Y67" s="44">
        <v>0.17499999999999999</v>
      </c>
      <c r="Z67" s="6"/>
      <c r="AA67" s="297">
        <f t="shared" si="5"/>
        <v>-18190</v>
      </c>
      <c r="AB67" s="6"/>
      <c r="AC67" s="301"/>
      <c r="AD67" s="294"/>
    </row>
    <row r="68" spans="4:30" ht="15" thickBot="1" x14ac:dyDescent="0.35">
      <c r="E68" s="367"/>
      <c r="F68" s="368"/>
      <c r="G68" s="368"/>
      <c r="H68" s="368"/>
      <c r="I68" s="368"/>
      <c r="J68" s="368"/>
      <c r="K68" s="368"/>
      <c r="L68" s="368"/>
      <c r="M68" s="369"/>
      <c r="T68" s="293"/>
      <c r="U68" s="295">
        <f t="shared" si="3"/>
        <v>44013</v>
      </c>
      <c r="V68" s="6"/>
      <c r="W68" s="296">
        <v>494808</v>
      </c>
      <c r="X68" s="6"/>
      <c r="Y68" s="44">
        <v>0.17799999999999999</v>
      </c>
      <c r="Z68" s="6"/>
      <c r="AA68" s="297">
        <f t="shared" si="5"/>
        <v>-17521</v>
      </c>
      <c r="AB68" s="6"/>
      <c r="AC68" s="301"/>
      <c r="AD68" s="294"/>
    </row>
    <row r="69" spans="4:30" x14ac:dyDescent="0.3">
      <c r="T69" s="293"/>
      <c r="U69" s="295">
        <f t="shared" si="3"/>
        <v>44014</v>
      </c>
      <c r="V69" s="6"/>
      <c r="W69" s="296">
        <v>518711</v>
      </c>
      <c r="X69" s="6"/>
      <c r="Y69" s="44">
        <v>0.183</v>
      </c>
      <c r="Z69" s="6"/>
      <c r="AA69" s="297">
        <f t="shared" si="5"/>
        <v>-23903</v>
      </c>
      <c r="AB69" s="6"/>
      <c r="AC69" s="301"/>
      <c r="AD69" s="294"/>
    </row>
    <row r="70" spans="4:30" x14ac:dyDescent="0.3">
      <c r="T70" s="293"/>
      <c r="U70" s="295">
        <f t="shared" si="3"/>
        <v>44015</v>
      </c>
      <c r="V70" s="6"/>
      <c r="W70" s="296">
        <v>537924</v>
      </c>
      <c r="X70" s="6"/>
      <c r="Y70" s="44">
        <v>0.187</v>
      </c>
      <c r="Z70" s="6"/>
      <c r="AA70" s="297">
        <f t="shared" si="5"/>
        <v>-19213</v>
      </c>
      <c r="AB70" s="6"/>
      <c r="AC70" s="301"/>
      <c r="AD70" s="294"/>
    </row>
    <row r="71" spans="4:30" ht="15" thickBot="1" x14ac:dyDescent="0.35">
      <c r="T71" s="293"/>
      <c r="U71" s="295">
        <f t="shared" si="3"/>
        <v>44016</v>
      </c>
      <c r="V71" s="6"/>
      <c r="W71" s="296">
        <v>561332</v>
      </c>
      <c r="X71" s="6"/>
      <c r="Y71" s="44">
        <v>0.191</v>
      </c>
      <c r="Z71" s="6"/>
      <c r="AA71" s="297">
        <f t="shared" si="5"/>
        <v>-23408</v>
      </c>
      <c r="AB71" s="6"/>
      <c r="AC71" s="301"/>
      <c r="AD71" s="294"/>
    </row>
    <row r="72" spans="4:30" ht="15" thickBot="1" x14ac:dyDescent="0.35">
      <c r="D72" s="654" t="s">
        <v>131</v>
      </c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T72" s="293"/>
      <c r="U72" s="295">
        <f t="shared" si="3"/>
        <v>44017</v>
      </c>
      <c r="V72" s="6"/>
      <c r="W72" s="296">
        <v>569824</v>
      </c>
      <c r="X72" s="6"/>
      <c r="Y72" s="44">
        <v>0.191</v>
      </c>
      <c r="Z72" s="6"/>
      <c r="AA72" s="297">
        <f t="shared" si="5"/>
        <v>-8492</v>
      </c>
      <c r="AB72" s="6"/>
      <c r="AC72" s="301"/>
      <c r="AD72" s="294"/>
    </row>
    <row r="73" spans="4:30" ht="15" thickBot="1" x14ac:dyDescent="0.35">
      <c r="D73" s="397"/>
      <c r="E73" s="657" t="s">
        <v>75</v>
      </c>
      <c r="F73" s="657"/>
      <c r="G73" s="657"/>
      <c r="H73" s="657"/>
      <c r="I73" s="398" t="s">
        <v>74</v>
      </c>
      <c r="J73" s="399"/>
      <c r="K73" s="658" t="s">
        <v>37</v>
      </c>
      <c r="L73" s="658"/>
      <c r="M73" s="400"/>
      <c r="N73" s="401" t="s">
        <v>73</v>
      </c>
      <c r="O73" s="402"/>
      <c r="T73" s="293"/>
      <c r="U73" s="295">
        <f t="shared" si="3"/>
        <v>44018</v>
      </c>
      <c r="V73" s="6"/>
      <c r="W73" s="296">
        <v>581179</v>
      </c>
      <c r="X73" s="6"/>
      <c r="Y73" s="44">
        <v>0.192</v>
      </c>
      <c r="Z73" s="6"/>
      <c r="AA73" s="297">
        <f t="shared" si="5"/>
        <v>-11355</v>
      </c>
      <c r="AB73" s="6"/>
      <c r="AC73" s="301"/>
      <c r="AD73" s="294"/>
    </row>
    <row r="74" spans="4:30" x14ac:dyDescent="0.3">
      <c r="D74" s="403"/>
      <c r="E74" s="404" t="s">
        <v>43</v>
      </c>
      <c r="F74" s="405"/>
      <c r="G74" s="404"/>
      <c r="H74" s="404"/>
      <c r="I74" s="406">
        <v>38828</v>
      </c>
      <c r="J74" s="406"/>
      <c r="K74" s="407"/>
      <c r="L74" s="407"/>
      <c r="M74" s="407"/>
      <c r="N74" s="407"/>
      <c r="O74" s="408"/>
      <c r="T74" s="293"/>
      <c r="U74" s="295">
        <f t="shared" si="3"/>
        <v>44019</v>
      </c>
      <c r="V74" s="6"/>
      <c r="W74" s="296">
        <v>606840</v>
      </c>
      <c r="X74" s="6"/>
      <c r="Y74" s="44">
        <v>0.19600000000000001</v>
      </c>
      <c r="Z74" s="6"/>
      <c r="AA74" s="297">
        <f t="shared" si="5"/>
        <v>-25661</v>
      </c>
      <c r="AB74" s="6"/>
      <c r="AC74" s="301"/>
      <c r="AD74" s="294"/>
    </row>
    <row r="75" spans="4:30" x14ac:dyDescent="0.3">
      <c r="D75" s="403"/>
      <c r="E75" s="404" t="s">
        <v>44</v>
      </c>
      <c r="F75" s="404" t="s">
        <v>4</v>
      </c>
      <c r="G75" s="404"/>
      <c r="H75" s="404"/>
      <c r="I75" s="406">
        <v>2144</v>
      </c>
      <c r="J75" s="406"/>
      <c r="K75" s="407"/>
      <c r="L75" s="407"/>
      <c r="M75" s="407"/>
      <c r="N75" s="407"/>
      <c r="O75" s="408"/>
      <c r="T75" s="293"/>
      <c r="U75" s="295">
        <f t="shared" si="3"/>
        <v>44020</v>
      </c>
      <c r="V75" s="6"/>
      <c r="W75" s="296">
        <v>621347</v>
      </c>
      <c r="X75" s="6"/>
      <c r="Y75" s="44">
        <v>0.19700000000000001</v>
      </c>
      <c r="Z75" s="6"/>
      <c r="AA75" s="297">
        <f t="shared" si="5"/>
        <v>-14507</v>
      </c>
      <c r="AB75" s="6"/>
      <c r="AC75" s="301"/>
      <c r="AD75" s="294"/>
    </row>
    <row r="76" spans="4:30" x14ac:dyDescent="0.3">
      <c r="D76" s="403"/>
      <c r="E76" s="404"/>
      <c r="F76" s="404" t="s">
        <v>45</v>
      </c>
      <c r="G76" s="404"/>
      <c r="H76" s="404"/>
      <c r="I76" s="409"/>
      <c r="J76" s="406"/>
      <c r="K76" s="407"/>
      <c r="L76" s="406"/>
      <c r="M76" s="407"/>
      <c r="N76" s="410"/>
      <c r="O76" s="408"/>
      <c r="T76" s="293"/>
      <c r="U76" s="295">
        <f t="shared" si="3"/>
        <v>44021</v>
      </c>
      <c r="V76" s="6"/>
      <c r="W76" s="296">
        <v>639107</v>
      </c>
      <c r="X76" s="6"/>
      <c r="Y76" s="44">
        <v>0.19800000000000001</v>
      </c>
      <c r="Z76" s="6"/>
      <c r="AA76" s="297">
        <f t="shared" si="5"/>
        <v>-17760</v>
      </c>
      <c r="AB76" s="6"/>
      <c r="AC76" s="301"/>
      <c r="AD76" s="294"/>
    </row>
    <row r="77" spans="4:30" x14ac:dyDescent="0.3">
      <c r="D77" s="403"/>
      <c r="E77" s="404"/>
      <c r="F77" s="411" t="s">
        <v>70</v>
      </c>
      <c r="G77" s="411"/>
      <c r="H77" s="411"/>
      <c r="I77" s="406">
        <f>+I74-I75-I76</f>
        <v>36684</v>
      </c>
      <c r="J77" s="406"/>
      <c r="K77" s="407"/>
      <c r="L77" s="407"/>
      <c r="M77" s="407"/>
      <c r="N77" s="407"/>
      <c r="O77" s="408"/>
      <c r="T77" s="293"/>
      <c r="U77" s="295">
        <f t="shared" si="3"/>
        <v>44022</v>
      </c>
      <c r="V77" s="6"/>
      <c r="W77" s="296">
        <v>670486</v>
      </c>
      <c r="X77" s="6"/>
      <c r="Y77" s="44">
        <v>0.20399999999999999</v>
      </c>
      <c r="Z77" s="6"/>
      <c r="AA77" s="297">
        <f t="shared" si="5"/>
        <v>-31379</v>
      </c>
      <c r="AB77" s="6"/>
      <c r="AC77" s="301"/>
      <c r="AD77" s="294"/>
    </row>
    <row r="78" spans="4:30" x14ac:dyDescent="0.3">
      <c r="D78" s="403"/>
      <c r="E78" s="404" t="s">
        <v>77</v>
      </c>
      <c r="F78" s="16"/>
      <c r="G78" s="16"/>
      <c r="H78" s="16"/>
      <c r="I78" s="409">
        <f>+'Main Table'!AP333</f>
        <v>0</v>
      </c>
      <c r="J78" s="406"/>
      <c r="K78" s="407"/>
      <c r="L78" s="407"/>
      <c r="M78" s="407"/>
      <c r="N78" s="407"/>
      <c r="O78" s="408"/>
      <c r="T78" s="293"/>
      <c r="U78" s="295">
        <f t="shared" si="3"/>
        <v>44023</v>
      </c>
      <c r="V78" s="6"/>
      <c r="W78" s="296">
        <v>687513</v>
      </c>
      <c r="X78" s="6"/>
      <c r="Y78" s="44">
        <v>0.20499999999999999</v>
      </c>
      <c r="Z78" s="6"/>
      <c r="AA78" s="297">
        <f t="shared" si="5"/>
        <v>-17027</v>
      </c>
      <c r="AB78" s="6"/>
      <c r="AC78" s="301"/>
      <c r="AD78" s="294"/>
    </row>
    <row r="79" spans="4:30" x14ac:dyDescent="0.3">
      <c r="D79" s="659" t="s">
        <v>49</v>
      </c>
      <c r="E79" s="660"/>
      <c r="F79" s="660"/>
      <c r="G79" s="660"/>
      <c r="H79" s="660"/>
      <c r="I79" s="412">
        <f>+I77-I78</f>
        <v>36684</v>
      </c>
      <c r="J79" s="406"/>
      <c r="K79" s="407"/>
      <c r="L79" s="407"/>
      <c r="M79" s="407"/>
      <c r="N79" s="407"/>
      <c r="O79" s="408"/>
      <c r="T79" s="293"/>
      <c r="U79" s="295">
        <f t="shared" si="3"/>
        <v>44024</v>
      </c>
      <c r="V79" s="6"/>
      <c r="W79" s="296">
        <v>699823</v>
      </c>
      <c r="X79" s="6"/>
      <c r="Y79" s="44">
        <v>0.20499999999999999</v>
      </c>
      <c r="Z79" s="6"/>
      <c r="AA79" s="297">
        <f t="shared" si="5"/>
        <v>-12310</v>
      </c>
      <c r="AB79" s="6"/>
      <c r="AC79" s="301"/>
      <c r="AD79" s="294"/>
    </row>
    <row r="80" spans="4:30" x14ac:dyDescent="0.3">
      <c r="D80" s="403"/>
      <c r="E80" s="404" t="s">
        <v>71</v>
      </c>
      <c r="F80" s="16"/>
      <c r="G80" s="16"/>
      <c r="H80" s="16"/>
      <c r="I80" s="409">
        <f>+I78</f>
        <v>0</v>
      </c>
      <c r="J80" s="406"/>
      <c r="K80" s="407"/>
      <c r="L80" s="407"/>
      <c r="M80" s="407"/>
      <c r="N80" s="407"/>
      <c r="O80" s="408"/>
      <c r="T80" s="293"/>
      <c r="U80" s="295">
        <f t="shared" si="3"/>
        <v>44025</v>
      </c>
      <c r="V80" s="6"/>
      <c r="W80" s="296">
        <v>716467</v>
      </c>
      <c r="X80" s="6"/>
      <c r="Y80" s="44">
        <v>0.20599999999999999</v>
      </c>
      <c r="Z80" s="6"/>
      <c r="AA80" s="297">
        <f t="shared" si="5"/>
        <v>-16644</v>
      </c>
      <c r="AB80" s="6"/>
      <c r="AC80" s="301"/>
      <c r="AD80" s="294"/>
    </row>
    <row r="81" spans="3:30" ht="15" thickBot="1" x14ac:dyDescent="0.35">
      <c r="D81" s="659" t="s">
        <v>46</v>
      </c>
      <c r="E81" s="660"/>
      <c r="F81" s="660"/>
      <c r="G81" s="660"/>
      <c r="H81" s="660"/>
      <c r="I81" s="413">
        <f>+I79+I80</f>
        <v>36684</v>
      </c>
      <c r="J81" s="406"/>
      <c r="K81" s="662">
        <v>48675</v>
      </c>
      <c r="L81" s="662"/>
      <c r="M81" s="407"/>
      <c r="N81" s="414">
        <f>+K81-I81</f>
        <v>11991</v>
      </c>
      <c r="O81" s="408"/>
      <c r="S81" s="57"/>
      <c r="T81" s="293"/>
      <c r="U81" s="295">
        <f t="shared" si="3"/>
        <v>44026</v>
      </c>
      <c r="V81" s="6"/>
      <c r="W81" s="296">
        <v>720448</v>
      </c>
      <c r="X81" s="6"/>
      <c r="Y81" s="44">
        <v>0.20300000000000001</v>
      </c>
      <c r="Z81" s="6"/>
      <c r="AA81" s="297">
        <f t="shared" si="5"/>
        <v>-3981</v>
      </c>
      <c r="AB81" s="6"/>
      <c r="AC81" s="301"/>
      <c r="AD81" s="294"/>
    </row>
    <row r="82" spans="3:30" ht="15.6" thickTop="1" thickBot="1" x14ac:dyDescent="0.35">
      <c r="D82" s="415"/>
      <c r="E82" s="661" t="s">
        <v>69</v>
      </c>
      <c r="F82" s="661"/>
      <c r="G82" s="661"/>
      <c r="H82" s="411"/>
      <c r="I82" s="416">
        <f>+I81/K81</f>
        <v>0.75365177195685673</v>
      </c>
      <c r="J82" s="407"/>
      <c r="K82" s="407"/>
      <c r="L82" s="407"/>
      <c r="M82" s="407"/>
      <c r="N82" s="417">
        <f>+N81/K81</f>
        <v>0.2463482280431433</v>
      </c>
      <c r="O82" s="408"/>
      <c r="T82" s="293"/>
      <c r="U82" s="295">
        <f t="shared" si="3"/>
        <v>44027</v>
      </c>
      <c r="V82" s="6"/>
      <c r="W82" s="296">
        <v>734229</v>
      </c>
      <c r="X82" s="6"/>
      <c r="Y82" s="44">
        <v>0.20300000000000001</v>
      </c>
      <c r="Z82" s="6"/>
      <c r="AA82" s="297">
        <f t="shared" ref="AA82:AA119" si="6">+W81-W82</f>
        <v>-13781</v>
      </c>
      <c r="AB82" s="6"/>
      <c r="AC82" s="301"/>
      <c r="AD82" s="294"/>
    </row>
    <row r="83" spans="3:30" ht="15.6" thickTop="1" thickBot="1" x14ac:dyDescent="0.35">
      <c r="D83" s="418"/>
      <c r="E83" s="419"/>
      <c r="F83" s="419"/>
      <c r="G83" s="419"/>
      <c r="H83" s="419"/>
      <c r="I83" s="420"/>
      <c r="J83" s="421"/>
      <c r="K83" s="422"/>
      <c r="L83" s="422"/>
      <c r="M83" s="422"/>
      <c r="N83" s="422"/>
      <c r="O83" s="423"/>
      <c r="T83" s="293"/>
      <c r="U83" s="295">
        <f t="shared" si="3"/>
        <v>44028</v>
      </c>
      <c r="V83" s="6"/>
      <c r="W83" s="296">
        <v>761026</v>
      </c>
      <c r="X83" s="6"/>
      <c r="Y83" s="44">
        <v>0.20599999999999999</v>
      </c>
      <c r="Z83" s="6"/>
      <c r="AA83" s="297">
        <f t="shared" si="6"/>
        <v>-26797</v>
      </c>
      <c r="AB83" s="6"/>
      <c r="AC83" s="301"/>
      <c r="AD83" s="294"/>
    </row>
    <row r="84" spans="3:30" x14ac:dyDescent="0.3">
      <c r="C84" s="61"/>
      <c r="D84" s="90"/>
      <c r="E84" s="151"/>
      <c r="F84" s="151"/>
      <c r="G84" s="151"/>
      <c r="H84" s="151"/>
      <c r="I84" s="161"/>
      <c r="J84" s="530"/>
      <c r="K84" s="531"/>
      <c r="L84" s="531"/>
      <c r="M84" s="531"/>
      <c r="N84" s="531"/>
      <c r="O84" s="110"/>
      <c r="P84" s="61"/>
      <c r="T84" s="293"/>
      <c r="U84" s="295">
        <f t="shared" si="3"/>
        <v>44029</v>
      </c>
      <c r="V84" s="6"/>
      <c r="W84" s="296">
        <v>791691</v>
      </c>
      <c r="X84" s="6"/>
      <c r="Y84" s="44">
        <v>0.21</v>
      </c>
      <c r="Z84" s="6"/>
      <c r="AA84" s="297">
        <f t="shared" si="6"/>
        <v>-30665</v>
      </c>
      <c r="AB84" s="6"/>
      <c r="AC84" s="301"/>
      <c r="AD84" s="294"/>
    </row>
    <row r="85" spans="3:30" x14ac:dyDescent="0.3">
      <c r="C85" s="61"/>
      <c r="D85" s="90"/>
      <c r="E85" s="151"/>
      <c r="F85" s="151"/>
      <c r="G85" s="151"/>
      <c r="H85" s="151"/>
      <c r="I85" s="161"/>
      <c r="J85" s="530"/>
      <c r="K85" s="531"/>
      <c r="L85" s="531"/>
      <c r="M85" s="531"/>
      <c r="N85" s="531"/>
      <c r="O85" s="110"/>
      <c r="P85" s="61"/>
      <c r="T85" s="293"/>
      <c r="U85" s="295">
        <f t="shared" si="3"/>
        <v>44030</v>
      </c>
      <c r="V85" s="6"/>
      <c r="W85" s="296">
        <v>801338</v>
      </c>
      <c r="X85" s="6"/>
      <c r="Y85" s="44">
        <v>0.20899999999999999</v>
      </c>
      <c r="Z85" s="6"/>
      <c r="AA85" s="297">
        <f t="shared" si="6"/>
        <v>-9647</v>
      </c>
      <c r="AB85" s="6"/>
      <c r="AC85" s="301"/>
      <c r="AD85" s="294"/>
    </row>
    <row r="86" spans="3:30" x14ac:dyDescent="0.3">
      <c r="C86" s="61"/>
      <c r="D86" s="90"/>
      <c r="E86" s="151"/>
      <c r="F86" s="151"/>
      <c r="G86" s="151"/>
      <c r="H86" s="151"/>
      <c r="I86" s="161"/>
      <c r="J86" s="530"/>
      <c r="K86" s="531"/>
      <c r="L86" s="531"/>
      <c r="M86" s="531"/>
      <c r="N86" s="531"/>
      <c r="O86" s="110"/>
      <c r="P86" s="61"/>
      <c r="T86" s="293"/>
      <c r="U86" s="295">
        <f t="shared" si="3"/>
        <v>44031</v>
      </c>
      <c r="V86" s="6"/>
      <c r="W86" s="296">
        <v>811067</v>
      </c>
      <c r="X86" s="6"/>
      <c r="Y86" s="44">
        <v>0.20799999999999999</v>
      </c>
      <c r="Z86" s="6"/>
      <c r="AA86" s="297">
        <f t="shared" si="6"/>
        <v>-9729</v>
      </c>
      <c r="AB86" s="6"/>
      <c r="AC86" s="301"/>
      <c r="AD86" s="294"/>
    </row>
    <row r="87" spans="3:30" hidden="1" outlineLevel="1" x14ac:dyDescent="0.3">
      <c r="C87" s="61"/>
      <c r="D87" s="90"/>
      <c r="E87" s="151"/>
      <c r="F87" s="151"/>
      <c r="G87" s="151"/>
      <c r="H87" s="151"/>
      <c r="I87" s="161"/>
      <c r="J87" s="530"/>
      <c r="K87" s="531"/>
      <c r="L87" s="531"/>
      <c r="M87" s="531"/>
      <c r="N87" s="531"/>
      <c r="O87" s="110"/>
      <c r="P87" s="61"/>
      <c r="T87" s="293"/>
      <c r="U87" s="295">
        <f t="shared" si="3"/>
        <v>44032</v>
      </c>
      <c r="V87" s="6"/>
      <c r="W87" s="296">
        <v>792871</v>
      </c>
      <c r="X87" s="6"/>
      <c r="Y87" s="44">
        <v>0.2</v>
      </c>
      <c r="Z87" s="6"/>
      <c r="AA87" s="297">
        <f t="shared" si="6"/>
        <v>18196</v>
      </c>
      <c r="AB87" s="6"/>
      <c r="AC87" s="301"/>
      <c r="AD87" s="294"/>
    </row>
    <row r="88" spans="3:30" hidden="1" outlineLevel="1" x14ac:dyDescent="0.3">
      <c r="C88" s="61"/>
      <c r="D88" s="90"/>
      <c r="E88" s="151"/>
      <c r="F88" s="151"/>
      <c r="G88" s="151"/>
      <c r="H88" s="151"/>
      <c r="I88" s="161"/>
      <c r="J88" s="530"/>
      <c r="K88" s="531"/>
      <c r="L88" s="531"/>
      <c r="M88" s="531"/>
      <c r="N88" s="531"/>
      <c r="O88" s="110"/>
      <c r="P88" s="61"/>
      <c r="T88" s="293"/>
      <c r="U88" s="295">
        <f t="shared" si="3"/>
        <v>44033</v>
      </c>
      <c r="V88" s="6"/>
      <c r="W88" s="296">
        <v>747251</v>
      </c>
      <c r="X88" s="6"/>
      <c r="Y88" s="44">
        <v>0.185</v>
      </c>
      <c r="Z88" s="6"/>
      <c r="AA88" s="297">
        <f t="shared" si="6"/>
        <v>45620</v>
      </c>
      <c r="AB88" s="6"/>
      <c r="AC88" s="301"/>
      <c r="AD88" s="294"/>
    </row>
    <row r="89" spans="3:30" hidden="1" outlineLevel="1" x14ac:dyDescent="0.3">
      <c r="C89" s="61"/>
      <c r="D89" s="90"/>
      <c r="E89" s="151"/>
      <c r="F89" s="151"/>
      <c r="G89" s="151"/>
      <c r="H89" s="151"/>
      <c r="I89" s="161"/>
      <c r="J89" s="530"/>
      <c r="K89" s="531"/>
      <c r="L89" s="531"/>
      <c r="M89" s="531"/>
      <c r="N89" s="531"/>
      <c r="O89" s="110"/>
      <c r="P89" s="61"/>
      <c r="T89" s="293"/>
      <c r="U89" s="295">
        <f t="shared" si="3"/>
        <v>44034</v>
      </c>
      <c r="V89" s="6"/>
      <c r="W89" s="296">
        <v>757520</v>
      </c>
      <c r="X89" s="6"/>
      <c r="Y89" s="44">
        <v>0.185</v>
      </c>
      <c r="Z89" s="6"/>
      <c r="AA89" s="297">
        <f t="shared" si="6"/>
        <v>-10269</v>
      </c>
      <c r="AB89" s="6"/>
      <c r="AC89" s="301"/>
      <c r="AD89" s="294"/>
    </row>
    <row r="90" spans="3:30" hidden="1" outlineLevel="1" x14ac:dyDescent="0.3">
      <c r="C90" s="61"/>
      <c r="D90" s="90"/>
      <c r="E90" s="151"/>
      <c r="F90" s="151"/>
      <c r="G90" s="151"/>
      <c r="H90" s="151"/>
      <c r="I90" s="161"/>
      <c r="J90" s="530"/>
      <c r="K90" s="531"/>
      <c r="L90" s="531"/>
      <c r="M90" s="531"/>
      <c r="N90" s="531"/>
      <c r="O90" s="110"/>
      <c r="P90" s="61"/>
      <c r="T90" s="293"/>
      <c r="U90" s="295">
        <f t="shared" si="3"/>
        <v>44035</v>
      </c>
      <c r="V90" s="6"/>
      <c r="W90" s="296">
        <v>770711</v>
      </c>
      <c r="X90" s="6"/>
      <c r="Y90" s="44">
        <v>0.185</v>
      </c>
      <c r="Z90" s="6"/>
      <c r="AA90" s="297">
        <f t="shared" si="6"/>
        <v>-13191</v>
      </c>
      <c r="AB90" s="6"/>
      <c r="AC90" s="301"/>
      <c r="AD90" s="294"/>
    </row>
    <row r="91" spans="3:30" hidden="1" outlineLevel="1" x14ac:dyDescent="0.3">
      <c r="C91" s="61"/>
      <c r="D91" s="90"/>
      <c r="E91" s="151"/>
      <c r="F91" s="151"/>
      <c r="G91" s="151"/>
      <c r="H91" s="151"/>
      <c r="I91" s="161"/>
      <c r="J91" s="530"/>
      <c r="K91" s="531"/>
      <c r="L91" s="531"/>
      <c r="M91" s="531"/>
      <c r="N91" s="531"/>
      <c r="O91" s="110"/>
      <c r="P91" s="61"/>
      <c r="T91" s="293"/>
      <c r="U91" s="295">
        <f t="shared" si="3"/>
        <v>44036</v>
      </c>
      <c r="V91" s="6"/>
      <c r="W91" s="296">
        <v>783144</v>
      </c>
      <c r="X91" s="6"/>
      <c r="Y91" s="44">
        <v>0.184</v>
      </c>
      <c r="Z91" s="6"/>
      <c r="AA91" s="297">
        <f t="shared" si="6"/>
        <v>-12433</v>
      </c>
      <c r="AB91" s="6"/>
      <c r="AC91" s="301"/>
      <c r="AD91" s="294"/>
    </row>
    <row r="92" spans="3:30" hidden="1" outlineLevel="1" x14ac:dyDescent="0.3">
      <c r="O92" s="110"/>
      <c r="T92" s="293"/>
      <c r="U92" s="295">
        <f t="shared" si="3"/>
        <v>44037</v>
      </c>
      <c r="V92" s="6"/>
      <c r="W92" s="296">
        <v>784395</v>
      </c>
      <c r="X92" s="6"/>
      <c r="Y92" s="44">
        <v>0.182</v>
      </c>
      <c r="Z92" s="6"/>
      <c r="AA92" s="297">
        <f t="shared" si="6"/>
        <v>-1251</v>
      </c>
      <c r="AB92" s="6"/>
      <c r="AC92" s="301"/>
      <c r="AD92" s="294"/>
    </row>
    <row r="93" spans="3:30" hidden="1" outlineLevel="1" x14ac:dyDescent="0.3">
      <c r="O93" s="110"/>
      <c r="T93" s="293"/>
      <c r="U93" s="295">
        <f t="shared" si="3"/>
        <v>44038</v>
      </c>
      <c r="V93" s="6"/>
      <c r="W93" s="296">
        <v>768522</v>
      </c>
      <c r="X93" s="6"/>
      <c r="Y93" s="44">
        <v>0.17599999999999999</v>
      </c>
      <c r="Z93" s="6"/>
      <c r="AA93" s="297">
        <f t="shared" si="6"/>
        <v>15873</v>
      </c>
      <c r="AB93" s="6"/>
      <c r="AC93" s="301"/>
      <c r="AD93" s="294"/>
    </row>
    <row r="94" spans="3:30" hidden="1" outlineLevel="1" x14ac:dyDescent="0.3">
      <c r="O94" s="110"/>
      <c r="T94" s="293"/>
      <c r="U94" s="295">
        <f t="shared" si="3"/>
        <v>44039</v>
      </c>
      <c r="V94" s="6"/>
      <c r="W94" s="296">
        <v>757532</v>
      </c>
      <c r="X94" s="6"/>
      <c r="Y94" s="44">
        <v>0.17100000000000001</v>
      </c>
      <c r="Z94" s="6"/>
      <c r="AA94" s="297">
        <f t="shared" si="6"/>
        <v>10990</v>
      </c>
      <c r="AB94" s="6"/>
      <c r="AC94" s="301"/>
      <c r="AD94" s="294"/>
    </row>
    <row r="95" spans="3:30" hidden="1" outlineLevel="1" x14ac:dyDescent="0.3">
      <c r="O95" s="110"/>
      <c r="T95" s="293"/>
      <c r="U95" s="295">
        <f t="shared" si="3"/>
        <v>44040</v>
      </c>
      <c r="V95" s="6"/>
      <c r="W95" s="296">
        <v>747119</v>
      </c>
      <c r="X95" s="6"/>
      <c r="Y95" s="44">
        <v>0.16600000000000001</v>
      </c>
      <c r="Z95" s="6"/>
      <c r="AA95" s="297">
        <f t="shared" si="6"/>
        <v>10413</v>
      </c>
      <c r="AB95" s="6"/>
      <c r="AC95" s="301"/>
      <c r="AD95" s="294"/>
    </row>
    <row r="96" spans="3:30" hidden="1" outlineLevel="1" x14ac:dyDescent="0.3">
      <c r="O96" s="110"/>
      <c r="T96" s="293"/>
      <c r="U96" s="295">
        <f t="shared" si="3"/>
        <v>44041</v>
      </c>
      <c r="V96" s="6"/>
      <c r="W96" s="296">
        <v>750781</v>
      </c>
      <c r="X96" s="6"/>
      <c r="Y96" s="44">
        <v>0.16400000000000001</v>
      </c>
      <c r="Z96" s="6"/>
      <c r="AA96" s="297">
        <f t="shared" si="6"/>
        <v>-3662</v>
      </c>
      <c r="AB96" s="6"/>
      <c r="AC96" s="301"/>
      <c r="AD96" s="294"/>
    </row>
    <row r="97" spans="15:31" hidden="1" outlineLevel="1" x14ac:dyDescent="0.3">
      <c r="O97" s="110"/>
      <c r="T97" s="293"/>
      <c r="U97" s="295">
        <f t="shared" si="3"/>
        <v>44042</v>
      </c>
      <c r="V97" s="6"/>
      <c r="W97" s="296">
        <v>753862</v>
      </c>
      <c r="X97" s="6"/>
      <c r="Y97" s="44">
        <v>0.16300000000000001</v>
      </c>
      <c r="Z97" s="6"/>
      <c r="AA97" s="297">
        <f t="shared" si="6"/>
        <v>-3081</v>
      </c>
      <c r="AB97" s="6"/>
      <c r="AC97" s="301"/>
      <c r="AD97" s="294"/>
    </row>
    <row r="98" spans="15:31" hidden="1" outlineLevel="1" x14ac:dyDescent="0.3">
      <c r="O98" s="110"/>
      <c r="T98" s="293"/>
      <c r="U98" s="295">
        <f t="shared" si="3"/>
        <v>44043</v>
      </c>
      <c r="V98" s="6"/>
      <c r="W98" s="296">
        <v>761970</v>
      </c>
      <c r="X98" s="6"/>
      <c r="Y98" s="44">
        <v>0.16200000000000001</v>
      </c>
      <c r="Z98" s="6"/>
      <c r="AA98" s="297">
        <f t="shared" si="6"/>
        <v>-8108</v>
      </c>
      <c r="AB98" s="6"/>
      <c r="AC98" s="301"/>
      <c r="AD98" s="294"/>
    </row>
    <row r="99" spans="15:31" hidden="1" outlineLevel="1" x14ac:dyDescent="0.3">
      <c r="O99" s="110"/>
      <c r="T99" s="293"/>
      <c r="U99" s="295">
        <f t="shared" si="3"/>
        <v>44044</v>
      </c>
      <c r="V99" s="6"/>
      <c r="W99" s="296">
        <v>753065</v>
      </c>
      <c r="X99" s="6"/>
      <c r="Y99" s="44">
        <v>0.158</v>
      </c>
      <c r="Z99" s="6"/>
      <c r="AA99" s="297">
        <f t="shared" si="6"/>
        <v>8905</v>
      </c>
      <c r="AB99" s="6"/>
      <c r="AC99" s="301"/>
      <c r="AD99" s="294"/>
    </row>
    <row r="100" spans="15:31" hidden="1" outlineLevel="1" x14ac:dyDescent="0.3">
      <c r="O100" s="110"/>
      <c r="T100" s="293"/>
      <c r="U100" s="295">
        <f t="shared" si="3"/>
        <v>44045</v>
      </c>
      <c r="V100" s="6"/>
      <c r="W100" s="296">
        <v>730039</v>
      </c>
      <c r="X100" s="6"/>
      <c r="Y100" s="44">
        <v>0.152</v>
      </c>
      <c r="Z100" s="6"/>
      <c r="AA100" s="297">
        <f t="shared" si="6"/>
        <v>23026</v>
      </c>
      <c r="AB100" s="6"/>
      <c r="AC100" s="301"/>
      <c r="AD100" s="294"/>
    </row>
    <row r="101" spans="15:31" hidden="1" outlineLevel="1" x14ac:dyDescent="0.3">
      <c r="O101" s="110"/>
      <c r="R101" s="61"/>
      <c r="T101" s="293"/>
      <c r="U101" s="295">
        <f t="shared" si="3"/>
        <v>44046</v>
      </c>
      <c r="V101" s="6"/>
      <c r="W101" s="296">
        <v>709320</v>
      </c>
      <c r="X101" s="6"/>
      <c r="Y101" s="44">
        <v>0.14599999999999999</v>
      </c>
      <c r="Z101" s="6"/>
      <c r="AA101" s="297">
        <f t="shared" si="6"/>
        <v>20719</v>
      </c>
      <c r="AB101" s="6"/>
      <c r="AC101" s="301"/>
      <c r="AD101" s="294"/>
      <c r="AE101" s="61"/>
    </row>
    <row r="102" spans="15:31" hidden="1" outlineLevel="1" x14ac:dyDescent="0.3">
      <c r="O102" s="110"/>
      <c r="T102" s="293"/>
      <c r="U102" s="295">
        <f t="shared" si="3"/>
        <v>44047</v>
      </c>
      <c r="V102" s="6"/>
      <c r="W102" s="296">
        <v>685528</v>
      </c>
      <c r="X102" s="6"/>
      <c r="Y102" s="44">
        <v>0.13900000000000001</v>
      </c>
      <c r="Z102" s="6"/>
      <c r="AA102" s="297">
        <f t="shared" si="6"/>
        <v>23792</v>
      </c>
      <c r="AB102" s="6"/>
      <c r="AC102" s="301"/>
      <c r="AD102" s="294"/>
    </row>
    <row r="103" spans="15:31" hidden="1" outlineLevel="1" x14ac:dyDescent="0.3">
      <c r="O103" s="110"/>
      <c r="T103" s="293"/>
      <c r="U103" s="295">
        <f t="shared" si="3"/>
        <v>44048</v>
      </c>
      <c r="V103" s="6"/>
      <c r="W103" s="296">
        <v>618132</v>
      </c>
      <c r="X103" s="6"/>
      <c r="Y103" s="44">
        <v>0.126</v>
      </c>
      <c r="Z103" s="6"/>
      <c r="AA103" s="297">
        <f t="shared" si="6"/>
        <v>67396</v>
      </c>
      <c r="AB103" s="6"/>
      <c r="AC103" s="301"/>
      <c r="AD103" s="294"/>
    </row>
    <row r="104" spans="15:31" hidden="1" outlineLevel="1" x14ac:dyDescent="0.3">
      <c r="O104" s="110"/>
      <c r="T104" s="293"/>
      <c r="U104" s="295">
        <f t="shared" si="3"/>
        <v>44049</v>
      </c>
      <c r="V104" s="6"/>
      <c r="W104" s="296">
        <v>614289</v>
      </c>
      <c r="X104" s="6"/>
      <c r="Y104" s="44">
        <v>0.122</v>
      </c>
      <c r="Z104" s="6"/>
      <c r="AA104" s="297">
        <f t="shared" si="6"/>
        <v>3843</v>
      </c>
      <c r="AB104" s="6"/>
      <c r="AC104" s="301"/>
      <c r="AD104" s="294"/>
    </row>
    <row r="105" spans="15:31" hidden="1" outlineLevel="1" x14ac:dyDescent="0.3">
      <c r="O105" s="110"/>
      <c r="T105" s="293"/>
      <c r="U105" s="295">
        <f t="shared" si="3"/>
        <v>44050</v>
      </c>
      <c r="V105" s="6"/>
      <c r="W105" s="296">
        <v>612883</v>
      </c>
      <c r="X105" s="6"/>
      <c r="Y105" s="44">
        <v>0.12</v>
      </c>
      <c r="Z105" s="6"/>
      <c r="AA105" s="297">
        <f t="shared" si="6"/>
        <v>1406</v>
      </c>
      <c r="AB105" s="6"/>
      <c r="AC105" s="301"/>
      <c r="AD105" s="294"/>
    </row>
    <row r="106" spans="15:31" hidden="1" outlineLevel="1" x14ac:dyDescent="0.3">
      <c r="O106" s="110"/>
      <c r="T106" s="293"/>
      <c r="U106" s="295">
        <f t="shared" si="3"/>
        <v>44051</v>
      </c>
      <c r="V106" s="6"/>
      <c r="W106" s="296">
        <v>600161</v>
      </c>
      <c r="X106" s="6"/>
      <c r="Y106" s="44">
        <v>0.11700000000000001</v>
      </c>
      <c r="Z106" s="6"/>
      <c r="AA106" s="297">
        <f t="shared" si="6"/>
        <v>12722</v>
      </c>
      <c r="AB106" s="6"/>
      <c r="AC106" s="301"/>
      <c r="AD106" s="294"/>
    </row>
    <row r="107" spans="15:31" hidden="1" outlineLevel="1" x14ac:dyDescent="0.3">
      <c r="O107" s="110"/>
      <c r="T107" s="293"/>
      <c r="U107" s="295">
        <f t="shared" si="3"/>
        <v>44052</v>
      </c>
      <c r="V107" s="6"/>
      <c r="W107" s="296">
        <v>578836</v>
      </c>
      <c r="X107" s="6"/>
      <c r="Y107" s="44">
        <v>0.111</v>
      </c>
      <c r="Z107" s="6"/>
      <c r="AA107" s="297">
        <f t="shared" si="6"/>
        <v>21325</v>
      </c>
      <c r="AB107" s="6"/>
      <c r="AC107" s="301"/>
      <c r="AD107" s="294"/>
    </row>
    <row r="108" spans="15:31" hidden="1" outlineLevel="1" x14ac:dyDescent="0.3">
      <c r="O108" s="110"/>
      <c r="T108" s="293"/>
      <c r="U108" s="295">
        <f t="shared" si="3"/>
        <v>44053</v>
      </c>
      <c r="V108" s="6"/>
      <c r="W108" s="296">
        <v>557343</v>
      </c>
      <c r="X108" s="6"/>
      <c r="Y108" s="44">
        <v>0.106</v>
      </c>
      <c r="Z108" s="6"/>
      <c r="AA108" s="297">
        <f t="shared" si="6"/>
        <v>21493</v>
      </c>
      <c r="AB108" s="6"/>
      <c r="AC108" s="301"/>
      <c r="AD108" s="294"/>
    </row>
    <row r="109" spans="15:31" hidden="1" outlineLevel="1" x14ac:dyDescent="0.3">
      <c r="O109" s="110"/>
      <c r="T109" s="293"/>
      <c r="U109" s="295">
        <f t="shared" si="3"/>
        <v>44054</v>
      </c>
      <c r="V109" s="6"/>
      <c r="W109" s="296">
        <v>553058</v>
      </c>
      <c r="X109" s="6"/>
      <c r="Y109" s="44">
        <v>0.104</v>
      </c>
      <c r="Z109" s="6"/>
      <c r="AA109" s="297">
        <f t="shared" si="6"/>
        <v>4285</v>
      </c>
      <c r="AB109" s="6"/>
      <c r="AC109" s="301"/>
      <c r="AD109" s="294"/>
    </row>
    <row r="110" spans="15:31" hidden="1" outlineLevel="1" x14ac:dyDescent="0.3">
      <c r="O110" s="110"/>
      <c r="T110" s="293"/>
      <c r="U110" s="295">
        <f t="shared" si="3"/>
        <v>44055</v>
      </c>
      <c r="V110" s="6"/>
      <c r="W110" s="296">
        <v>558346</v>
      </c>
      <c r="X110" s="6"/>
      <c r="Y110" s="44">
        <v>0.104</v>
      </c>
      <c r="Z110" s="6"/>
      <c r="AA110" s="297">
        <f t="shared" si="6"/>
        <v>-5288</v>
      </c>
      <c r="AB110" s="6"/>
      <c r="AC110" s="301"/>
      <c r="AD110" s="294"/>
    </row>
    <row r="111" spans="15:31" hidden="1" outlineLevel="1" x14ac:dyDescent="0.3">
      <c r="O111" s="110"/>
      <c r="T111" s="293"/>
      <c r="U111" s="295">
        <f t="shared" si="3"/>
        <v>44056</v>
      </c>
      <c r="V111" s="6"/>
      <c r="W111" s="296">
        <v>565064</v>
      </c>
      <c r="X111" s="6"/>
      <c r="Y111" s="44">
        <v>0.104</v>
      </c>
      <c r="Z111" s="6"/>
      <c r="AA111" s="297">
        <f t="shared" si="6"/>
        <v>-6718</v>
      </c>
      <c r="AB111" s="6"/>
      <c r="AC111" s="301"/>
      <c r="AD111" s="294"/>
    </row>
    <row r="112" spans="15:31" hidden="1" outlineLevel="1" x14ac:dyDescent="0.3">
      <c r="O112" s="110"/>
      <c r="T112" s="293"/>
      <c r="U112" s="295">
        <f t="shared" si="3"/>
        <v>44057</v>
      </c>
      <c r="V112" s="6"/>
      <c r="W112" s="296">
        <v>570997</v>
      </c>
      <c r="X112" s="6"/>
      <c r="Y112" s="44">
        <v>0.104</v>
      </c>
      <c r="Z112" s="6"/>
      <c r="AA112" s="297">
        <f t="shared" si="6"/>
        <v>-5933</v>
      </c>
      <c r="AB112" s="6"/>
      <c r="AC112" s="301"/>
      <c r="AD112" s="294"/>
    </row>
    <row r="113" spans="15:30" hidden="1" outlineLevel="1" x14ac:dyDescent="0.3">
      <c r="O113" s="110"/>
      <c r="T113" s="293"/>
      <c r="U113" s="295">
        <f t="shared" si="3"/>
        <v>44058</v>
      </c>
      <c r="V113" s="6"/>
      <c r="W113" s="296">
        <v>569341</v>
      </c>
      <c r="X113" s="6"/>
      <c r="Y113" s="44">
        <v>0.10299999999999999</v>
      </c>
      <c r="Z113" s="6"/>
      <c r="AA113" s="297">
        <f t="shared" si="6"/>
        <v>1656</v>
      </c>
      <c r="AB113" s="6"/>
      <c r="AC113" s="301"/>
      <c r="AD113" s="294"/>
    </row>
    <row r="114" spans="15:30" hidden="1" outlineLevel="1" x14ac:dyDescent="0.3">
      <c r="O114" s="110"/>
      <c r="T114" s="293"/>
      <c r="U114" s="295">
        <f t="shared" si="3"/>
        <v>44059</v>
      </c>
      <c r="V114" s="6"/>
      <c r="W114" s="296">
        <v>547525</v>
      </c>
      <c r="X114" s="6"/>
      <c r="Y114" s="44">
        <v>9.8000000000000004E-2</v>
      </c>
      <c r="Z114" s="6"/>
      <c r="AA114" s="297">
        <f t="shared" si="6"/>
        <v>21816</v>
      </c>
      <c r="AB114" s="6"/>
      <c r="AC114" s="301"/>
      <c r="AD114" s="294"/>
    </row>
    <row r="115" spans="15:30" hidden="1" outlineLevel="1" x14ac:dyDescent="0.3">
      <c r="O115" s="110"/>
      <c r="T115" s="293"/>
      <c r="U115" s="295">
        <f t="shared" si="3"/>
        <v>44060</v>
      </c>
      <c r="V115" s="6"/>
      <c r="W115" s="296">
        <v>524856</v>
      </c>
      <c r="X115" s="6"/>
      <c r="Y115" s="44">
        <v>9.4E-2</v>
      </c>
      <c r="Z115" s="6"/>
      <c r="AA115" s="297">
        <f t="shared" si="6"/>
        <v>22669</v>
      </c>
      <c r="AB115" s="6"/>
      <c r="AC115" s="301"/>
      <c r="AD115" s="294"/>
    </row>
    <row r="116" spans="15:30" hidden="1" outlineLevel="1" x14ac:dyDescent="0.3">
      <c r="O116" s="110"/>
      <c r="T116" s="293"/>
      <c r="U116" s="295">
        <f t="shared" si="3"/>
        <v>44061</v>
      </c>
      <c r="V116" s="6"/>
      <c r="W116" s="296">
        <v>514420</v>
      </c>
      <c r="X116" s="6"/>
      <c r="Y116" s="44">
        <v>9.0999999999999998E-2</v>
      </c>
      <c r="Z116" s="6"/>
      <c r="AA116" s="297">
        <f t="shared" si="6"/>
        <v>10436</v>
      </c>
      <c r="AB116" s="6"/>
      <c r="AC116" s="301"/>
      <c r="AD116" s="294"/>
    </row>
    <row r="117" spans="15:30" hidden="1" outlineLevel="1" x14ac:dyDescent="0.3">
      <c r="O117" s="110"/>
      <c r="T117" s="293"/>
      <c r="U117" s="295">
        <f t="shared" si="3"/>
        <v>44062</v>
      </c>
      <c r="V117" s="6"/>
      <c r="W117" s="296">
        <v>511437</v>
      </c>
      <c r="X117" s="6"/>
      <c r="Y117" s="44">
        <v>0.09</v>
      </c>
      <c r="Z117" s="6"/>
      <c r="AA117" s="297">
        <f t="shared" si="6"/>
        <v>2983</v>
      </c>
      <c r="AB117" s="6"/>
      <c r="AC117" s="301"/>
      <c r="AD117" s="294"/>
    </row>
    <row r="118" spans="15:30" hidden="1" outlineLevel="1" x14ac:dyDescent="0.3">
      <c r="O118" s="110"/>
      <c r="T118" s="293"/>
      <c r="U118" s="295">
        <f t="shared" si="3"/>
        <v>44063</v>
      </c>
      <c r="V118" s="6"/>
      <c r="W118" s="296">
        <v>506920</v>
      </c>
      <c r="X118" s="6"/>
      <c r="Y118" s="44">
        <v>8.7999999999999995E-2</v>
      </c>
      <c r="Z118" s="6"/>
      <c r="AA118" s="297">
        <f t="shared" si="6"/>
        <v>4517</v>
      </c>
      <c r="AB118" s="6"/>
      <c r="AC118" s="301"/>
      <c r="AD118" s="294"/>
    </row>
    <row r="119" spans="15:30" hidden="1" outlineLevel="1" x14ac:dyDescent="0.3">
      <c r="O119" s="110"/>
      <c r="T119" s="293"/>
      <c r="U119" s="295">
        <f t="shared" si="3"/>
        <v>44064</v>
      </c>
      <c r="V119" s="6"/>
      <c r="W119" s="296">
        <v>502856</v>
      </c>
      <c r="X119" s="6"/>
      <c r="Y119" s="44">
        <v>8.6999999999999994E-2</v>
      </c>
      <c r="Z119" s="6"/>
      <c r="AA119" s="297">
        <f t="shared" si="6"/>
        <v>4064</v>
      </c>
      <c r="AB119" s="6"/>
      <c r="AC119" s="301"/>
      <c r="AD119" s="294"/>
    </row>
    <row r="120" spans="15:30" hidden="1" outlineLevel="1" x14ac:dyDescent="0.3">
      <c r="O120" s="110"/>
      <c r="T120" s="293"/>
      <c r="U120" s="295">
        <f t="shared" si="3"/>
        <v>44065</v>
      </c>
      <c r="V120" s="6"/>
      <c r="W120" s="296">
        <v>492262</v>
      </c>
      <c r="X120" s="6"/>
      <c r="Y120" s="44">
        <v>8.4000000000000005E-2</v>
      </c>
      <c r="Z120" s="6"/>
      <c r="AA120" s="297">
        <f t="shared" ref="AA120:AA137" si="7">+W119-W120</f>
        <v>10594</v>
      </c>
      <c r="AB120" s="6"/>
      <c r="AC120" s="301"/>
      <c r="AD120" s="294"/>
    </row>
    <row r="121" spans="15:30" hidden="1" outlineLevel="1" x14ac:dyDescent="0.3">
      <c r="O121" s="110"/>
      <c r="T121" s="293"/>
      <c r="U121" s="295">
        <f t="shared" si="3"/>
        <v>44066</v>
      </c>
      <c r="V121" s="6"/>
      <c r="W121" s="296">
        <v>469594</v>
      </c>
      <c r="X121" s="6"/>
      <c r="Y121" s="44">
        <f>+L$36</f>
        <v>0.10474446117876728</v>
      </c>
      <c r="Z121" s="6"/>
      <c r="AA121" s="297">
        <f t="shared" si="7"/>
        <v>22668</v>
      </c>
      <c r="AB121" s="6"/>
      <c r="AC121" s="301"/>
      <c r="AD121" s="294"/>
    </row>
    <row r="122" spans="15:30" hidden="1" outlineLevel="1" x14ac:dyDescent="0.3">
      <c r="O122" s="110"/>
      <c r="T122" s="293"/>
      <c r="U122" s="295">
        <f t="shared" si="3"/>
        <v>44067</v>
      </c>
      <c r="V122" s="6"/>
      <c r="W122" s="296">
        <v>450302</v>
      </c>
      <c r="X122" s="6"/>
      <c r="Y122" s="44">
        <v>7.5999999999999998E-2</v>
      </c>
      <c r="Z122" s="6"/>
      <c r="AA122" s="297">
        <f t="shared" si="7"/>
        <v>19292</v>
      </c>
      <c r="AB122" s="6"/>
      <c r="AC122" s="301"/>
      <c r="AD122" s="294"/>
    </row>
    <row r="123" spans="15:30" hidden="1" outlineLevel="1" x14ac:dyDescent="0.3">
      <c r="O123" s="110"/>
      <c r="T123" s="293"/>
      <c r="U123" s="295">
        <f t="shared" si="3"/>
        <v>44068</v>
      </c>
      <c r="V123" s="6"/>
      <c r="W123" s="296">
        <v>436862</v>
      </c>
      <c r="X123" s="6"/>
      <c r="Y123" s="44">
        <v>7.2999999999999995E-2</v>
      </c>
      <c r="Z123" s="6"/>
      <c r="AA123" s="297">
        <f t="shared" si="7"/>
        <v>13440</v>
      </c>
      <c r="AB123" s="6"/>
      <c r="AC123" s="301"/>
      <c r="AD123" s="294"/>
    </row>
    <row r="124" spans="15:30" hidden="1" outlineLevel="1" x14ac:dyDescent="0.3">
      <c r="O124" s="110"/>
      <c r="T124" s="293"/>
      <c r="U124" s="295">
        <f t="shared" si="3"/>
        <v>44069</v>
      </c>
      <c r="V124" s="6"/>
      <c r="W124" s="296">
        <v>444656</v>
      </c>
      <c r="X124" s="6"/>
      <c r="Y124" s="44">
        <v>7.3999999999999996E-2</v>
      </c>
      <c r="Z124" s="6"/>
      <c r="AA124" s="297">
        <f t="shared" si="7"/>
        <v>-7794</v>
      </c>
      <c r="AB124" s="6"/>
      <c r="AC124" s="301"/>
      <c r="AD124" s="294"/>
    </row>
    <row r="125" spans="15:30" hidden="1" outlineLevel="1" x14ac:dyDescent="0.3">
      <c r="O125" s="110"/>
      <c r="T125" s="293"/>
      <c r="U125" s="295">
        <f t="shared" si="3"/>
        <v>44070</v>
      </c>
      <c r="V125" s="6"/>
      <c r="W125" s="296">
        <v>449813</v>
      </c>
      <c r="X125" s="6"/>
      <c r="Y125" s="44">
        <v>7.3999999999999996E-2</v>
      </c>
      <c r="Z125" s="6"/>
      <c r="AA125" s="297">
        <f t="shared" si="7"/>
        <v>-5157</v>
      </c>
      <c r="AB125" s="6"/>
      <c r="AC125" s="301"/>
      <c r="AD125" s="294"/>
    </row>
    <row r="126" spans="15:30" hidden="1" outlineLevel="1" x14ac:dyDescent="0.3">
      <c r="O126" s="110"/>
      <c r="T126" s="293"/>
      <c r="U126" s="295">
        <f t="shared" si="3"/>
        <v>44071</v>
      </c>
      <c r="V126" s="6"/>
      <c r="W126" s="296">
        <v>455415</v>
      </c>
      <c r="X126" s="6"/>
      <c r="Y126" s="44">
        <v>7.4999999999999997E-2</v>
      </c>
      <c r="Z126" s="6"/>
      <c r="AA126" s="297">
        <f t="shared" si="7"/>
        <v>-5602</v>
      </c>
      <c r="AB126" s="6"/>
      <c r="AC126" s="301"/>
      <c r="AD126" s="294"/>
    </row>
    <row r="127" spans="15:30" hidden="1" outlineLevel="1" x14ac:dyDescent="0.3">
      <c r="O127" s="110"/>
      <c r="T127" s="293"/>
      <c r="U127" s="295">
        <f t="shared" si="3"/>
        <v>44072</v>
      </c>
      <c r="V127" s="6"/>
      <c r="W127" s="296">
        <v>452896</v>
      </c>
      <c r="X127" s="6"/>
      <c r="Y127" s="44">
        <v>7.3999999999999996E-2</v>
      </c>
      <c r="Z127" s="6"/>
      <c r="AA127" s="297">
        <f t="shared" si="7"/>
        <v>2519</v>
      </c>
      <c r="AB127" s="6"/>
      <c r="AC127" s="301"/>
      <c r="AD127" s="294"/>
    </row>
    <row r="128" spans="15:30" hidden="1" outlineLevel="1" x14ac:dyDescent="0.3">
      <c r="O128" s="110"/>
      <c r="T128" s="293"/>
      <c r="U128" s="295">
        <f t="shared" si="3"/>
        <v>44073</v>
      </c>
      <c r="V128" s="6"/>
      <c r="W128" s="296">
        <v>441491</v>
      </c>
      <c r="X128" s="6"/>
      <c r="Y128" s="44">
        <v>7.1999999999999995E-2</v>
      </c>
      <c r="Z128" s="6"/>
      <c r="AA128" s="297">
        <f t="shared" si="7"/>
        <v>11405</v>
      </c>
      <c r="AB128" s="6"/>
      <c r="AC128" s="301"/>
      <c r="AD128" s="294"/>
    </row>
    <row r="129" spans="15:30" hidden="1" outlineLevel="1" x14ac:dyDescent="0.3">
      <c r="O129" s="110"/>
      <c r="T129" s="293"/>
      <c r="U129" s="295">
        <f t="shared" si="3"/>
        <v>44074</v>
      </c>
      <c r="V129" s="6"/>
      <c r="W129" s="296">
        <v>429438</v>
      </c>
      <c r="X129" s="6"/>
      <c r="Y129" s="44">
        <v>6.9000000000000006E-2</v>
      </c>
      <c r="Z129" s="6"/>
      <c r="AA129" s="297">
        <f t="shared" si="7"/>
        <v>12053</v>
      </c>
      <c r="AB129" s="6"/>
      <c r="AC129" s="301"/>
      <c r="AD129" s="294"/>
    </row>
    <row r="130" spans="15:30" hidden="1" outlineLevel="1" x14ac:dyDescent="0.3">
      <c r="O130" s="110"/>
      <c r="T130" s="293"/>
      <c r="U130" s="295">
        <f t="shared" si="3"/>
        <v>44075</v>
      </c>
      <c r="V130" s="6"/>
      <c r="W130" s="296">
        <v>427588</v>
      </c>
      <c r="X130" s="6"/>
      <c r="Y130" s="44">
        <v>6.8000000000000005E-2</v>
      </c>
      <c r="Z130" s="6"/>
      <c r="AA130" s="297">
        <f t="shared" si="7"/>
        <v>1850</v>
      </c>
      <c r="AB130" s="6"/>
      <c r="AC130" s="301"/>
      <c r="AD130" s="294"/>
    </row>
    <row r="131" spans="15:30" hidden="1" outlineLevel="1" x14ac:dyDescent="0.3">
      <c r="O131" s="110"/>
      <c r="T131" s="293"/>
      <c r="U131" s="295">
        <f t="shared" si="3"/>
        <v>44076</v>
      </c>
      <c r="V131" s="6"/>
      <c r="W131" s="296">
        <v>435318</v>
      </c>
      <c r="X131" s="6"/>
      <c r="Y131" s="44">
        <v>6.9000000000000006E-2</v>
      </c>
      <c r="Z131" s="6"/>
      <c r="AA131" s="297">
        <f t="shared" si="7"/>
        <v>-7730</v>
      </c>
      <c r="AB131" s="6"/>
      <c r="AC131" s="301"/>
      <c r="AD131" s="294"/>
    </row>
    <row r="132" spans="15:30" hidden="1" outlineLevel="1" x14ac:dyDescent="0.3">
      <c r="O132" s="110"/>
      <c r="T132" s="293"/>
      <c r="U132" s="295">
        <f t="shared" si="3"/>
        <v>44077</v>
      </c>
      <c r="V132" s="6"/>
      <c r="W132" s="296">
        <v>438282</v>
      </c>
      <c r="X132" s="6"/>
      <c r="Y132" s="44">
        <v>6.9000000000000006E-2</v>
      </c>
      <c r="Z132" s="6"/>
      <c r="AA132" s="297">
        <f t="shared" si="7"/>
        <v>-2964</v>
      </c>
      <c r="AB132" s="6"/>
      <c r="AC132" s="301"/>
      <c r="AD132" s="294"/>
    </row>
    <row r="133" spans="15:30" hidden="1" outlineLevel="1" x14ac:dyDescent="0.3">
      <c r="O133" s="110"/>
      <c r="T133" s="293"/>
      <c r="U133" s="295">
        <f t="shared" si="3"/>
        <v>44078</v>
      </c>
      <c r="V133" s="6"/>
      <c r="W133" s="296">
        <v>451057</v>
      </c>
      <c r="X133" s="6"/>
      <c r="Y133" s="44">
        <v>7.0999999999999994E-2</v>
      </c>
      <c r="Z133" s="6"/>
      <c r="AA133" s="297">
        <f t="shared" si="7"/>
        <v>-12775</v>
      </c>
      <c r="AB133" s="6"/>
      <c r="AC133" s="301"/>
      <c r="AD133" s="294"/>
    </row>
    <row r="134" spans="15:30" hidden="1" outlineLevel="1" x14ac:dyDescent="0.3">
      <c r="O134" s="110"/>
      <c r="T134" s="293"/>
      <c r="U134" s="295">
        <f t="shared" si="3"/>
        <v>44079</v>
      </c>
      <c r="V134" s="6"/>
      <c r="W134" s="296">
        <v>448392</v>
      </c>
      <c r="X134" s="6"/>
      <c r="Y134" s="44">
        <v>7.0000000000000007E-2</v>
      </c>
      <c r="Z134" s="6"/>
      <c r="AA134" s="297">
        <f t="shared" si="7"/>
        <v>2665</v>
      </c>
      <c r="AB134" s="6"/>
      <c r="AC134" s="301"/>
      <c r="AD134" s="294"/>
    </row>
    <row r="135" spans="15:30" hidden="1" outlineLevel="1" x14ac:dyDescent="0.3">
      <c r="O135" s="110"/>
      <c r="T135" s="293"/>
      <c r="U135" s="295">
        <f t="shared" si="3"/>
        <v>44080</v>
      </c>
      <c r="V135" s="6"/>
      <c r="W135" s="296">
        <v>433235</v>
      </c>
      <c r="X135" s="6"/>
      <c r="Y135" s="44">
        <v>6.7000000000000004E-2</v>
      </c>
      <c r="Z135" s="6"/>
      <c r="AA135" s="297">
        <f t="shared" si="7"/>
        <v>15157</v>
      </c>
      <c r="AB135" s="6"/>
      <c r="AC135" s="301"/>
      <c r="AD135" s="294"/>
    </row>
    <row r="136" spans="15:30" hidden="1" outlineLevel="1" x14ac:dyDescent="0.3">
      <c r="O136" s="110"/>
      <c r="T136" s="293"/>
      <c r="U136" s="295">
        <f t="shared" si="3"/>
        <v>44081</v>
      </c>
      <c r="V136" s="6"/>
      <c r="W136" s="296">
        <v>408867</v>
      </c>
      <c r="X136" s="6"/>
      <c r="Y136" s="44">
        <v>6.3E-2</v>
      </c>
      <c r="Z136" s="6"/>
      <c r="AA136" s="297">
        <f t="shared" si="7"/>
        <v>24368</v>
      </c>
      <c r="AB136" s="6"/>
      <c r="AC136" s="301"/>
      <c r="AD136" s="294"/>
    </row>
    <row r="137" spans="15:30" hidden="1" outlineLevel="1" x14ac:dyDescent="0.3">
      <c r="O137" s="110"/>
      <c r="T137" s="293"/>
      <c r="U137" s="295">
        <f t="shared" si="3"/>
        <v>44082</v>
      </c>
      <c r="V137" s="6"/>
      <c r="W137" s="296">
        <v>394768</v>
      </c>
      <c r="X137" s="6"/>
      <c r="Y137" s="44">
        <v>6.0999999999999999E-2</v>
      </c>
      <c r="Z137" s="6"/>
      <c r="AA137" s="297">
        <f t="shared" si="7"/>
        <v>14099</v>
      </c>
      <c r="AB137" s="6"/>
      <c r="AC137" s="301"/>
      <c r="AD137" s="294"/>
    </row>
    <row r="138" spans="15:30" hidden="1" outlineLevel="1" x14ac:dyDescent="0.3">
      <c r="O138" s="110"/>
      <c r="T138" s="293"/>
      <c r="U138" s="295">
        <f t="shared" si="3"/>
        <v>44083</v>
      </c>
      <c r="V138" s="6"/>
      <c r="W138" s="296">
        <v>396020</v>
      </c>
      <c r="X138" s="6"/>
      <c r="Y138" s="44">
        <v>0.06</v>
      </c>
      <c r="Z138" s="6"/>
      <c r="AA138" s="297">
        <f t="shared" ref="AA138:AA167" si="8">+W137-W138</f>
        <v>-1252</v>
      </c>
      <c r="AB138" s="6"/>
      <c r="AC138" s="301"/>
      <c r="AD138" s="294"/>
    </row>
    <row r="139" spans="15:30" hidden="1" outlineLevel="1" x14ac:dyDescent="0.3">
      <c r="O139" s="110"/>
      <c r="T139" s="293"/>
      <c r="U139" s="295">
        <f t="shared" si="3"/>
        <v>44084</v>
      </c>
      <c r="V139" s="6"/>
      <c r="W139" s="296">
        <v>397124</v>
      </c>
      <c r="X139" s="6"/>
      <c r="Y139" s="44">
        <v>0.06</v>
      </c>
      <c r="Z139" s="6"/>
      <c r="AA139" s="297">
        <f t="shared" si="8"/>
        <v>-1104</v>
      </c>
      <c r="AB139" s="6"/>
      <c r="AC139" s="301"/>
      <c r="AD139" s="294"/>
    </row>
    <row r="140" spans="15:30" hidden="1" outlineLevel="1" x14ac:dyDescent="0.3">
      <c r="O140" s="110"/>
      <c r="T140" s="293"/>
      <c r="U140" s="295">
        <f t="shared" si="3"/>
        <v>44085</v>
      </c>
      <c r="V140" s="6"/>
      <c r="W140" s="296">
        <v>401586</v>
      </c>
      <c r="X140" s="6"/>
      <c r="Y140" s="44">
        <v>6.0999999999999999E-2</v>
      </c>
      <c r="Z140" s="6"/>
      <c r="AA140" s="297">
        <f t="shared" si="8"/>
        <v>-4462</v>
      </c>
      <c r="AB140" s="6"/>
      <c r="AC140" s="301"/>
      <c r="AD140" s="294"/>
    </row>
    <row r="141" spans="15:30" hidden="1" outlineLevel="1" x14ac:dyDescent="0.3">
      <c r="O141" s="110"/>
      <c r="T141" s="293"/>
      <c r="U141" s="295">
        <f t="shared" si="3"/>
        <v>44086</v>
      </c>
      <c r="V141" s="6"/>
      <c r="W141" s="296">
        <v>399676</v>
      </c>
      <c r="X141" s="6"/>
      <c r="Y141" s="44">
        <v>0.06</v>
      </c>
      <c r="Z141" s="6"/>
      <c r="AA141" s="297">
        <f t="shared" si="8"/>
        <v>1910</v>
      </c>
      <c r="AB141" s="6"/>
      <c r="AC141" s="301"/>
      <c r="AD141" s="294"/>
    </row>
    <row r="142" spans="15:30" hidden="1" outlineLevel="1" x14ac:dyDescent="0.3">
      <c r="O142" s="110"/>
      <c r="T142" s="293"/>
      <c r="U142" s="295">
        <f t="shared" si="3"/>
        <v>44087</v>
      </c>
      <c r="V142" s="6"/>
      <c r="W142" s="296">
        <v>385816</v>
      </c>
      <c r="X142" s="6"/>
      <c r="Y142" s="44">
        <v>5.8000000000000003E-2</v>
      </c>
      <c r="Z142" s="6"/>
      <c r="AA142" s="297">
        <f t="shared" si="8"/>
        <v>13860</v>
      </c>
      <c r="AB142" s="6"/>
      <c r="AC142" s="301"/>
      <c r="AD142" s="294"/>
    </row>
    <row r="143" spans="15:30" hidden="1" outlineLevel="1" x14ac:dyDescent="0.3">
      <c r="O143" s="110"/>
      <c r="T143" s="293"/>
      <c r="U143" s="295">
        <f t="shared" si="3"/>
        <v>44088</v>
      </c>
      <c r="V143" s="6"/>
      <c r="W143" s="296">
        <v>371030</v>
      </c>
      <c r="X143" s="6"/>
      <c r="Y143" s="44">
        <v>5.5E-2</v>
      </c>
      <c r="Z143" s="6"/>
      <c r="AA143" s="297">
        <f t="shared" si="8"/>
        <v>14786</v>
      </c>
      <c r="AB143" s="6"/>
      <c r="AC143" s="301"/>
      <c r="AD143" s="294"/>
    </row>
    <row r="144" spans="15:30" hidden="1" outlineLevel="1" x14ac:dyDescent="0.3">
      <c r="O144" s="110"/>
      <c r="T144" s="293"/>
      <c r="U144" s="295">
        <f t="shared" si="3"/>
        <v>44089</v>
      </c>
      <c r="V144" s="6"/>
      <c r="W144" s="296">
        <v>365385</v>
      </c>
      <c r="X144" s="6"/>
      <c r="Y144" s="44">
        <v>5.3999999999999999E-2</v>
      </c>
      <c r="Z144" s="6"/>
      <c r="AA144" s="297">
        <f t="shared" si="8"/>
        <v>5645</v>
      </c>
      <c r="AB144" s="6"/>
      <c r="AC144" s="301"/>
      <c r="AD144" s="294"/>
    </row>
    <row r="145" spans="15:30" hidden="1" outlineLevel="1" x14ac:dyDescent="0.3">
      <c r="O145" s="110"/>
      <c r="T145" s="293"/>
      <c r="U145" s="295">
        <f t="shared" si="3"/>
        <v>44090</v>
      </c>
      <c r="V145" s="6"/>
      <c r="W145" s="296">
        <v>374482</v>
      </c>
      <c r="X145" s="6"/>
      <c r="Y145" s="44">
        <v>5.5E-2</v>
      </c>
      <c r="Z145" s="6"/>
      <c r="AA145" s="297">
        <f t="shared" si="8"/>
        <v>-9097</v>
      </c>
      <c r="AB145" s="6"/>
      <c r="AC145" s="301"/>
      <c r="AD145" s="294"/>
    </row>
    <row r="146" spans="15:30" hidden="1" outlineLevel="1" x14ac:dyDescent="0.3">
      <c r="O146" s="110"/>
      <c r="T146" s="293"/>
      <c r="U146" s="295">
        <f t="shared" si="3"/>
        <v>44091</v>
      </c>
      <c r="V146" s="6"/>
      <c r="W146" s="296">
        <v>395427</v>
      </c>
      <c r="X146" s="6"/>
      <c r="Y146" s="44">
        <v>5.8000000000000003E-2</v>
      </c>
      <c r="Z146" s="6"/>
      <c r="AA146" s="297">
        <f t="shared" si="8"/>
        <v>-20945</v>
      </c>
      <c r="AB146" s="6"/>
      <c r="AC146" s="301"/>
      <c r="AD146" s="294"/>
    </row>
    <row r="147" spans="15:30" hidden="1" outlineLevel="1" x14ac:dyDescent="0.3">
      <c r="O147" s="110"/>
      <c r="T147" s="293"/>
      <c r="U147" s="295">
        <f t="shared" si="3"/>
        <v>44092</v>
      </c>
      <c r="V147" s="6"/>
      <c r="W147" s="296">
        <v>418285</v>
      </c>
      <c r="X147" s="6"/>
      <c r="Y147" s="44">
        <v>0.06</v>
      </c>
      <c r="Z147" s="6"/>
      <c r="AA147" s="297">
        <f t="shared" si="8"/>
        <v>-22858</v>
      </c>
      <c r="AB147" s="6"/>
      <c r="AC147" s="301"/>
      <c r="AD147" s="294"/>
    </row>
    <row r="148" spans="15:30" hidden="1" outlineLevel="1" x14ac:dyDescent="0.3">
      <c r="O148" s="110"/>
      <c r="T148" s="293"/>
      <c r="U148" s="295">
        <f t="shared" si="3"/>
        <v>44093</v>
      </c>
      <c r="V148" s="6"/>
      <c r="W148" s="296">
        <v>425480</v>
      </c>
      <c r="X148" s="6"/>
      <c r="Y148" s="44">
        <v>6.0999999999999999E-2</v>
      </c>
      <c r="Z148" s="6"/>
      <c r="AA148" s="297">
        <f t="shared" si="8"/>
        <v>-7195</v>
      </c>
      <c r="AB148" s="6"/>
      <c r="AC148" s="301"/>
      <c r="AD148" s="294"/>
    </row>
    <row r="149" spans="15:30" hidden="1" outlineLevel="1" x14ac:dyDescent="0.3">
      <c r="O149" s="110"/>
      <c r="T149" s="293"/>
      <c r="U149" s="295">
        <f t="shared" si="3"/>
        <v>44094</v>
      </c>
      <c r="V149" s="6"/>
      <c r="W149" s="296">
        <v>425416</v>
      </c>
      <c r="X149" s="6"/>
      <c r="Y149" s="44">
        <v>6.0999999999999999E-2</v>
      </c>
      <c r="Z149" s="6"/>
      <c r="AA149" s="297">
        <f t="shared" si="8"/>
        <v>64</v>
      </c>
      <c r="AB149" s="6"/>
      <c r="AC149" s="301"/>
      <c r="AD149" s="294"/>
    </row>
    <row r="150" spans="15:30" hidden="1" outlineLevel="1" x14ac:dyDescent="0.3">
      <c r="O150" s="110"/>
      <c r="T150" s="293"/>
      <c r="U150" s="295">
        <f t="shared" si="3"/>
        <v>44095</v>
      </c>
      <c r="V150" s="6"/>
      <c r="W150" s="296">
        <v>409742</v>
      </c>
      <c r="X150" s="6"/>
      <c r="Y150" s="44">
        <v>5.8000000000000003E-2</v>
      </c>
      <c r="Z150" s="6"/>
      <c r="AA150" s="297">
        <f t="shared" si="8"/>
        <v>15674</v>
      </c>
      <c r="AB150" s="6"/>
      <c r="AC150" s="301"/>
      <c r="AD150" s="294"/>
    </row>
    <row r="151" spans="15:30" hidden="1" outlineLevel="1" x14ac:dyDescent="0.3">
      <c r="O151" s="110"/>
      <c r="T151" s="293"/>
      <c r="U151" s="295">
        <f t="shared" si="3"/>
        <v>44096</v>
      </c>
      <c r="V151" s="6"/>
      <c r="W151" s="296">
        <v>406156</v>
      </c>
      <c r="X151" s="6"/>
      <c r="Y151" s="44">
        <v>5.7000000000000002E-2</v>
      </c>
      <c r="Z151" s="6"/>
      <c r="AA151" s="297">
        <f t="shared" si="8"/>
        <v>3586</v>
      </c>
      <c r="AB151" s="6"/>
      <c r="AC151" s="301"/>
      <c r="AD151" s="294"/>
    </row>
    <row r="152" spans="15:30" hidden="1" outlineLevel="1" x14ac:dyDescent="0.3">
      <c r="O152" s="110"/>
      <c r="T152" s="293"/>
      <c r="U152" s="295">
        <f t="shared" si="3"/>
        <v>44097</v>
      </c>
      <c r="V152" s="6"/>
      <c r="W152" s="296">
        <v>406201</v>
      </c>
      <c r="X152" s="6"/>
      <c r="Y152" s="44">
        <v>5.7000000000000002E-2</v>
      </c>
      <c r="Z152" s="6"/>
      <c r="AA152" s="297">
        <f t="shared" si="8"/>
        <v>-45</v>
      </c>
      <c r="AB152" s="6"/>
      <c r="AC152" s="301"/>
      <c r="AD152" s="294"/>
    </row>
    <row r="153" spans="15:30" hidden="1" outlineLevel="1" x14ac:dyDescent="0.3">
      <c r="O153" s="110"/>
      <c r="T153" s="293"/>
      <c r="U153" s="295">
        <f t="shared" si="3"/>
        <v>44098</v>
      </c>
      <c r="V153" s="6"/>
      <c r="W153" s="296">
        <v>423290</v>
      </c>
      <c r="X153" s="6"/>
      <c r="Y153" s="44">
        <v>5.8999999999999997E-2</v>
      </c>
      <c r="Z153" s="6"/>
      <c r="AA153" s="297">
        <f t="shared" si="8"/>
        <v>-17089</v>
      </c>
      <c r="AB153" s="6"/>
      <c r="AC153" s="301"/>
      <c r="AD153" s="294"/>
    </row>
    <row r="154" spans="15:30" hidden="1" outlineLevel="1" x14ac:dyDescent="0.3">
      <c r="O154" s="110"/>
      <c r="T154" s="293"/>
      <c r="U154" s="295">
        <f t="shared" si="3"/>
        <v>44099</v>
      </c>
      <c r="V154" s="6"/>
      <c r="W154" s="296">
        <v>442034</v>
      </c>
      <c r="X154" s="6"/>
      <c r="Y154" s="44">
        <v>6.0999999999999999E-2</v>
      </c>
      <c r="Z154" s="6"/>
      <c r="AA154" s="297">
        <f t="shared" si="8"/>
        <v>-18744</v>
      </c>
      <c r="AB154" s="6"/>
      <c r="AC154" s="301"/>
      <c r="AD154" s="294"/>
    </row>
    <row r="155" spans="15:30" hidden="1" outlineLevel="1" x14ac:dyDescent="0.3">
      <c r="O155" s="110"/>
      <c r="T155" s="293"/>
      <c r="U155" s="295">
        <f t="shared" si="3"/>
        <v>44100</v>
      </c>
      <c r="V155" s="6"/>
      <c r="W155" s="296">
        <v>445041</v>
      </c>
      <c r="X155" s="6"/>
      <c r="Y155" s="44">
        <v>6.0999999999999999E-2</v>
      </c>
      <c r="Z155" s="6"/>
      <c r="AA155" s="297">
        <f t="shared" si="8"/>
        <v>-3007</v>
      </c>
      <c r="AB155" s="6"/>
      <c r="AC155" s="301"/>
      <c r="AD155" s="294"/>
    </row>
    <row r="156" spans="15:30" hidden="1" outlineLevel="1" x14ac:dyDescent="0.3">
      <c r="O156" s="110"/>
      <c r="T156" s="293"/>
      <c r="U156" s="295">
        <f t="shared" si="3"/>
        <v>44101</v>
      </c>
      <c r="V156" s="6"/>
      <c r="W156" s="296">
        <v>432562</v>
      </c>
      <c r="X156" s="6"/>
      <c r="Y156" s="44">
        <v>5.8999999999999997E-2</v>
      </c>
      <c r="Z156" s="6"/>
      <c r="AA156" s="297">
        <f t="shared" si="8"/>
        <v>12479</v>
      </c>
      <c r="AB156" s="6"/>
      <c r="AC156" s="301"/>
      <c r="AD156" s="294"/>
    </row>
    <row r="157" spans="15:30" hidden="1" outlineLevel="1" x14ac:dyDescent="0.3">
      <c r="O157" s="110"/>
      <c r="T157" s="293"/>
      <c r="U157" s="295">
        <f t="shared" si="3"/>
        <v>44102</v>
      </c>
      <c r="V157" s="6"/>
      <c r="W157" s="296">
        <v>418570</v>
      </c>
      <c r="X157" s="6"/>
      <c r="Y157" s="44">
        <v>5.7000000000000002E-2</v>
      </c>
      <c r="Z157" s="6"/>
      <c r="AA157" s="297">
        <f t="shared" si="8"/>
        <v>13992</v>
      </c>
      <c r="AB157" s="6"/>
      <c r="AC157" s="301"/>
      <c r="AD157" s="294"/>
    </row>
    <row r="158" spans="15:30" hidden="1" outlineLevel="1" x14ac:dyDescent="0.3">
      <c r="O158" s="110"/>
      <c r="T158" s="293"/>
      <c r="U158" s="295">
        <f t="shared" si="3"/>
        <v>44103</v>
      </c>
      <c r="V158" s="6"/>
      <c r="W158" s="296">
        <v>419325</v>
      </c>
      <c r="X158" s="6"/>
      <c r="Y158" s="44">
        <v>5.7000000000000002E-2</v>
      </c>
      <c r="Z158" s="6"/>
      <c r="AA158" s="297">
        <f t="shared" si="8"/>
        <v>-755</v>
      </c>
      <c r="AB158" s="6"/>
      <c r="AC158" s="301"/>
      <c r="AD158" s="294"/>
    </row>
    <row r="159" spans="15:30" hidden="1" outlineLevel="1" x14ac:dyDescent="0.3">
      <c r="O159" s="110"/>
      <c r="T159" s="293"/>
      <c r="U159" s="295">
        <f t="shared" si="3"/>
        <v>44104</v>
      </c>
      <c r="V159" s="6"/>
      <c r="W159" s="296">
        <v>426855</v>
      </c>
      <c r="X159" s="6"/>
      <c r="Y159" s="44">
        <v>5.7000000000000002E-2</v>
      </c>
      <c r="Z159" s="6"/>
      <c r="AA159" s="297">
        <f t="shared" si="8"/>
        <v>-7530</v>
      </c>
      <c r="AB159" s="6"/>
      <c r="AC159" s="301"/>
      <c r="AD159" s="294"/>
    </row>
    <row r="160" spans="15:30" hidden="1" outlineLevel="1" x14ac:dyDescent="0.3">
      <c r="O160" s="110"/>
      <c r="T160" s="293"/>
      <c r="U160" s="295">
        <f t="shared" si="3"/>
        <v>44105</v>
      </c>
      <c r="V160" s="6"/>
      <c r="W160" s="296">
        <v>437437</v>
      </c>
      <c r="X160" s="6"/>
      <c r="Y160" s="44">
        <v>5.8000000000000003E-2</v>
      </c>
      <c r="Z160" s="6"/>
      <c r="AA160" s="297">
        <f t="shared" si="8"/>
        <v>-10582</v>
      </c>
      <c r="AB160" s="6"/>
      <c r="AC160" s="301"/>
      <c r="AD160" s="294"/>
    </row>
    <row r="161" spans="15:30" hidden="1" outlineLevel="1" x14ac:dyDescent="0.3">
      <c r="O161" s="110"/>
      <c r="T161" s="293"/>
      <c r="U161" s="295">
        <f t="shared" si="3"/>
        <v>44106</v>
      </c>
      <c r="V161" s="6"/>
      <c r="W161" s="296">
        <v>453144</v>
      </c>
      <c r="X161" s="6"/>
      <c r="Y161" s="44">
        <v>0.06</v>
      </c>
      <c r="Z161" s="6"/>
      <c r="AA161" s="297">
        <f t="shared" si="8"/>
        <v>-15707</v>
      </c>
      <c r="AB161" s="6"/>
      <c r="AC161" s="301"/>
      <c r="AD161" s="294"/>
    </row>
    <row r="162" spans="15:30" hidden="1" outlineLevel="1" x14ac:dyDescent="0.3">
      <c r="O162" s="110"/>
      <c r="T162" s="293"/>
      <c r="U162" s="295">
        <f t="shared" si="3"/>
        <v>44107</v>
      </c>
      <c r="V162" s="6"/>
      <c r="W162" s="296">
        <v>460453</v>
      </c>
      <c r="X162" s="6"/>
      <c r="Y162" s="44">
        <v>6.0999999999999999E-2</v>
      </c>
      <c r="Z162" s="6"/>
      <c r="AA162" s="297">
        <f t="shared" si="8"/>
        <v>-7309</v>
      </c>
      <c r="AB162" s="6"/>
      <c r="AC162" s="301"/>
      <c r="AD162" s="294"/>
    </row>
    <row r="163" spans="15:30" hidden="1" outlineLevel="1" x14ac:dyDescent="0.3">
      <c r="O163" s="110"/>
      <c r="T163" s="293"/>
      <c r="U163" s="295">
        <f t="shared" si="3"/>
        <v>44108</v>
      </c>
      <c r="V163" s="6"/>
      <c r="W163" s="296">
        <v>449172</v>
      </c>
      <c r="X163" s="6"/>
      <c r="Y163" s="44">
        <v>5.8999999999999997E-2</v>
      </c>
      <c r="Z163" s="6"/>
      <c r="AA163" s="297">
        <f t="shared" si="8"/>
        <v>11281</v>
      </c>
      <c r="AB163" s="6"/>
      <c r="AC163" s="301"/>
      <c r="AD163" s="294"/>
    </row>
    <row r="164" spans="15:30" hidden="1" outlineLevel="1" x14ac:dyDescent="0.3">
      <c r="O164" s="110"/>
      <c r="T164" s="293"/>
      <c r="U164" s="295">
        <f t="shared" si="3"/>
        <v>44109</v>
      </c>
      <c r="V164" s="6"/>
      <c r="W164" s="296">
        <v>433260</v>
      </c>
      <c r="X164" s="6"/>
      <c r="Y164" s="44">
        <v>5.7000000000000002E-2</v>
      </c>
      <c r="Z164" s="6"/>
      <c r="AA164" s="297">
        <f t="shared" si="8"/>
        <v>15912</v>
      </c>
      <c r="AB164" s="6"/>
      <c r="AC164" s="301"/>
      <c r="AD164" s="294"/>
    </row>
    <row r="165" spans="15:30" hidden="1" outlineLevel="1" x14ac:dyDescent="0.3">
      <c r="O165" s="110"/>
      <c r="T165" s="293"/>
      <c r="U165" s="295">
        <f t="shared" si="3"/>
        <v>44110</v>
      </c>
      <c r="V165" s="6"/>
      <c r="W165" s="296">
        <v>434017</v>
      </c>
      <c r="X165" s="6"/>
      <c r="Y165" s="44">
        <v>5.6000000000000001E-2</v>
      </c>
      <c r="Z165" s="6"/>
      <c r="AA165" s="297">
        <f t="shared" si="8"/>
        <v>-757</v>
      </c>
      <c r="AB165" s="6"/>
      <c r="AC165" s="301"/>
      <c r="AD165" s="294"/>
    </row>
    <row r="166" spans="15:30" hidden="1" outlineLevel="1" x14ac:dyDescent="0.3">
      <c r="O166" s="110"/>
      <c r="T166" s="293"/>
      <c r="U166" s="295">
        <f t="shared" si="3"/>
        <v>44111</v>
      </c>
      <c r="V166" s="6"/>
      <c r="W166" s="296">
        <v>448950</v>
      </c>
      <c r="X166" s="6"/>
      <c r="Y166" s="44">
        <v>5.8000000000000003E-2</v>
      </c>
      <c r="Z166" s="6"/>
      <c r="AA166" s="297">
        <f t="shared" si="8"/>
        <v>-14933</v>
      </c>
      <c r="AB166" s="6"/>
      <c r="AC166" s="301"/>
      <c r="AD166" s="294"/>
    </row>
    <row r="167" spans="15:30" hidden="1" outlineLevel="1" x14ac:dyDescent="0.3">
      <c r="O167" s="110"/>
      <c r="T167" s="293"/>
      <c r="U167" s="295">
        <f t="shared" si="3"/>
        <v>44112</v>
      </c>
      <c r="V167" s="6"/>
      <c r="W167" s="296">
        <v>468336</v>
      </c>
      <c r="X167" s="6"/>
      <c r="Y167" s="44">
        <v>0.06</v>
      </c>
      <c r="Z167" s="6"/>
      <c r="AA167" s="297">
        <f t="shared" si="8"/>
        <v>-19386</v>
      </c>
      <c r="AB167" s="6"/>
      <c r="AC167" s="301"/>
      <c r="AD167" s="294"/>
    </row>
    <row r="168" spans="15:30" hidden="1" outlineLevel="1" x14ac:dyDescent="0.3">
      <c r="O168" s="110"/>
      <c r="T168" s="293"/>
      <c r="U168" s="295">
        <f t="shared" si="3"/>
        <v>44113</v>
      </c>
      <c r="V168" s="6"/>
      <c r="W168" s="296">
        <v>484791</v>
      </c>
      <c r="X168" s="6"/>
      <c r="Y168" s="44">
        <v>6.2E-2</v>
      </c>
      <c r="Z168" s="6"/>
      <c r="AA168" s="297">
        <f t="shared" ref="AA168:AA177" si="9">+W167-W168</f>
        <v>-16455</v>
      </c>
      <c r="AB168" s="6"/>
      <c r="AC168" s="301"/>
      <c r="AD168" s="294"/>
    </row>
    <row r="169" spans="15:30" hidden="1" outlineLevel="1" x14ac:dyDescent="0.3">
      <c r="O169" s="110"/>
      <c r="T169" s="293"/>
      <c r="U169" s="295">
        <f t="shared" si="3"/>
        <v>44114</v>
      </c>
      <c r="V169" s="6"/>
      <c r="W169" s="296">
        <v>494681</v>
      </c>
      <c r="X169" s="6"/>
      <c r="Y169" s="44">
        <v>6.2E-2</v>
      </c>
      <c r="Z169" s="6"/>
      <c r="AA169" s="297">
        <f t="shared" si="9"/>
        <v>-9890</v>
      </c>
      <c r="AB169" s="6"/>
      <c r="AC169" s="301"/>
      <c r="AD169" s="294"/>
    </row>
    <row r="170" spans="15:30" hidden="1" outlineLevel="1" x14ac:dyDescent="0.3">
      <c r="O170" s="110"/>
      <c r="T170" s="293"/>
      <c r="U170" s="295">
        <f t="shared" si="3"/>
        <v>44115</v>
      </c>
      <c r="V170" s="6"/>
      <c r="W170" s="296">
        <v>489248</v>
      </c>
      <c r="X170" s="6"/>
      <c r="Y170" s="44">
        <v>6.0999999999999999E-2</v>
      </c>
      <c r="Z170" s="6"/>
      <c r="AA170" s="297">
        <f t="shared" si="9"/>
        <v>5433</v>
      </c>
      <c r="AB170" s="6"/>
      <c r="AC170" s="301"/>
      <c r="AD170" s="294"/>
    </row>
    <row r="171" spans="15:30" hidden="1" outlineLevel="1" x14ac:dyDescent="0.3">
      <c r="O171" s="110"/>
      <c r="T171" s="293"/>
      <c r="U171" s="295">
        <f t="shared" si="3"/>
        <v>44116</v>
      </c>
      <c r="V171" s="6"/>
      <c r="W171" s="296">
        <v>489910</v>
      </c>
      <c r="X171" s="6"/>
      <c r="Y171" s="44">
        <v>6.0999999999999999E-2</v>
      </c>
      <c r="Z171" s="6"/>
      <c r="AA171" s="297">
        <f t="shared" si="9"/>
        <v>-662</v>
      </c>
      <c r="AB171" s="6"/>
      <c r="AC171" s="301"/>
      <c r="AD171" s="294"/>
    </row>
    <row r="172" spans="15:30" hidden="1" outlineLevel="1" x14ac:dyDescent="0.3">
      <c r="O172" s="110"/>
      <c r="T172" s="293"/>
      <c r="U172" s="295">
        <f t="shared" si="3"/>
        <v>44117</v>
      </c>
      <c r="V172" s="6"/>
      <c r="W172" s="296">
        <v>492684</v>
      </c>
      <c r="X172" s="6"/>
      <c r="Y172" s="44">
        <v>6.0999999999999999E-2</v>
      </c>
      <c r="Z172" s="6"/>
      <c r="AA172" s="297">
        <f t="shared" si="9"/>
        <v>-2774</v>
      </c>
      <c r="AB172" s="6"/>
      <c r="AC172" s="301"/>
      <c r="AD172" s="294"/>
    </row>
    <row r="173" spans="15:30" hidden="1" outlineLevel="1" x14ac:dyDescent="0.3">
      <c r="O173" s="110"/>
      <c r="T173" s="293"/>
      <c r="U173" s="295">
        <f t="shared" si="3"/>
        <v>44118</v>
      </c>
      <c r="V173" s="6"/>
      <c r="W173" s="296">
        <v>518684</v>
      </c>
      <c r="X173" s="6"/>
      <c r="Y173" s="44">
        <v>6.4000000000000001E-2</v>
      </c>
      <c r="Z173" s="6"/>
      <c r="AA173" s="297">
        <f t="shared" si="9"/>
        <v>-26000</v>
      </c>
      <c r="AB173" s="6"/>
      <c r="AC173" s="301"/>
      <c r="AD173" s="294"/>
    </row>
    <row r="174" spans="15:30" hidden="1" outlineLevel="1" x14ac:dyDescent="0.3">
      <c r="O174" s="110"/>
      <c r="T174" s="293"/>
      <c r="U174" s="295">
        <f t="shared" si="3"/>
        <v>44119</v>
      </c>
      <c r="V174" s="6"/>
      <c r="W174" s="296">
        <v>546914</v>
      </c>
      <c r="X174" s="6"/>
      <c r="Y174" s="44">
        <v>6.7000000000000004E-2</v>
      </c>
      <c r="Z174" s="6"/>
      <c r="AA174" s="297">
        <f t="shared" si="9"/>
        <v>-28230</v>
      </c>
      <c r="AB174" s="6"/>
      <c r="AC174" s="301"/>
      <c r="AD174" s="294"/>
    </row>
    <row r="175" spans="15:30" collapsed="1" x14ac:dyDescent="0.3">
      <c r="O175" s="110"/>
      <c r="T175" s="293"/>
      <c r="U175" s="295">
        <f t="shared" si="3"/>
        <v>44120</v>
      </c>
      <c r="V175" s="6"/>
      <c r="W175" s="296">
        <v>573981</v>
      </c>
      <c r="X175" s="6"/>
      <c r="Y175" s="44">
        <v>6.9000000000000006E-2</v>
      </c>
      <c r="Z175" s="6"/>
      <c r="AA175" s="297">
        <f t="shared" si="9"/>
        <v>-27067</v>
      </c>
      <c r="AB175" s="6"/>
      <c r="AC175" s="301"/>
      <c r="AD175" s="294"/>
    </row>
    <row r="176" spans="15:30" x14ac:dyDescent="0.3">
      <c r="O176" s="110"/>
      <c r="T176" s="293"/>
      <c r="U176" s="295">
        <f t="shared" si="3"/>
        <v>44121</v>
      </c>
      <c r="V176" s="6"/>
      <c r="W176" s="296">
        <v>578954</v>
      </c>
      <c r="X176" s="6"/>
      <c r="Y176" s="44">
        <v>6.9000000000000006E-2</v>
      </c>
      <c r="Z176" s="6"/>
      <c r="AA176" s="297">
        <f t="shared" si="9"/>
        <v>-4973</v>
      </c>
      <c r="AB176" s="6"/>
      <c r="AC176" s="301"/>
      <c r="AD176" s="294"/>
    </row>
    <row r="177" spans="15:30" x14ac:dyDescent="0.3">
      <c r="O177" s="110"/>
      <c r="T177" s="293"/>
      <c r="U177" s="295">
        <f t="shared" si="3"/>
        <v>44122</v>
      </c>
      <c r="V177" s="6"/>
      <c r="W177" s="296">
        <v>566575</v>
      </c>
      <c r="X177" s="6"/>
      <c r="Y177" s="44">
        <v>6.8000000000000005E-2</v>
      </c>
      <c r="Z177" s="6"/>
      <c r="AA177" s="297">
        <f t="shared" si="9"/>
        <v>12379</v>
      </c>
      <c r="AB177" s="6"/>
      <c r="AC177" s="301"/>
      <c r="AD177" s="294"/>
    </row>
    <row r="178" spans="15:30" x14ac:dyDescent="0.3">
      <c r="O178" s="110"/>
      <c r="T178" s="293"/>
      <c r="U178" s="295">
        <f t="shared" si="3"/>
        <v>44123</v>
      </c>
      <c r="V178" s="6"/>
      <c r="W178" s="296">
        <v>563005</v>
      </c>
      <c r="X178" s="6"/>
      <c r="Y178" s="44">
        <v>6.7000000000000004E-2</v>
      </c>
      <c r="Z178" s="6"/>
      <c r="AA178" s="297">
        <f t="shared" ref="AA178:AA184" si="10">+W177-W178</f>
        <v>3570</v>
      </c>
      <c r="AB178" s="6"/>
      <c r="AC178" s="301"/>
      <c r="AD178" s="294"/>
    </row>
    <row r="179" spans="15:30" x14ac:dyDescent="0.3">
      <c r="O179" s="110"/>
      <c r="T179" s="293"/>
      <c r="U179" s="295">
        <f t="shared" si="3"/>
        <v>44124</v>
      </c>
      <c r="V179" s="6"/>
      <c r="W179" s="296">
        <v>571055</v>
      </c>
      <c r="X179" s="6"/>
      <c r="Y179" s="44">
        <v>6.7000000000000004E-2</v>
      </c>
      <c r="Z179" s="6"/>
      <c r="AA179" s="297">
        <f t="shared" si="10"/>
        <v>-8050</v>
      </c>
      <c r="AB179" s="6"/>
      <c r="AC179" s="301"/>
      <c r="AD179" s="294"/>
    </row>
    <row r="180" spans="15:30" x14ac:dyDescent="0.3">
      <c r="O180" s="110"/>
      <c r="T180" s="293"/>
      <c r="U180" s="295">
        <f t="shared" si="3"/>
        <v>44125</v>
      </c>
      <c r="V180" s="6"/>
      <c r="W180" s="296">
        <v>592755</v>
      </c>
      <c r="X180" s="6"/>
      <c r="Y180" s="44">
        <v>6.9000000000000006E-2</v>
      </c>
      <c r="Z180" s="6"/>
      <c r="AA180" s="297">
        <f t="shared" si="10"/>
        <v>-21700</v>
      </c>
      <c r="AB180" s="6"/>
      <c r="AC180" s="301"/>
      <c r="AD180" s="294"/>
    </row>
    <row r="181" spans="15:30" x14ac:dyDescent="0.3">
      <c r="O181" s="110"/>
      <c r="T181" s="293"/>
      <c r="U181" s="295">
        <f t="shared" si="3"/>
        <v>44126</v>
      </c>
      <c r="V181" s="6"/>
      <c r="W181" s="296">
        <v>621488</v>
      </c>
      <c r="X181" s="6"/>
      <c r="Y181" s="44">
        <v>7.1999999999999995E-2</v>
      </c>
      <c r="Z181" s="6"/>
      <c r="AA181" s="297">
        <f t="shared" si="10"/>
        <v>-28733</v>
      </c>
      <c r="AB181" s="6"/>
      <c r="AC181" s="301"/>
      <c r="AD181" s="294"/>
    </row>
    <row r="182" spans="15:30" x14ac:dyDescent="0.3">
      <c r="O182" s="110"/>
      <c r="T182" s="293"/>
      <c r="U182" s="295">
        <f t="shared" si="3"/>
        <v>44127</v>
      </c>
      <c r="V182" s="6"/>
      <c r="W182" s="296">
        <v>651368</v>
      </c>
      <c r="X182" s="6"/>
      <c r="Y182" s="44">
        <v>7.4999999999999997E-2</v>
      </c>
      <c r="Z182" s="6"/>
      <c r="AA182" s="297">
        <f t="shared" si="10"/>
        <v>-29880</v>
      </c>
      <c r="AB182" s="6"/>
      <c r="AC182" s="301"/>
      <c r="AD182" s="294"/>
    </row>
    <row r="183" spans="15:30" x14ac:dyDescent="0.3">
      <c r="O183" s="110"/>
      <c r="T183" s="293"/>
      <c r="U183" s="295">
        <f t="shared" si="3"/>
        <v>44128</v>
      </c>
      <c r="V183" s="6"/>
      <c r="W183" s="296">
        <v>671584</v>
      </c>
      <c r="X183" s="6"/>
      <c r="Y183" s="44">
        <v>7.5999999999999998E-2</v>
      </c>
      <c r="Z183" s="6"/>
      <c r="AA183" s="297">
        <f t="shared" si="10"/>
        <v>-20216</v>
      </c>
      <c r="AB183" s="6"/>
      <c r="AC183" s="301"/>
      <c r="AD183" s="294"/>
    </row>
    <row r="184" spans="15:30" x14ac:dyDescent="0.3">
      <c r="O184" s="110"/>
      <c r="T184" s="293"/>
      <c r="U184" s="295">
        <f t="shared" si="3"/>
        <v>44129</v>
      </c>
      <c r="V184" s="6"/>
      <c r="W184" s="296">
        <v>666352</v>
      </c>
      <c r="X184" s="6"/>
      <c r="Y184" s="44">
        <v>7.4999999999999997E-2</v>
      </c>
      <c r="Z184" s="6"/>
      <c r="AA184" s="297">
        <f t="shared" si="10"/>
        <v>5232</v>
      </c>
      <c r="AB184" s="6"/>
      <c r="AC184" s="301"/>
      <c r="AD184" s="294"/>
    </row>
    <row r="185" spans="15:30" x14ac:dyDescent="0.3">
      <c r="O185" s="110"/>
      <c r="T185" s="293"/>
      <c r="U185" s="295">
        <f t="shared" si="3"/>
        <v>44130</v>
      </c>
      <c r="V185" s="6"/>
      <c r="W185" s="296">
        <v>644740</v>
      </c>
      <c r="X185" s="6"/>
      <c r="Y185" s="44">
        <v>7.3999999999999996E-2</v>
      </c>
      <c r="Z185" s="6"/>
      <c r="AA185" s="297">
        <f t="shared" ref="AA185" si="11">+W184-W185</f>
        <v>21612</v>
      </c>
      <c r="AB185" s="6"/>
      <c r="AC185" s="301"/>
      <c r="AD185" s="294"/>
    </row>
    <row r="186" spans="15:30" x14ac:dyDescent="0.3">
      <c r="O186" s="110"/>
      <c r="T186" s="293"/>
      <c r="U186" s="295">
        <f t="shared" si="3"/>
        <v>44131</v>
      </c>
      <c r="V186" s="6"/>
      <c r="W186" s="296">
        <v>685730</v>
      </c>
      <c r="X186" s="6"/>
      <c r="Y186" s="44">
        <v>7.5999999999999998E-2</v>
      </c>
      <c r="Z186" s="6"/>
      <c r="AA186" s="297">
        <f t="shared" ref="AA186" si="12">+W185-W186</f>
        <v>-40990</v>
      </c>
      <c r="AB186" s="6"/>
      <c r="AC186" s="301"/>
      <c r="AD186" s="294"/>
    </row>
    <row r="187" spans="15:30" x14ac:dyDescent="0.3">
      <c r="O187" s="110"/>
      <c r="T187" s="293"/>
      <c r="U187" s="295">
        <f t="shared" si="3"/>
        <v>44132</v>
      </c>
      <c r="V187" s="6"/>
      <c r="W187" s="296">
        <v>722475</v>
      </c>
      <c r="X187" s="6"/>
      <c r="Y187" s="44">
        <v>7.9000000000000001E-2</v>
      </c>
      <c r="Z187" s="6"/>
      <c r="AA187" s="297">
        <f t="shared" ref="AA187" si="13">+W186-W187</f>
        <v>-36745</v>
      </c>
      <c r="AB187" s="6"/>
      <c r="AC187" s="301"/>
      <c r="AD187" s="294"/>
    </row>
    <row r="188" spans="15:30" x14ac:dyDescent="0.3">
      <c r="O188" s="110"/>
      <c r="T188" s="293"/>
      <c r="U188" s="295">
        <f t="shared" si="3"/>
        <v>44133</v>
      </c>
      <c r="V188" s="6"/>
      <c r="W188" s="296">
        <v>756762</v>
      </c>
      <c r="X188" s="6"/>
      <c r="Y188" s="44">
        <v>8.2000000000000003E-2</v>
      </c>
      <c r="Z188" s="6"/>
      <c r="AA188" s="297">
        <f t="shared" ref="AA188" si="14">+W187-W188</f>
        <v>-34287</v>
      </c>
      <c r="AB188" s="6"/>
      <c r="AC188" s="301"/>
      <c r="AD188" s="294"/>
    </row>
    <row r="189" spans="15:30" x14ac:dyDescent="0.3">
      <c r="O189" s="110"/>
      <c r="T189" s="293"/>
      <c r="U189" s="295">
        <f t="shared" si="3"/>
        <v>44134</v>
      </c>
      <c r="V189" s="6"/>
      <c r="W189" s="296">
        <v>796351</v>
      </c>
      <c r="X189" s="6"/>
      <c r="Y189" s="44">
        <v>8.5999999999999993E-2</v>
      </c>
      <c r="Z189" s="6"/>
      <c r="AA189" s="297">
        <f t="shared" ref="AA189" si="15">+W188-W189</f>
        <v>-39589</v>
      </c>
      <c r="AB189" s="6"/>
      <c r="AC189" s="301"/>
      <c r="AD189" s="294"/>
    </row>
    <row r="190" spans="15:30" x14ac:dyDescent="0.3">
      <c r="O190" s="110"/>
      <c r="T190" s="293"/>
      <c r="U190" s="295">
        <f t="shared" si="3"/>
        <v>44135</v>
      </c>
      <c r="V190" s="6"/>
      <c r="W190" s="296">
        <v>819039</v>
      </c>
      <c r="X190" s="6"/>
      <c r="Y190" s="44">
        <v>8.6999999999999994E-2</v>
      </c>
      <c r="Z190" s="6"/>
      <c r="AA190" s="297">
        <f t="shared" ref="AA190" si="16">+W189-W190</f>
        <v>-22688</v>
      </c>
      <c r="AB190" s="6"/>
      <c r="AC190" s="301"/>
      <c r="AD190" s="294"/>
    </row>
    <row r="191" spans="15:30" x14ac:dyDescent="0.3">
      <c r="O191" s="110"/>
      <c r="T191" s="293"/>
      <c r="U191" s="295">
        <f t="shared" si="3"/>
        <v>44136</v>
      </c>
      <c r="V191" s="6"/>
      <c r="W191" s="296">
        <v>816056</v>
      </c>
      <c r="X191" s="6"/>
      <c r="Y191" s="44">
        <v>8.5999999999999993E-2</v>
      </c>
      <c r="Z191" s="6"/>
      <c r="AA191" s="297">
        <f t="shared" ref="AA191" si="17">+W190-W191</f>
        <v>2983</v>
      </c>
      <c r="AB191" s="6"/>
      <c r="AC191" s="301"/>
      <c r="AD191" s="294"/>
    </row>
    <row r="192" spans="15:30" x14ac:dyDescent="0.3">
      <c r="O192" s="110"/>
      <c r="T192" s="293"/>
      <c r="U192" s="295">
        <f t="shared" si="3"/>
        <v>44137</v>
      </c>
      <c r="V192" s="6"/>
      <c r="W192" s="296">
        <v>823918</v>
      </c>
      <c r="X192" s="6"/>
      <c r="Y192" s="44">
        <v>8.5999999999999993E-2</v>
      </c>
      <c r="Z192" s="6"/>
      <c r="AA192" s="297">
        <f t="shared" ref="AA192" si="18">+W191-W192</f>
        <v>-7862</v>
      </c>
      <c r="AB192" s="6"/>
      <c r="AC192" s="301"/>
      <c r="AD192" s="294"/>
    </row>
    <row r="193" spans="15:30" x14ac:dyDescent="0.3">
      <c r="O193" s="110"/>
      <c r="T193" s="293"/>
      <c r="U193" s="295">
        <f t="shared" si="3"/>
        <v>44138</v>
      </c>
      <c r="V193" s="6"/>
      <c r="W193" s="296">
        <v>839176</v>
      </c>
      <c r="X193" s="6"/>
      <c r="Y193" s="44">
        <v>8.6999999999999994E-2</v>
      </c>
      <c r="Z193" s="6"/>
      <c r="AA193" s="297">
        <f t="shared" ref="AA193" si="19">+W192-W193</f>
        <v>-15258</v>
      </c>
      <c r="AB193" s="6"/>
      <c r="AC193" s="301"/>
      <c r="AD193" s="294"/>
    </row>
    <row r="194" spans="15:30" x14ac:dyDescent="0.3">
      <c r="O194" s="110"/>
      <c r="T194" s="293"/>
      <c r="U194" s="295">
        <f t="shared" si="3"/>
        <v>44139</v>
      </c>
      <c r="V194" s="6"/>
      <c r="W194" s="296">
        <v>886905</v>
      </c>
      <c r="X194" s="6"/>
      <c r="Y194" s="44">
        <v>9.0999999999999998E-2</v>
      </c>
      <c r="Z194" s="6"/>
      <c r="AA194" s="297">
        <f t="shared" ref="AA194" si="20">+W193-W194</f>
        <v>-47729</v>
      </c>
      <c r="AB194" s="6"/>
      <c r="AC194" s="301"/>
      <c r="AD194" s="294"/>
    </row>
    <row r="195" spans="15:30" x14ac:dyDescent="0.3">
      <c r="O195" s="110"/>
      <c r="T195" s="293"/>
      <c r="U195" s="295">
        <f t="shared" si="3"/>
        <v>44140</v>
      </c>
      <c r="V195" s="6"/>
      <c r="W195" s="296">
        <v>935498</v>
      </c>
      <c r="X195" s="6"/>
      <c r="Y195" s="44">
        <v>9.5000000000000001E-2</v>
      </c>
      <c r="Z195" s="6"/>
      <c r="AA195" s="297">
        <f t="shared" ref="AA195" si="21">+W194-W195</f>
        <v>-48593</v>
      </c>
      <c r="AB195" s="6"/>
      <c r="AC195" s="301"/>
      <c r="AD195" s="294"/>
    </row>
    <row r="196" spans="15:30" x14ac:dyDescent="0.3">
      <c r="O196" s="110"/>
      <c r="T196" s="293"/>
      <c r="U196" s="295">
        <f t="shared" si="3"/>
        <v>44141</v>
      </c>
      <c r="V196" s="6"/>
      <c r="W196" s="296">
        <v>933110</v>
      </c>
      <c r="X196" s="6"/>
      <c r="Y196" s="44">
        <v>9.9000000000000005E-2</v>
      </c>
      <c r="Z196" s="6"/>
      <c r="AA196" s="297">
        <f t="shared" ref="AA196" si="22">+W195-W196</f>
        <v>2388</v>
      </c>
      <c r="AB196" s="6"/>
      <c r="AC196" s="301"/>
      <c r="AD196" s="294"/>
    </row>
    <row r="197" spans="15:30" x14ac:dyDescent="0.3">
      <c r="O197" s="110"/>
      <c r="T197" s="293"/>
      <c r="U197" s="295">
        <f t="shared" si="3"/>
        <v>44142</v>
      </c>
      <c r="V197" s="6"/>
      <c r="W197" s="296">
        <v>911706</v>
      </c>
      <c r="X197" s="6"/>
      <c r="Y197" s="44">
        <v>9.0999999999999998E-2</v>
      </c>
      <c r="Z197" s="6"/>
      <c r="AA197" s="297">
        <f t="shared" ref="AA197" si="23">+W196-W197</f>
        <v>21404</v>
      </c>
      <c r="AB197" s="6"/>
      <c r="AC197" s="301"/>
      <c r="AD197" s="294"/>
    </row>
    <row r="198" spans="15:30" x14ac:dyDescent="0.3">
      <c r="O198" s="110"/>
      <c r="T198" s="293"/>
      <c r="U198" s="295">
        <f t="shared" si="3"/>
        <v>44143</v>
      </c>
      <c r="V198" s="6"/>
      <c r="W198" s="296">
        <v>945813</v>
      </c>
      <c r="X198" s="6"/>
      <c r="Y198" s="44">
        <v>9.2999999999999999E-2</v>
      </c>
      <c r="Z198" s="6"/>
      <c r="AA198" s="297">
        <f t="shared" ref="AA198" si="24">+W197-W198</f>
        <v>-34107</v>
      </c>
      <c r="AB198" s="6"/>
      <c r="AC198" s="301"/>
      <c r="AD198" s="294"/>
    </row>
    <row r="199" spans="15:30" x14ac:dyDescent="0.3">
      <c r="O199" s="110"/>
      <c r="T199" s="293"/>
      <c r="U199" s="295">
        <f t="shared" si="3"/>
        <v>44144</v>
      </c>
      <c r="V199" s="6"/>
      <c r="W199" s="296">
        <v>985209</v>
      </c>
      <c r="X199" s="6"/>
      <c r="Y199" s="44">
        <v>9.5000000000000001E-2</v>
      </c>
      <c r="Z199" s="6"/>
      <c r="AA199" s="297">
        <f t="shared" ref="AA199" si="25">+W198-W199</f>
        <v>-39396</v>
      </c>
      <c r="AB199" s="6"/>
      <c r="AC199" s="301"/>
      <c r="AD199" s="294"/>
    </row>
    <row r="200" spans="15:30" x14ac:dyDescent="0.3">
      <c r="O200" s="110"/>
      <c r="T200" s="293"/>
      <c r="U200" s="295">
        <f t="shared" si="3"/>
        <v>44145</v>
      </c>
      <c r="V200" s="6"/>
      <c r="W200" s="296">
        <v>1050453</v>
      </c>
      <c r="X200" s="6"/>
      <c r="Y200" s="44">
        <v>0.1</v>
      </c>
      <c r="Z200" s="6"/>
      <c r="AA200" s="297">
        <f t="shared" ref="AA200" si="26">+W199-W200</f>
        <v>-65244</v>
      </c>
      <c r="AB200" s="6"/>
      <c r="AC200" s="301"/>
      <c r="AD200" s="294"/>
    </row>
    <row r="201" spans="15:30" x14ac:dyDescent="0.3">
      <c r="O201" s="110"/>
      <c r="T201" s="293"/>
      <c r="U201" s="295">
        <f t="shared" si="3"/>
        <v>44146</v>
      </c>
      <c r="V201" s="6"/>
      <c r="W201" s="296">
        <v>1103763</v>
      </c>
      <c r="X201" s="6"/>
      <c r="Y201" s="44">
        <v>0.104</v>
      </c>
      <c r="Z201" s="6"/>
      <c r="AA201" s="297">
        <f t="shared" ref="AA201" si="27">+W200-W201</f>
        <v>-53310</v>
      </c>
      <c r="AB201" s="6"/>
      <c r="AC201" s="301"/>
      <c r="AD201" s="294"/>
    </row>
    <row r="202" spans="15:30" x14ac:dyDescent="0.3">
      <c r="O202" s="110"/>
      <c r="T202" s="293"/>
      <c r="U202" s="295">
        <f t="shared" si="3"/>
        <v>44147</v>
      </c>
      <c r="V202" s="6"/>
      <c r="W202" s="296">
        <v>1171415</v>
      </c>
      <c r="X202" s="6"/>
      <c r="Y202" s="44">
        <v>0.109</v>
      </c>
      <c r="Z202" s="6"/>
      <c r="AA202" s="297">
        <f t="shared" ref="AA202" si="28">+W201-W202</f>
        <v>-67652</v>
      </c>
      <c r="AB202" s="6"/>
      <c r="AC202" s="301"/>
      <c r="AD202" s="294"/>
    </row>
    <row r="203" spans="15:30" x14ac:dyDescent="0.3">
      <c r="O203" s="110"/>
      <c r="T203" s="293"/>
      <c r="U203" s="295">
        <f t="shared" si="3"/>
        <v>44148</v>
      </c>
      <c r="V203" s="6"/>
      <c r="W203" s="296">
        <v>1247238</v>
      </c>
      <c r="X203" s="6"/>
      <c r="Y203" s="44">
        <v>0.114</v>
      </c>
      <c r="Z203" s="6"/>
      <c r="AA203" s="297">
        <f t="shared" ref="AA203" si="29">+W202-W203</f>
        <v>-75823</v>
      </c>
      <c r="AB203" s="6"/>
      <c r="AC203" s="301"/>
      <c r="AD203" s="294"/>
    </row>
    <row r="204" spans="15:30" x14ac:dyDescent="0.3">
      <c r="O204" s="110"/>
      <c r="T204" s="293"/>
      <c r="U204" s="295">
        <f t="shared" si="3"/>
        <v>44149</v>
      </c>
      <c r="V204" s="6"/>
      <c r="W204" s="296">
        <v>1286641</v>
      </c>
      <c r="X204" s="6"/>
      <c r="Y204" s="44">
        <v>0.11600000000000001</v>
      </c>
      <c r="Z204" s="6"/>
      <c r="AA204" s="297">
        <f t="shared" ref="AA204" si="30">+W203-W204</f>
        <v>-39403</v>
      </c>
      <c r="AB204" s="6"/>
      <c r="AC204" s="301"/>
      <c r="AD204" s="294"/>
    </row>
    <row r="205" spans="15:30" x14ac:dyDescent="0.3">
      <c r="O205" s="110"/>
      <c r="T205" s="293"/>
      <c r="U205" s="295">
        <f t="shared" si="3"/>
        <v>44150</v>
      </c>
      <c r="V205" s="6"/>
      <c r="W205" s="296">
        <v>1292637</v>
      </c>
      <c r="X205" s="6"/>
      <c r="Y205" s="44">
        <v>0.115</v>
      </c>
      <c r="Z205" s="6"/>
      <c r="AA205" s="297">
        <f t="shared" ref="AA205" si="31">+W204-W205</f>
        <v>-5996</v>
      </c>
      <c r="AB205" s="6"/>
      <c r="AC205" s="301"/>
      <c r="AD205" s="294"/>
    </row>
    <row r="206" spans="15:30" x14ac:dyDescent="0.3">
      <c r="O206" s="110"/>
      <c r="T206" s="293"/>
      <c r="U206" s="295">
        <f t="shared" si="3"/>
        <v>44151</v>
      </c>
      <c r="V206" s="6"/>
      <c r="W206" s="296">
        <v>1386009</v>
      </c>
      <c r="X206" s="6"/>
      <c r="Y206" s="44">
        <v>0.12</v>
      </c>
      <c r="Z206" s="6"/>
      <c r="AA206" s="297">
        <f t="shared" ref="AA206" si="32">+W205-W206</f>
        <v>-93372</v>
      </c>
      <c r="AB206" s="6"/>
      <c r="AC206" s="301"/>
      <c r="AD206" s="294"/>
    </row>
    <row r="207" spans="15:30" x14ac:dyDescent="0.3">
      <c r="O207" s="110"/>
      <c r="T207" s="293"/>
      <c r="U207" s="295">
        <f t="shared" si="3"/>
        <v>44152</v>
      </c>
      <c r="V207" s="6"/>
      <c r="W207" s="296">
        <v>1434502</v>
      </c>
      <c r="X207" s="6"/>
      <c r="Y207" s="44">
        <v>0.122</v>
      </c>
      <c r="Z207" s="6"/>
      <c r="AA207" s="297">
        <f t="shared" ref="AA207" si="33">+W206-W207</f>
        <v>-48493</v>
      </c>
      <c r="AB207" s="6"/>
      <c r="AC207" s="301"/>
      <c r="AD207" s="294"/>
    </row>
    <row r="208" spans="15:30" x14ac:dyDescent="0.3">
      <c r="O208" s="110"/>
      <c r="T208" s="293"/>
      <c r="U208" s="295">
        <f t="shared" si="3"/>
        <v>44153</v>
      </c>
      <c r="V208" s="6"/>
      <c r="W208" s="296">
        <v>1434502</v>
      </c>
      <c r="X208" s="6"/>
      <c r="Y208" s="44">
        <v>0.122</v>
      </c>
      <c r="Z208" s="6"/>
      <c r="AA208" s="297">
        <f t="shared" ref="AA208" si="34">+W207-W208</f>
        <v>0</v>
      </c>
      <c r="AB208" s="6"/>
      <c r="AC208" s="301"/>
      <c r="AD208" s="294"/>
    </row>
    <row r="209" spans="15:30" x14ac:dyDescent="0.3">
      <c r="O209" s="110"/>
      <c r="T209" s="293"/>
      <c r="U209" s="295">
        <f t="shared" si="3"/>
        <v>44154</v>
      </c>
      <c r="V209" s="6"/>
      <c r="W209" s="296">
        <v>1491309</v>
      </c>
      <c r="X209" s="6"/>
      <c r="Y209" s="44">
        <v>0.125</v>
      </c>
      <c r="Z209" s="6"/>
      <c r="AA209" s="297">
        <f t="shared" ref="AA209" si="35">+W208-W209</f>
        <v>-56807</v>
      </c>
      <c r="AB209" s="6"/>
      <c r="AC209" s="301"/>
      <c r="AD209" s="294"/>
    </row>
    <row r="210" spans="15:30" x14ac:dyDescent="0.3">
      <c r="O210" s="110"/>
      <c r="T210" s="293"/>
      <c r="U210" s="295">
        <f t="shared" si="3"/>
        <v>44155</v>
      </c>
      <c r="V210" s="6"/>
      <c r="W210" s="296">
        <v>1552582</v>
      </c>
      <c r="X210" s="6"/>
      <c r="Y210" s="44">
        <v>0.128</v>
      </c>
      <c r="Z210" s="6"/>
      <c r="AA210" s="297">
        <f t="shared" ref="AA210" si="36">+W209-W210</f>
        <v>-61273</v>
      </c>
      <c r="AB210" s="6"/>
      <c r="AC210" s="301"/>
      <c r="AD210" s="294"/>
    </row>
    <row r="211" spans="15:30" x14ac:dyDescent="0.3">
      <c r="O211" s="110"/>
      <c r="T211" s="293"/>
      <c r="U211" s="295">
        <f t="shared" si="3"/>
        <v>44156</v>
      </c>
      <c r="V211" s="6"/>
      <c r="W211" s="296">
        <v>1564338</v>
      </c>
      <c r="X211" s="6"/>
      <c r="Y211" s="44">
        <v>0.127</v>
      </c>
      <c r="Z211" s="6"/>
      <c r="AA211" s="297">
        <f t="shared" ref="AA211" si="37">+W210-W211</f>
        <v>-11756</v>
      </c>
      <c r="AB211" s="6"/>
      <c r="AC211" s="301"/>
      <c r="AD211" s="294"/>
    </row>
    <row r="212" spans="15:30" x14ac:dyDescent="0.3">
      <c r="O212" s="110"/>
      <c r="T212" s="293"/>
      <c r="U212" s="295">
        <f t="shared" si="3"/>
        <v>44157</v>
      </c>
      <c r="V212" s="6"/>
      <c r="W212" s="296">
        <v>1517624</v>
      </c>
      <c r="X212" s="6"/>
      <c r="Y212" s="44">
        <v>0.122</v>
      </c>
      <c r="Z212" s="6"/>
      <c r="AA212" s="297">
        <f t="shared" ref="AA212" si="38">+W211-W212</f>
        <v>46714</v>
      </c>
      <c r="AB212" s="6"/>
      <c r="AC212" s="301"/>
      <c r="AD212" s="294"/>
    </row>
    <row r="213" spans="15:30" x14ac:dyDescent="0.3">
      <c r="O213" s="110"/>
      <c r="T213" s="293"/>
      <c r="U213" s="295">
        <f t="shared" si="3"/>
        <v>44158</v>
      </c>
      <c r="V213" s="6"/>
      <c r="W213" s="296">
        <v>1533231</v>
      </c>
      <c r="X213" s="6"/>
      <c r="Y213" s="44">
        <v>0.121</v>
      </c>
      <c r="Z213" s="6"/>
      <c r="AA213" s="297">
        <f t="shared" ref="AA213" si="39">+W212-W213</f>
        <v>-15607</v>
      </c>
      <c r="AB213" s="6"/>
      <c r="AC213" s="301"/>
      <c r="AD213" s="294"/>
    </row>
    <row r="214" spans="15:30" x14ac:dyDescent="0.3">
      <c r="O214" s="110"/>
      <c r="T214" s="293"/>
      <c r="U214" s="295">
        <f t="shared" si="3"/>
        <v>44159</v>
      </c>
      <c r="V214" s="6"/>
      <c r="W214" s="296">
        <v>1571982</v>
      </c>
      <c r="X214" s="6"/>
      <c r="Y214" s="44">
        <f>+L$36</f>
        <v>0.10474446117876728</v>
      </c>
      <c r="Z214" s="6"/>
      <c r="AA214" s="297">
        <f t="shared" ref="AA214" si="40">+W213-W214</f>
        <v>-38751</v>
      </c>
      <c r="AB214" s="6"/>
      <c r="AC214" s="301"/>
      <c r="AD214" s="294"/>
    </row>
    <row r="215" spans="15:30" x14ac:dyDescent="0.3">
      <c r="O215" s="110"/>
      <c r="T215" s="293"/>
      <c r="U215" s="295">
        <f t="shared" si="3"/>
        <v>44160</v>
      </c>
      <c r="V215" s="6"/>
      <c r="W215" s="296">
        <v>1591295</v>
      </c>
      <c r="X215" s="6"/>
      <c r="Y215" s="44">
        <v>0.123</v>
      </c>
      <c r="Z215" s="6"/>
      <c r="AA215" s="297">
        <f t="shared" ref="AA215" si="41">+W214-W215</f>
        <v>-19313</v>
      </c>
      <c r="AB215" s="6"/>
      <c r="AC215" s="301"/>
      <c r="AD215" s="294"/>
    </row>
    <row r="216" spans="15:30" x14ac:dyDescent="0.3">
      <c r="O216" s="110"/>
      <c r="T216" s="293"/>
      <c r="U216" s="295">
        <f t="shared" si="3"/>
        <v>44161</v>
      </c>
      <c r="V216" s="6"/>
      <c r="W216" s="296">
        <v>1542097</v>
      </c>
      <c r="X216" s="6"/>
      <c r="Y216" s="44">
        <v>0.11799999999999999</v>
      </c>
      <c r="Z216" s="6"/>
      <c r="AA216" s="297">
        <f t="shared" ref="AA216" si="42">+W215-W216</f>
        <v>49198</v>
      </c>
      <c r="AB216" s="6"/>
      <c r="AC216" s="301"/>
      <c r="AD216" s="294"/>
    </row>
    <row r="217" spans="15:30" x14ac:dyDescent="0.3">
      <c r="O217" s="110"/>
      <c r="T217" s="293"/>
      <c r="U217" s="295">
        <f t="shared" si="3"/>
        <v>44162</v>
      </c>
      <c r="V217" s="6"/>
      <c r="W217" s="296">
        <v>1532655</v>
      </c>
      <c r="X217" s="6"/>
      <c r="Y217" s="44">
        <v>0.11600000000000001</v>
      </c>
      <c r="Z217" s="6"/>
      <c r="AA217" s="297">
        <f t="shared" ref="AA217" si="43">+W216-W217</f>
        <v>9442</v>
      </c>
      <c r="AB217" s="6"/>
      <c r="AC217" s="301"/>
      <c r="AD217" s="294"/>
    </row>
    <row r="218" spans="15:30" x14ac:dyDescent="0.3">
      <c r="O218" s="110"/>
      <c r="T218" s="293"/>
      <c r="U218" s="295">
        <f t="shared" si="3"/>
        <v>44163</v>
      </c>
      <c r="V218" s="6"/>
      <c r="W218" s="296">
        <v>1484025</v>
      </c>
      <c r="X218" s="6"/>
      <c r="Y218" s="44">
        <v>0.111</v>
      </c>
      <c r="Z218" s="6"/>
      <c r="AA218" s="297">
        <f t="shared" ref="AA218" si="44">+W217-W218</f>
        <v>48630</v>
      </c>
      <c r="AB218" s="6"/>
      <c r="AC218" s="301"/>
      <c r="AD218" s="294"/>
    </row>
    <row r="219" spans="15:30" x14ac:dyDescent="0.3">
      <c r="O219" s="110"/>
      <c r="T219" s="293"/>
      <c r="U219" s="295">
        <f t="shared" si="3"/>
        <v>44164</v>
      </c>
      <c r="V219" s="6"/>
      <c r="W219" s="296">
        <f>+I$36</f>
        <v>1418209</v>
      </c>
      <c r="X219" s="6"/>
      <c r="Y219" s="44">
        <f>+L$36</f>
        <v>0.10474446117876728</v>
      </c>
      <c r="Z219" s="6"/>
      <c r="AA219" s="297">
        <f t="shared" ref="AA219" si="45">+W218-W219</f>
        <v>65816</v>
      </c>
      <c r="AB219" s="6"/>
      <c r="AC219" s="301"/>
      <c r="AD219" s="294"/>
    </row>
    <row r="220" spans="15:30" x14ac:dyDescent="0.3">
      <c r="O220" s="110"/>
      <c r="T220" s="293"/>
      <c r="U220" s="295">
        <f t="shared" si="3"/>
        <v>44165</v>
      </c>
      <c r="V220" s="6"/>
      <c r="W220" s="296"/>
      <c r="X220" s="6"/>
      <c r="Y220" s="44"/>
      <c r="Z220" s="6"/>
      <c r="AA220" s="297"/>
      <c r="AB220" s="6"/>
      <c r="AC220" s="301"/>
      <c r="AD220" s="294"/>
    </row>
    <row r="221" spans="15:30" x14ac:dyDescent="0.3">
      <c r="O221" s="110"/>
      <c r="T221" s="293"/>
      <c r="U221" s="295">
        <f t="shared" si="3"/>
        <v>44166</v>
      </c>
      <c r="V221" s="6"/>
      <c r="W221" s="296"/>
      <c r="X221" s="6"/>
      <c r="Y221" s="44"/>
      <c r="Z221" s="6"/>
      <c r="AA221" s="297"/>
      <c r="AB221" s="6"/>
      <c r="AC221" s="301"/>
      <c r="AD221" s="294"/>
    </row>
    <row r="222" spans="15:30" x14ac:dyDescent="0.3">
      <c r="O222" s="110"/>
      <c r="T222" s="293"/>
      <c r="U222" s="295">
        <f t="shared" si="3"/>
        <v>44167</v>
      </c>
      <c r="V222" s="6"/>
      <c r="W222" s="296"/>
      <c r="X222" s="6"/>
      <c r="Y222" s="44"/>
      <c r="Z222" s="6"/>
      <c r="AA222" s="297"/>
      <c r="AB222" s="6"/>
      <c r="AC222" s="301"/>
      <c r="AD222" s="294"/>
    </row>
    <row r="223" spans="15:30" x14ac:dyDescent="0.3">
      <c r="O223" s="110"/>
      <c r="T223" s="293"/>
      <c r="U223" s="295">
        <f t="shared" si="3"/>
        <v>44168</v>
      </c>
      <c r="V223" s="6"/>
      <c r="W223" s="296"/>
      <c r="X223" s="6"/>
      <c r="Y223" s="44"/>
      <c r="Z223" s="6"/>
      <c r="AA223" s="297"/>
      <c r="AB223" s="6"/>
      <c r="AC223" s="301"/>
      <c r="AD223" s="294"/>
    </row>
    <row r="224" spans="15:30" x14ac:dyDescent="0.3">
      <c r="O224" s="110"/>
      <c r="T224" s="293"/>
      <c r="U224" s="295">
        <f t="shared" si="3"/>
        <v>44169</v>
      </c>
      <c r="V224" s="6"/>
      <c r="W224" s="296"/>
      <c r="X224" s="6"/>
      <c r="Y224" s="44"/>
      <c r="Z224" s="6"/>
      <c r="AA224" s="297"/>
      <c r="AB224" s="6"/>
      <c r="AC224" s="301"/>
      <c r="AD224" s="294"/>
    </row>
    <row r="225" spans="4:36" ht="15" thickBot="1" x14ac:dyDescent="0.35">
      <c r="O225" s="110"/>
      <c r="T225" s="298"/>
      <c r="U225" s="393">
        <f t="shared" si="3"/>
        <v>44170</v>
      </c>
      <c r="V225" s="290"/>
      <c r="W225" s="394"/>
      <c r="X225" s="290"/>
      <c r="Y225" s="299"/>
      <c r="Z225" s="290"/>
      <c r="AA225" s="395"/>
      <c r="AB225" s="290"/>
      <c r="AC225" s="396"/>
      <c r="AD225" s="300"/>
    </row>
    <row r="226" spans="4:36" x14ac:dyDescent="0.3">
      <c r="O226" s="110"/>
    </row>
    <row r="227" spans="4:36" x14ac:dyDescent="0.3">
      <c r="O227" s="110"/>
      <c r="P227" s="57"/>
      <c r="Q227" s="57"/>
      <c r="R227" s="57"/>
    </row>
    <row r="228" spans="4:36" x14ac:dyDescent="0.3">
      <c r="O228" s="110"/>
    </row>
    <row r="229" spans="4:36" ht="15" thickBot="1" x14ac:dyDescent="0.35">
      <c r="O229" s="110"/>
    </row>
    <row r="230" spans="4:36" ht="15.6" thickTop="1" thickBot="1" x14ac:dyDescent="0.35">
      <c r="Q230" s="484"/>
      <c r="R230" s="485"/>
      <c r="S230" s="485"/>
      <c r="T230" s="485"/>
      <c r="U230" s="485"/>
      <c r="V230" s="485"/>
      <c r="W230" s="485"/>
      <c r="X230" s="485"/>
      <c r="Y230" s="485"/>
      <c r="Z230" s="485"/>
      <c r="AA230" s="485"/>
      <c r="AB230" s="486"/>
    </row>
    <row r="231" spans="4:36" ht="15" thickBot="1" x14ac:dyDescent="0.35">
      <c r="E231" s="666" t="s">
        <v>119</v>
      </c>
      <c r="F231" s="667"/>
      <c r="G231" s="667"/>
      <c r="H231" s="667"/>
      <c r="I231" s="667"/>
      <c r="J231" s="667"/>
      <c r="K231" s="667"/>
      <c r="L231" s="667"/>
      <c r="M231" s="668"/>
      <c r="Q231" s="487"/>
      <c r="R231" s="6"/>
      <c r="S231" s="6"/>
      <c r="T231" s="6"/>
      <c r="U231" s="5" t="s">
        <v>145</v>
      </c>
      <c r="V231" s="5"/>
      <c r="W231" s="5"/>
      <c r="X231" s="5"/>
      <c r="Y231" s="5"/>
      <c r="Z231" s="5"/>
      <c r="AA231" s="5" t="s">
        <v>30</v>
      </c>
      <c r="AB231" s="488"/>
    </row>
    <row r="232" spans="4:36" x14ac:dyDescent="0.3">
      <c r="E232" s="438"/>
      <c r="F232" s="439" t="s">
        <v>120</v>
      </c>
      <c r="G232" s="439"/>
      <c r="H232" s="439"/>
      <c r="I232" s="669">
        <v>21477737</v>
      </c>
      <c r="J232" s="669"/>
      <c r="K232" s="669"/>
      <c r="L232" s="669"/>
      <c r="M232" s="440"/>
      <c r="Q232" s="487"/>
      <c r="R232" s="480" t="s">
        <v>147</v>
      </c>
      <c r="S232" s="6"/>
      <c r="T232" s="6"/>
      <c r="U232" s="480" t="s">
        <v>146</v>
      </c>
      <c r="V232" s="5"/>
      <c r="W232" s="480" t="s">
        <v>20</v>
      </c>
      <c r="X232" s="5"/>
      <c r="Y232" s="480" t="s">
        <v>4</v>
      </c>
      <c r="Z232" s="5"/>
      <c r="AA232" s="489" t="s">
        <v>144</v>
      </c>
      <c r="AB232" s="488"/>
    </row>
    <row r="233" spans="4:36" x14ac:dyDescent="0.3">
      <c r="E233" s="438"/>
      <c r="F233" s="439" t="s">
        <v>110</v>
      </c>
      <c r="G233" s="439"/>
      <c r="H233" s="439"/>
      <c r="I233" s="439"/>
      <c r="J233" s="439"/>
      <c r="K233" s="439"/>
      <c r="L233" s="441">
        <f>+I245/I232</f>
        <v>4.5847474526762295E-4</v>
      </c>
      <c r="M233" s="440"/>
      <c r="Q233" s="487"/>
      <c r="R233" s="6" t="s">
        <v>134</v>
      </c>
      <c r="S233" s="6"/>
      <c r="T233" s="6"/>
      <c r="U233" s="7">
        <v>2003</v>
      </c>
      <c r="V233" s="6"/>
      <c r="W233" s="7">
        <v>389666</v>
      </c>
      <c r="X233" s="6"/>
      <c r="Y233" s="7">
        <v>31257</v>
      </c>
      <c r="Z233" s="6"/>
      <c r="AA233" s="296">
        <f>+AJ233</f>
        <v>19500</v>
      </c>
      <c r="AB233" s="488"/>
      <c r="AJ233" s="1">
        <v>19500</v>
      </c>
    </row>
    <row r="234" spans="4:36" x14ac:dyDescent="0.3">
      <c r="E234" s="438"/>
      <c r="F234" s="670" t="s">
        <v>108</v>
      </c>
      <c r="G234" s="670"/>
      <c r="H234" s="439"/>
      <c r="I234" s="439"/>
      <c r="J234" s="439"/>
      <c r="K234" s="439"/>
      <c r="L234" s="442">
        <f>+I245/(I232/100000)</f>
        <v>45.847474526762298</v>
      </c>
      <c r="M234" s="440"/>
      <c r="Q234" s="487"/>
      <c r="R234" s="6" t="s">
        <v>135</v>
      </c>
      <c r="S234" s="6"/>
      <c r="T234" s="6"/>
      <c r="U234" s="7">
        <v>1913</v>
      </c>
      <c r="V234" s="6"/>
      <c r="W234" s="7">
        <v>169892</v>
      </c>
      <c r="X234" s="6"/>
      <c r="Y234" s="7">
        <v>13076</v>
      </c>
      <c r="Z234" s="6"/>
      <c r="AA234" s="296">
        <f t="shared" ref="AA234:AA242" si="46">+AJ234</f>
        <v>8900</v>
      </c>
      <c r="AB234" s="488"/>
      <c r="AJ234" s="1">
        <v>8900</v>
      </c>
    </row>
    <row r="235" spans="4:36" x14ac:dyDescent="0.3">
      <c r="E235" s="438"/>
      <c r="F235" s="443"/>
      <c r="G235" s="443"/>
      <c r="H235" s="439"/>
      <c r="I235" s="439"/>
      <c r="J235" s="439"/>
      <c r="K235" s="439"/>
      <c r="L235" s="442"/>
      <c r="M235" s="440"/>
      <c r="Q235" s="487"/>
      <c r="R235" s="6" t="s">
        <v>136</v>
      </c>
      <c r="S235" s="6"/>
      <c r="T235" s="6"/>
      <c r="U235" s="7">
        <v>1568</v>
      </c>
      <c r="V235" s="6"/>
      <c r="W235" s="7">
        <v>16606</v>
      </c>
      <c r="X235" s="6"/>
      <c r="Y235" s="7">
        <v>912</v>
      </c>
      <c r="Z235" s="6"/>
      <c r="AA235" s="296">
        <f t="shared" si="46"/>
        <v>1100</v>
      </c>
      <c r="AB235" s="488"/>
      <c r="AJ235" s="1">
        <v>1100</v>
      </c>
    </row>
    <row r="236" spans="4:36" x14ac:dyDescent="0.3">
      <c r="E236" s="438"/>
      <c r="F236" s="443" t="s">
        <v>121</v>
      </c>
      <c r="G236" s="443"/>
      <c r="H236" s="670" t="s">
        <v>122</v>
      </c>
      <c r="I236" s="670"/>
      <c r="J236" s="439"/>
      <c r="K236" s="439"/>
      <c r="L236" s="442"/>
      <c r="M236" s="440"/>
      <c r="Q236" s="487"/>
      <c r="R236" s="6" t="s">
        <v>58</v>
      </c>
      <c r="S236" s="6"/>
      <c r="T236" s="6"/>
      <c r="U236" s="7">
        <v>1561</v>
      </c>
      <c r="V236" s="6"/>
      <c r="W236" s="7">
        <v>107611</v>
      </c>
      <c r="X236" s="6"/>
      <c r="Y236" s="7">
        <v>7937</v>
      </c>
      <c r="Z236" s="6"/>
      <c r="AA236" s="296">
        <f t="shared" si="46"/>
        <v>7000</v>
      </c>
      <c r="AB236" s="488"/>
      <c r="AJ236" s="1">
        <v>7000</v>
      </c>
    </row>
    <row r="237" spans="4:36" ht="15" thickBot="1" x14ac:dyDescent="0.35">
      <c r="E237" s="444"/>
      <c r="F237" s="445"/>
      <c r="G237" s="445"/>
      <c r="H237" s="445"/>
      <c r="I237" s="445"/>
      <c r="J237" s="445"/>
      <c r="K237" s="445"/>
      <c r="L237" s="445"/>
      <c r="M237" s="446"/>
      <c r="Q237" s="487"/>
      <c r="R237" s="6" t="s">
        <v>141</v>
      </c>
      <c r="S237" s="6"/>
      <c r="T237" s="6"/>
      <c r="U237" s="7">
        <v>1435</v>
      </c>
      <c r="V237" s="6"/>
      <c r="W237" s="7">
        <v>10128</v>
      </c>
      <c r="X237" s="6"/>
      <c r="Y237" s="7">
        <v>541</v>
      </c>
      <c r="Z237" s="6"/>
      <c r="AA237" s="296">
        <f t="shared" si="46"/>
        <v>700</v>
      </c>
      <c r="AB237" s="488"/>
      <c r="AJ237" s="1">
        <v>700</v>
      </c>
    </row>
    <row r="238" spans="4:36" x14ac:dyDescent="0.3">
      <c r="Q238" s="487"/>
      <c r="R238" s="6" t="s">
        <v>137</v>
      </c>
      <c r="S238" s="6"/>
      <c r="T238" s="6"/>
      <c r="U238" s="7">
        <v>1288</v>
      </c>
      <c r="V238" s="6"/>
      <c r="W238" s="7">
        <v>45913</v>
      </c>
      <c r="X238" s="6"/>
      <c r="Y238" s="7">
        <v>4287</v>
      </c>
      <c r="Z238" s="6"/>
      <c r="AA238" s="296">
        <f t="shared" si="46"/>
        <v>3600</v>
      </c>
      <c r="AB238" s="488"/>
      <c r="AJ238" s="1">
        <v>3600</v>
      </c>
    </row>
    <row r="239" spans="4:36" ht="15" thickBot="1" x14ac:dyDescent="0.35">
      <c r="D239" s="90"/>
      <c r="E239" s="151"/>
      <c r="F239" s="151"/>
      <c r="G239" s="151"/>
      <c r="H239" s="151"/>
      <c r="I239" s="353"/>
      <c r="J239" s="90"/>
      <c r="K239" s="110"/>
      <c r="L239" s="110"/>
      <c r="M239" s="110"/>
      <c r="N239" s="110"/>
      <c r="Q239" s="487"/>
      <c r="R239" s="6" t="s">
        <v>142</v>
      </c>
      <c r="S239" s="6"/>
      <c r="T239" s="6"/>
      <c r="U239" s="7">
        <v>1129</v>
      </c>
      <c r="V239" s="6"/>
      <c r="W239" s="7">
        <v>52477</v>
      </c>
      <c r="X239" s="6"/>
      <c r="Y239" s="7">
        <v>3152</v>
      </c>
      <c r="Z239" s="6"/>
      <c r="AA239" s="296">
        <f t="shared" si="46"/>
        <v>4600</v>
      </c>
      <c r="AB239" s="488"/>
      <c r="AJ239" s="1">
        <v>4600</v>
      </c>
    </row>
    <row r="240" spans="4:36" ht="16.2" thickBot="1" x14ac:dyDescent="0.35">
      <c r="D240" s="424"/>
      <c r="E240" s="671" t="s">
        <v>132</v>
      </c>
      <c r="F240" s="672"/>
      <c r="G240" s="672"/>
      <c r="H240" s="672"/>
      <c r="I240" s="672"/>
      <c r="J240" s="673"/>
      <c r="K240" s="425"/>
      <c r="L240" s="437" t="s">
        <v>10</v>
      </c>
      <c r="M240" s="426"/>
      <c r="N240" s="110"/>
      <c r="Q240" s="487"/>
      <c r="R240" s="6" t="s">
        <v>138</v>
      </c>
      <c r="S240" s="6"/>
      <c r="T240" s="6"/>
      <c r="U240" s="7">
        <v>1118</v>
      </c>
      <c r="V240" s="6"/>
      <c r="W240" s="7">
        <v>10889</v>
      </c>
      <c r="X240" s="6"/>
      <c r="Y240" s="7">
        <v>505</v>
      </c>
      <c r="Z240" s="6"/>
      <c r="AA240" s="296">
        <f t="shared" si="46"/>
        <v>980</v>
      </c>
      <c r="AB240" s="488"/>
      <c r="AJ240" s="1">
        <v>980</v>
      </c>
    </row>
    <row r="241" spans="4:36" x14ac:dyDescent="0.3">
      <c r="D241" s="403"/>
      <c r="E241" s="427" t="s">
        <v>88</v>
      </c>
      <c r="F241" s="16"/>
      <c r="G241" s="16"/>
      <c r="H241" s="16"/>
      <c r="I241" s="674">
        <f>+K81</f>
        <v>48675</v>
      </c>
      <c r="J241" s="674"/>
      <c r="K241" s="16"/>
      <c r="L241" s="60">
        <f>+I241/$I$241</f>
        <v>1</v>
      </c>
      <c r="M241" s="428"/>
      <c r="N241" s="110"/>
      <c r="Q241" s="487"/>
      <c r="R241" s="6" t="s">
        <v>139</v>
      </c>
      <c r="S241" s="6"/>
      <c r="T241" s="6"/>
      <c r="U241" s="7">
        <v>1093</v>
      </c>
      <c r="V241" s="6"/>
      <c r="W241" s="7">
        <v>138546</v>
      </c>
      <c r="X241" s="6"/>
      <c r="Y241" s="7">
        <v>6770</v>
      </c>
      <c r="Z241" s="6"/>
      <c r="AA241" s="296">
        <f t="shared" si="46"/>
        <v>12700</v>
      </c>
      <c r="AB241" s="488"/>
      <c r="AJ241" s="1">
        <v>12700</v>
      </c>
    </row>
    <row r="242" spans="4:36" x14ac:dyDescent="0.3">
      <c r="D242" s="403"/>
      <c r="E242" s="427"/>
      <c r="F242" s="16"/>
      <c r="G242" s="16"/>
      <c r="H242" s="16"/>
      <c r="I242" s="16"/>
      <c r="J242" s="16"/>
      <c r="K242" s="16"/>
      <c r="L242" s="16"/>
      <c r="M242" s="428"/>
      <c r="N242" s="110"/>
      <c r="Q242" s="487"/>
      <c r="R242" s="6" t="s">
        <v>140</v>
      </c>
      <c r="S242" s="6"/>
      <c r="T242" s="6"/>
      <c r="U242" s="490">
        <v>1081</v>
      </c>
      <c r="V242" s="6"/>
      <c r="W242" s="490">
        <v>65337</v>
      </c>
      <c r="X242" s="6"/>
      <c r="Y242" s="490">
        <v>3108</v>
      </c>
      <c r="Z242" s="6"/>
      <c r="AA242" s="491">
        <f t="shared" si="46"/>
        <v>6100</v>
      </c>
      <c r="AB242" s="488"/>
      <c r="AJ242" s="482">
        <v>6100</v>
      </c>
    </row>
    <row r="243" spans="4:36" x14ac:dyDescent="0.3">
      <c r="D243" s="415"/>
      <c r="E243" s="15"/>
      <c r="F243" s="429" t="s">
        <v>113</v>
      </c>
      <c r="G243" s="429"/>
      <c r="H243" s="15"/>
      <c r="I243" s="675">
        <f>+I81</f>
        <v>36684</v>
      </c>
      <c r="J243" s="676"/>
      <c r="K243" s="15"/>
      <c r="L243" s="60">
        <f>+I243/$I$241</f>
        <v>0.75365177195685673</v>
      </c>
      <c r="M243" s="408"/>
      <c r="N243" s="110"/>
      <c r="Q243" s="487"/>
      <c r="R243" s="5" t="s">
        <v>33</v>
      </c>
      <c r="S243" s="6"/>
      <c r="T243" s="6"/>
      <c r="U243" s="296">
        <f>+W243/(AA243/100)</f>
        <v>1545.0521632402579</v>
      </c>
      <c r="V243" s="6"/>
      <c r="W243" s="296">
        <f>SUM(W233:W242)</f>
        <v>1007065</v>
      </c>
      <c r="X243" s="6"/>
      <c r="Y243" s="296">
        <f>SUM(Y233:Y242)</f>
        <v>71545</v>
      </c>
      <c r="Z243" s="6"/>
      <c r="AA243" s="296">
        <f>SUM(AA233:AA242)</f>
        <v>65180</v>
      </c>
      <c r="AB243" s="488"/>
      <c r="AJ243" s="56">
        <f>SUM(AJ233:AJ242)</f>
        <v>65180</v>
      </c>
    </row>
    <row r="244" spans="4:36" x14ac:dyDescent="0.3">
      <c r="D244" s="415"/>
      <c r="E244" s="15"/>
      <c r="F244" s="15" t="s">
        <v>89</v>
      </c>
      <c r="G244" s="15"/>
      <c r="H244" s="15"/>
      <c r="I244" s="677">
        <f>+I75</f>
        <v>2144</v>
      </c>
      <c r="J244" s="678"/>
      <c r="K244" s="15"/>
      <c r="L244" s="60">
        <f>+I244/$I$241</f>
        <v>4.4047252182845401E-2</v>
      </c>
      <c r="M244" s="408"/>
      <c r="N244" s="110"/>
      <c r="Q244" s="487"/>
      <c r="R244" s="5"/>
      <c r="S244" s="6"/>
      <c r="T244" s="6"/>
      <c r="U244" s="6"/>
      <c r="V244" s="6"/>
      <c r="W244" s="296"/>
      <c r="X244" s="6"/>
      <c r="Y244" s="296"/>
      <c r="Z244" s="6"/>
      <c r="AA244" s="6"/>
      <c r="AB244" s="488"/>
      <c r="AJ244" s="56"/>
    </row>
    <row r="245" spans="4:36" ht="15" thickBot="1" x14ac:dyDescent="0.35">
      <c r="D245" s="415"/>
      <c r="E245" s="663" t="s">
        <v>114</v>
      </c>
      <c r="F245" s="663"/>
      <c r="G245" s="663"/>
      <c r="H245" s="15"/>
      <c r="I245" s="664">
        <f>+I241-I243-I244</f>
        <v>9847</v>
      </c>
      <c r="J245" s="665"/>
      <c r="K245" s="430"/>
      <c r="L245" s="431">
        <f>+I245/$I$241</f>
        <v>0.20230097586029788</v>
      </c>
      <c r="M245" s="408"/>
      <c r="N245" s="110"/>
      <c r="Q245" s="487"/>
      <c r="R245" s="5" t="s">
        <v>59</v>
      </c>
      <c r="S245" s="6"/>
      <c r="T245" s="6"/>
      <c r="U245" s="7">
        <v>7441</v>
      </c>
      <c r="V245" s="6"/>
      <c r="W245" s="7">
        <f>+'Main Table'!H106</f>
        <v>2465403</v>
      </c>
      <c r="X245" s="6"/>
      <c r="Y245" s="7">
        <f>+'Main Table'!AA106</f>
        <v>126977</v>
      </c>
      <c r="Z245" s="6"/>
      <c r="AA245" s="296">
        <v>331000</v>
      </c>
      <c r="AB245" s="488"/>
      <c r="AJ245" s="56">
        <v>333000</v>
      </c>
    </row>
    <row r="246" spans="4:36" ht="15.6" thickTop="1" thickBot="1" x14ac:dyDescent="0.35">
      <c r="D246" s="415"/>
      <c r="E246" s="432"/>
      <c r="F246" s="432"/>
      <c r="G246" s="432"/>
      <c r="H246" s="15"/>
      <c r="I246" s="433"/>
      <c r="J246" s="432"/>
      <c r="K246" s="430"/>
      <c r="L246" s="434"/>
      <c r="M246" s="408"/>
      <c r="N246" s="110"/>
      <c r="Q246" s="487"/>
      <c r="R246" s="5" t="s">
        <v>143</v>
      </c>
      <c r="S246" s="6"/>
      <c r="T246" s="6"/>
      <c r="U246" s="492"/>
      <c r="V246" s="6"/>
      <c r="W246" s="493">
        <f>+W243/W245</f>
        <v>0.40847885720914595</v>
      </c>
      <c r="X246" s="6"/>
      <c r="Y246" s="493">
        <f>+Y243/Y245</f>
        <v>0.56344849854698098</v>
      </c>
      <c r="Z246" s="6"/>
      <c r="AA246" s="493">
        <f>+AA243/AA245</f>
        <v>0.19691842900302114</v>
      </c>
      <c r="AB246" s="488"/>
      <c r="AJ246" s="483">
        <f>+AJ243/AJ245</f>
        <v>0.19573573573573574</v>
      </c>
    </row>
    <row r="247" spans="4:36" ht="15.6" thickTop="1" thickBot="1" x14ac:dyDescent="0.35">
      <c r="D247" s="435"/>
      <c r="E247" s="436"/>
      <c r="F247" s="436"/>
      <c r="G247" s="436"/>
      <c r="H247" s="436"/>
      <c r="I247" s="436"/>
      <c r="J247" s="436"/>
      <c r="K247" s="436"/>
      <c r="L247" s="436"/>
      <c r="M247" s="423"/>
      <c r="N247" s="110"/>
      <c r="Q247" s="494"/>
      <c r="R247" s="495"/>
      <c r="S247" s="495"/>
      <c r="T247" s="495"/>
      <c r="U247" s="495"/>
      <c r="V247" s="495"/>
      <c r="W247" s="495"/>
      <c r="X247" s="495"/>
      <c r="Y247" s="495"/>
      <c r="Z247" s="495"/>
      <c r="AA247" s="495"/>
      <c r="AB247" s="496"/>
    </row>
    <row r="251" spans="4:36" x14ac:dyDescent="0.3">
      <c r="F251" s="1">
        <v>1248371</v>
      </c>
    </row>
    <row r="252" spans="4:36" x14ac:dyDescent="0.3">
      <c r="W252" s="1"/>
    </row>
    <row r="253" spans="4:36" x14ac:dyDescent="0.3">
      <c r="F253">
        <v>700</v>
      </c>
    </row>
    <row r="254" spans="4:36" x14ac:dyDescent="0.3">
      <c r="F254" s="87">
        <f>+F253/F251</f>
        <v>5.6073074430597954E-4</v>
      </c>
    </row>
    <row r="256" spans="4:36" x14ac:dyDescent="0.3">
      <c r="F256" s="1">
        <v>60000</v>
      </c>
    </row>
    <row r="257" spans="6:6" x14ac:dyDescent="0.3">
      <c r="F257">
        <f>+F254*F256</f>
        <v>33.643844658358773</v>
      </c>
    </row>
    <row r="259" spans="6:6" x14ac:dyDescent="0.3">
      <c r="F259" s="1">
        <v>331000000</v>
      </c>
    </row>
    <row r="260" spans="6:6" x14ac:dyDescent="0.3">
      <c r="F260" s="56">
        <f>+W86</f>
        <v>811067</v>
      </c>
    </row>
    <row r="261" spans="6:6" x14ac:dyDescent="0.3">
      <c r="F261" s="57">
        <f>+F260/F259</f>
        <v>2.4503534743202417E-3</v>
      </c>
    </row>
  </sheetData>
  <mergeCells count="50">
    <mergeCell ref="F67:G67"/>
    <mergeCell ref="E64:M64"/>
    <mergeCell ref="I61:J61"/>
    <mergeCell ref="T3:AD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245:G245"/>
    <mergeCell ref="I245:J245"/>
    <mergeCell ref="E231:M231"/>
    <mergeCell ref="I232:L232"/>
    <mergeCell ref="F234:G234"/>
    <mergeCell ref="E240:J240"/>
    <mergeCell ref="I241:J241"/>
    <mergeCell ref="I243:J243"/>
    <mergeCell ref="I244:J244"/>
    <mergeCell ref="H236:I236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10" workbookViewId="0">
      <selection activeCell="J15" sqref="J15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618" t="s">
        <v>5</v>
      </c>
      <c r="C1" s="618"/>
      <c r="D1" s="618"/>
    </row>
    <row r="2" spans="2:31" ht="15.6" x14ac:dyDescent="0.3">
      <c r="B2" s="618" t="s">
        <v>6</v>
      </c>
      <c r="C2" s="618"/>
      <c r="D2" s="618"/>
    </row>
    <row r="3" spans="2:31" ht="15.6" x14ac:dyDescent="0.3">
      <c r="B3" s="256" t="s">
        <v>13</v>
      </c>
      <c r="C3" s="256"/>
      <c r="D3" s="166"/>
    </row>
    <row r="4" spans="2:31" ht="15.6" x14ac:dyDescent="0.3">
      <c r="B4" s="167"/>
      <c r="C4" s="167"/>
      <c r="D4" s="166"/>
    </row>
    <row r="5" spans="2:31" ht="15.6" x14ac:dyDescent="0.3">
      <c r="B5" s="167"/>
      <c r="C5" s="167"/>
      <c r="D5" s="166" t="s">
        <v>83</v>
      </c>
      <c r="F5" s="257" t="s">
        <v>84</v>
      </c>
    </row>
    <row r="6" spans="2:31" ht="15.6" x14ac:dyDescent="0.3">
      <c r="B6" s="167"/>
      <c r="C6" s="167"/>
      <c r="D6" s="166"/>
      <c r="F6" t="s">
        <v>87</v>
      </c>
    </row>
    <row r="7" spans="2:31" ht="15.6" x14ac:dyDescent="0.3">
      <c r="B7" s="167"/>
      <c r="C7" s="167"/>
      <c r="D7" s="166"/>
      <c r="F7" s="257" t="s">
        <v>86</v>
      </c>
    </row>
    <row r="8" spans="2:31" ht="15.6" x14ac:dyDescent="0.3">
      <c r="B8" s="167"/>
      <c r="C8" s="167"/>
      <c r="D8" s="166"/>
      <c r="F8" s="257" t="s">
        <v>85</v>
      </c>
    </row>
    <row r="9" spans="2:31" ht="15.6" x14ac:dyDescent="0.3">
      <c r="B9" s="167"/>
      <c r="C9" s="167"/>
      <c r="D9" s="166"/>
      <c r="F9" s="257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727" t="s">
        <v>23</v>
      </c>
      <c r="E12" s="728"/>
      <c r="F12" s="728"/>
      <c r="G12" s="728"/>
      <c r="H12" s="728"/>
      <c r="I12" s="728"/>
      <c r="J12" s="728"/>
      <c r="K12" s="728"/>
      <c r="L12" s="728"/>
      <c r="M12" s="728"/>
      <c r="N12" s="728"/>
      <c r="O12" s="728"/>
      <c r="P12" s="728"/>
      <c r="Q12" s="728"/>
      <c r="R12" s="728"/>
      <c r="S12" s="728"/>
      <c r="T12" s="728"/>
      <c r="U12" s="729"/>
      <c r="V12" s="59"/>
    </row>
    <row r="13" spans="2:31" ht="15" thickBot="1" x14ac:dyDescent="0.35">
      <c r="D13" s="226" t="s">
        <v>19</v>
      </c>
      <c r="E13" s="76"/>
      <c r="F13" s="227" t="s">
        <v>20</v>
      </c>
      <c r="G13" s="77"/>
      <c r="H13" s="77"/>
      <c r="I13" s="77"/>
      <c r="J13" s="228" t="s">
        <v>21</v>
      </c>
      <c r="K13" s="77"/>
      <c r="L13" s="227" t="s">
        <v>18</v>
      </c>
      <c r="M13" s="78"/>
      <c r="N13" s="78"/>
      <c r="O13" s="78"/>
      <c r="P13" s="227" t="s">
        <v>20</v>
      </c>
      <c r="Q13" s="78"/>
      <c r="R13" s="78"/>
      <c r="S13" s="78"/>
      <c r="T13" s="227" t="s">
        <v>22</v>
      </c>
      <c r="U13" s="229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1">
        <v>0.1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1">
        <v>0.01</v>
      </c>
      <c r="U14" s="229"/>
      <c r="V14" s="1"/>
      <c r="X14" s="233"/>
      <c r="Y14" s="726" t="s">
        <v>62</v>
      </c>
      <c r="Z14" s="726"/>
      <c r="AA14" s="726"/>
      <c r="AB14" s="726"/>
      <c r="AC14" s="726"/>
      <c r="AD14" s="234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93978.500000000015</v>
      </c>
      <c r="G15" s="81"/>
      <c r="H15" s="81"/>
      <c r="I15" s="81"/>
      <c r="J15" s="82">
        <f t="shared" ref="J15:J59" si="2">+J14</f>
        <v>0.1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86289.35</v>
      </c>
      <c r="Q15" s="81"/>
      <c r="R15" s="81"/>
      <c r="S15" s="81"/>
      <c r="T15" s="82">
        <f t="shared" ref="T15:T59" si="5">+T14</f>
        <v>0.01</v>
      </c>
      <c r="U15" s="229"/>
      <c r="V15" s="1"/>
      <c r="X15" s="235"/>
      <c r="Y15" s="236" t="s">
        <v>63</v>
      </c>
      <c r="Z15" s="237"/>
      <c r="AA15" s="236" t="s">
        <v>64</v>
      </c>
      <c r="AB15" s="238"/>
      <c r="AC15" s="239" t="s">
        <v>10</v>
      </c>
      <c r="AD15" s="240"/>
      <c r="AE15" s="1"/>
    </row>
    <row r="16" spans="2:31" x14ac:dyDescent="0.3">
      <c r="D16" s="79">
        <f t="shared" si="0"/>
        <v>43918</v>
      </c>
      <c r="E16" s="80"/>
      <c r="F16" s="81">
        <f t="shared" si="1"/>
        <v>103376.35000000002</v>
      </c>
      <c r="G16" s="81"/>
      <c r="H16" s="81"/>
      <c r="I16" s="81"/>
      <c r="J16" s="82">
        <f t="shared" si="2"/>
        <v>0.1</v>
      </c>
      <c r="K16" s="81"/>
      <c r="L16" s="81">
        <f t="shared" si="3"/>
        <v>2</v>
      </c>
      <c r="M16" s="81"/>
      <c r="N16" s="81"/>
      <c r="O16" s="81"/>
      <c r="P16" s="81">
        <f t="shared" si="4"/>
        <v>87152.243500000011</v>
      </c>
      <c r="Q16" s="81"/>
      <c r="R16" s="81"/>
      <c r="S16" s="81"/>
      <c r="T16" s="82">
        <f t="shared" si="5"/>
        <v>0.01</v>
      </c>
      <c r="U16" s="229"/>
      <c r="V16" s="1"/>
      <c r="X16" s="235"/>
      <c r="Y16" s="241" t="s">
        <v>59</v>
      </c>
      <c r="Z16" s="241"/>
      <c r="AA16" s="242">
        <v>330</v>
      </c>
      <c r="AB16" s="241"/>
      <c r="AC16" s="243">
        <f>+AA16/AA16</f>
        <v>1</v>
      </c>
      <c r="AD16" s="240"/>
      <c r="AE16" s="1"/>
    </row>
    <row r="17" spans="4:33" x14ac:dyDescent="0.3">
      <c r="D17" s="79">
        <f t="shared" si="0"/>
        <v>43919</v>
      </c>
      <c r="E17" s="80"/>
      <c r="F17" s="81">
        <f t="shared" si="1"/>
        <v>113713.98500000003</v>
      </c>
      <c r="G17" s="81"/>
      <c r="H17" s="81"/>
      <c r="I17" s="81"/>
      <c r="J17" s="82">
        <f t="shared" si="2"/>
        <v>0.1</v>
      </c>
      <c r="K17" s="81"/>
      <c r="L17" s="81">
        <f t="shared" si="3"/>
        <v>3</v>
      </c>
      <c r="M17" s="81"/>
      <c r="N17" s="81"/>
      <c r="O17" s="81"/>
      <c r="P17" s="81">
        <f t="shared" si="4"/>
        <v>88023.765935000018</v>
      </c>
      <c r="Q17" s="81"/>
      <c r="R17" s="81"/>
      <c r="S17" s="81"/>
      <c r="T17" s="82">
        <f t="shared" si="5"/>
        <v>0.01</v>
      </c>
      <c r="U17" s="229"/>
      <c r="V17" s="1"/>
      <c r="X17" s="235"/>
      <c r="Y17" s="244" t="s">
        <v>61</v>
      </c>
      <c r="Z17" s="241"/>
      <c r="AA17" s="245">
        <v>53.42</v>
      </c>
      <c r="AB17" s="241"/>
      <c r="AC17" s="243">
        <f>+AA17/AA16</f>
        <v>0.16187878787878787</v>
      </c>
      <c r="AD17" s="240"/>
      <c r="AE17" s="1"/>
    </row>
    <row r="18" spans="4:33" x14ac:dyDescent="0.3">
      <c r="D18" s="79">
        <f t="shared" si="0"/>
        <v>43920</v>
      </c>
      <c r="E18" s="80"/>
      <c r="F18" s="81">
        <f t="shared" si="1"/>
        <v>125085.38350000004</v>
      </c>
      <c r="G18" s="81"/>
      <c r="H18" s="81"/>
      <c r="I18" s="81"/>
      <c r="J18" s="82">
        <f t="shared" si="2"/>
        <v>0.1</v>
      </c>
      <c r="K18" s="81"/>
      <c r="L18" s="81">
        <f t="shared" si="3"/>
        <v>4</v>
      </c>
      <c r="M18" s="81"/>
      <c r="N18" s="81"/>
      <c r="O18" s="81"/>
      <c r="P18" s="81">
        <f t="shared" si="4"/>
        <v>88904.003594350012</v>
      </c>
      <c r="Q18" s="81"/>
      <c r="R18" s="81"/>
      <c r="S18" s="81"/>
      <c r="T18" s="82">
        <f t="shared" si="5"/>
        <v>0.01</v>
      </c>
      <c r="U18" s="229"/>
      <c r="V18" s="1"/>
      <c r="X18" s="235"/>
      <c r="Y18" s="246" t="s">
        <v>65</v>
      </c>
      <c r="Z18" s="246"/>
      <c r="AA18" s="242">
        <f>+AC18*AA17</f>
        <v>11.37846</v>
      </c>
      <c r="AB18" s="241"/>
      <c r="AC18" s="243">
        <v>0.21299999999999999</v>
      </c>
      <c r="AD18" s="240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137593.92185000004</v>
      </c>
      <c r="G19" s="81"/>
      <c r="H19" s="81"/>
      <c r="I19" s="81"/>
      <c r="J19" s="82">
        <f t="shared" si="2"/>
        <v>0.1</v>
      </c>
      <c r="K19" s="81"/>
      <c r="L19" s="81">
        <f t="shared" si="3"/>
        <v>5</v>
      </c>
      <c r="M19" s="81"/>
      <c r="N19" s="81"/>
      <c r="O19" s="81"/>
      <c r="P19" s="81">
        <f t="shared" si="4"/>
        <v>89793.043630293512</v>
      </c>
      <c r="Q19" s="81"/>
      <c r="R19" s="81"/>
      <c r="S19" s="81"/>
      <c r="T19" s="82">
        <f t="shared" si="5"/>
        <v>0.01</v>
      </c>
      <c r="U19" s="229"/>
      <c r="V19" s="1"/>
      <c r="X19" s="247"/>
      <c r="Y19" s="248" t="s">
        <v>66</v>
      </c>
      <c r="Z19" s="248"/>
      <c r="AA19" s="249"/>
      <c r="AB19" s="250"/>
      <c r="AC19" s="249">
        <f>+AA18/AA16</f>
        <v>3.448018181818182E-2</v>
      </c>
      <c r="AD19" s="251"/>
      <c r="AE19" s="1"/>
    </row>
    <row r="20" spans="4:33" x14ac:dyDescent="0.3">
      <c r="D20" s="79">
        <f t="shared" si="0"/>
        <v>43922</v>
      </c>
      <c r="E20" s="80"/>
      <c r="F20" s="81">
        <f t="shared" si="1"/>
        <v>151353.31403500005</v>
      </c>
      <c r="G20" s="81"/>
      <c r="H20" s="81"/>
      <c r="I20" s="81"/>
      <c r="J20" s="82">
        <f t="shared" si="2"/>
        <v>0.1</v>
      </c>
      <c r="K20" s="81"/>
      <c r="L20" s="81">
        <f t="shared" si="3"/>
        <v>6</v>
      </c>
      <c r="M20" s="81"/>
      <c r="N20" s="81"/>
      <c r="O20" s="81"/>
      <c r="P20" s="81">
        <f t="shared" si="4"/>
        <v>90690.974066596449</v>
      </c>
      <c r="Q20" s="81"/>
      <c r="R20" s="81"/>
      <c r="S20" s="81"/>
      <c r="T20" s="82">
        <f t="shared" si="5"/>
        <v>0.01</v>
      </c>
      <c r="U20" s="229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166488.64543850007</v>
      </c>
      <c r="G21" s="81"/>
      <c r="H21" s="81"/>
      <c r="I21" s="81"/>
      <c r="J21" s="82">
        <f t="shared" si="2"/>
        <v>0.1</v>
      </c>
      <c r="K21" s="81"/>
      <c r="L21" s="81">
        <f t="shared" si="3"/>
        <v>7</v>
      </c>
      <c r="M21" s="81"/>
      <c r="N21" s="81"/>
      <c r="O21" s="81"/>
      <c r="P21" s="81">
        <f t="shared" si="4"/>
        <v>91597.88380726242</v>
      </c>
      <c r="Q21" s="81"/>
      <c r="R21" s="81"/>
      <c r="S21" s="81"/>
      <c r="T21" s="82">
        <f t="shared" si="5"/>
        <v>0.01</v>
      </c>
      <c r="U21" s="229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183137.50998235008</v>
      </c>
      <c r="G22" s="81"/>
      <c r="H22" s="81"/>
      <c r="I22" s="81"/>
      <c r="J22" s="82">
        <f t="shared" si="2"/>
        <v>0.1</v>
      </c>
      <c r="K22" s="81"/>
      <c r="L22" s="81">
        <f t="shared" si="3"/>
        <v>8</v>
      </c>
      <c r="M22" s="81"/>
      <c r="N22" s="81"/>
      <c r="O22" s="81"/>
      <c r="P22" s="81">
        <f t="shared" si="4"/>
        <v>92513.862645335044</v>
      </c>
      <c r="Q22" s="81"/>
      <c r="R22" s="81"/>
      <c r="S22" s="81"/>
      <c r="T22" s="82">
        <f t="shared" si="5"/>
        <v>0.01</v>
      </c>
      <c r="U22" s="229"/>
      <c r="V22" s="1"/>
    </row>
    <row r="23" spans="4:33" x14ac:dyDescent="0.3">
      <c r="D23" s="79">
        <f t="shared" si="0"/>
        <v>43925</v>
      </c>
      <c r="E23" s="80"/>
      <c r="F23" s="81">
        <f t="shared" si="1"/>
        <v>201451.2609805851</v>
      </c>
      <c r="G23" s="81"/>
      <c r="H23" s="81"/>
      <c r="I23" s="81"/>
      <c r="J23" s="82">
        <f t="shared" si="2"/>
        <v>0.1</v>
      </c>
      <c r="K23" s="81"/>
      <c r="L23" s="81">
        <f t="shared" si="3"/>
        <v>9</v>
      </c>
      <c r="M23" s="81"/>
      <c r="N23" s="81"/>
      <c r="O23" s="81"/>
      <c r="P23" s="81">
        <f t="shared" si="4"/>
        <v>93439.001271788395</v>
      </c>
      <c r="Q23" s="81"/>
      <c r="R23" s="81"/>
      <c r="S23" s="81"/>
      <c r="T23" s="82">
        <f t="shared" si="5"/>
        <v>0.01</v>
      </c>
      <c r="U23" s="229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221596.38707864363</v>
      </c>
      <c r="G24" s="81"/>
      <c r="H24" s="81"/>
      <c r="I24" s="81"/>
      <c r="J24" s="82">
        <f t="shared" si="2"/>
        <v>0.1</v>
      </c>
      <c r="K24" s="81"/>
      <c r="L24" s="81">
        <f t="shared" si="3"/>
        <v>10</v>
      </c>
      <c r="M24" s="81"/>
      <c r="N24" s="81"/>
      <c r="O24" s="81"/>
      <c r="P24" s="81">
        <f t="shared" si="4"/>
        <v>94373.391284506273</v>
      </c>
      <c r="Q24" s="81"/>
      <c r="R24" s="81"/>
      <c r="S24" s="81"/>
      <c r="T24" s="82">
        <f t="shared" si="5"/>
        <v>0.01</v>
      </c>
      <c r="U24" s="229"/>
      <c r="V24" s="1"/>
      <c r="X24" s="110"/>
      <c r="Y24" s="114"/>
      <c r="Z24" s="255"/>
      <c r="AA24" s="255"/>
      <c r="AB24" s="255"/>
      <c r="AC24" s="255"/>
      <c r="AD24" s="255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243756.02578650802</v>
      </c>
      <c r="G25" s="81"/>
      <c r="H25" s="81"/>
      <c r="I25" s="81"/>
      <c r="J25" s="82">
        <f t="shared" si="2"/>
        <v>0.1</v>
      </c>
      <c r="K25" s="81"/>
      <c r="L25" s="81">
        <f t="shared" si="3"/>
        <v>11</v>
      </c>
      <c r="M25" s="81"/>
      <c r="N25" s="81"/>
      <c r="O25" s="81"/>
      <c r="P25" s="81">
        <f t="shared" si="4"/>
        <v>95317.125197351343</v>
      </c>
      <c r="Q25" s="81"/>
      <c r="R25" s="81"/>
      <c r="S25" s="81"/>
      <c r="T25" s="82">
        <f t="shared" si="5"/>
        <v>0.01</v>
      </c>
      <c r="U25" s="229"/>
      <c r="V25" s="1"/>
      <c r="X25" s="110"/>
      <c r="Y25" s="254"/>
      <c r="Z25" s="254"/>
      <c r="AA25" s="254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268131.62836515886</v>
      </c>
      <c r="G26" s="81"/>
      <c r="H26" s="81"/>
      <c r="I26" s="81"/>
      <c r="J26" s="82">
        <f t="shared" si="2"/>
        <v>0.1</v>
      </c>
      <c r="K26" s="81"/>
      <c r="L26" s="81">
        <f t="shared" si="3"/>
        <v>12</v>
      </c>
      <c r="M26" s="81"/>
      <c r="N26" s="81"/>
      <c r="O26" s="81"/>
      <c r="P26" s="81">
        <f t="shared" si="4"/>
        <v>96270.296449324858</v>
      </c>
      <c r="Q26" s="81"/>
      <c r="R26" s="81"/>
      <c r="S26" s="81"/>
      <c r="T26" s="82">
        <f t="shared" si="5"/>
        <v>0.01</v>
      </c>
      <c r="U26" s="229"/>
      <c r="V26" s="1"/>
      <c r="X26" s="110"/>
      <c r="Y26" s="114"/>
      <c r="Z26" s="114"/>
      <c r="AA26" s="114"/>
      <c r="AB26" s="110"/>
      <c r="AC26" s="252"/>
      <c r="AD26" s="110"/>
      <c r="AE26" s="253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294944.79120167479</v>
      </c>
      <c r="G27" s="81"/>
      <c r="H27" s="81"/>
      <c r="I27" s="81"/>
      <c r="J27" s="82">
        <f t="shared" si="2"/>
        <v>0.1</v>
      </c>
      <c r="K27" s="81"/>
      <c r="L27" s="81">
        <f t="shared" si="3"/>
        <v>13</v>
      </c>
      <c r="M27" s="81"/>
      <c r="N27" s="81"/>
      <c r="O27" s="81"/>
      <c r="P27" s="81">
        <f t="shared" si="4"/>
        <v>97232.999413818106</v>
      </c>
      <c r="Q27" s="81"/>
      <c r="R27" s="81"/>
      <c r="S27" s="81"/>
      <c r="T27" s="82">
        <f t="shared" si="5"/>
        <v>0.01</v>
      </c>
      <c r="U27" s="229"/>
      <c r="V27" s="1"/>
      <c r="X27" s="110"/>
      <c r="Y27" s="114"/>
      <c r="Z27" s="114"/>
      <c r="AA27" s="114"/>
      <c r="AB27" s="110"/>
      <c r="AC27" s="252"/>
      <c r="AD27" s="110"/>
      <c r="AE27" s="253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324439.27032184228</v>
      </c>
      <c r="G28" s="81"/>
      <c r="H28" s="81"/>
      <c r="I28" s="81"/>
      <c r="J28" s="82">
        <f t="shared" si="2"/>
        <v>0.1</v>
      </c>
      <c r="K28" s="81"/>
      <c r="L28" s="81">
        <f t="shared" si="3"/>
        <v>14</v>
      </c>
      <c r="M28" s="81"/>
      <c r="N28" s="81"/>
      <c r="O28" s="81"/>
      <c r="P28" s="81">
        <f t="shared" si="4"/>
        <v>98205.329407956291</v>
      </c>
      <c r="Q28" s="81"/>
      <c r="R28" s="81"/>
      <c r="S28" s="81"/>
      <c r="T28" s="82">
        <f t="shared" si="5"/>
        <v>0.01</v>
      </c>
      <c r="U28" s="229"/>
      <c r="V28" s="1"/>
      <c r="X28" s="110"/>
      <c r="Y28" s="255"/>
      <c r="Z28" s="255"/>
      <c r="AA28" s="255"/>
      <c r="AB28" s="110"/>
      <c r="AC28" s="252"/>
      <c r="AD28" s="110"/>
      <c r="AE28" s="253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356883.19735402655</v>
      </c>
      <c r="G29" s="81"/>
      <c r="H29" s="81"/>
      <c r="I29" s="81"/>
      <c r="J29" s="82">
        <f t="shared" si="2"/>
        <v>0.1</v>
      </c>
      <c r="K29" s="81"/>
      <c r="L29" s="81">
        <f t="shared" si="3"/>
        <v>15</v>
      </c>
      <c r="M29" s="81"/>
      <c r="N29" s="81"/>
      <c r="O29" s="81"/>
      <c r="P29" s="81">
        <f t="shared" si="4"/>
        <v>99187.382702035859</v>
      </c>
      <c r="Q29" s="81"/>
      <c r="R29" s="81"/>
      <c r="S29" s="81"/>
      <c r="T29" s="82">
        <f t="shared" si="5"/>
        <v>0.01</v>
      </c>
      <c r="U29" s="229"/>
      <c r="V29" s="88"/>
      <c r="X29" s="110"/>
      <c r="Y29" s="255"/>
      <c r="Z29" s="255"/>
      <c r="AA29" s="255"/>
      <c r="AB29" s="110"/>
      <c r="AC29" s="253"/>
      <c r="AD29" s="110"/>
      <c r="AE29" s="253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392571.51708942925</v>
      </c>
      <c r="G30" s="81"/>
      <c r="H30" s="81"/>
      <c r="I30" s="81"/>
      <c r="J30" s="82">
        <f t="shared" si="2"/>
        <v>0.1</v>
      </c>
      <c r="K30" s="81"/>
      <c r="L30" s="81">
        <f t="shared" si="3"/>
        <v>16</v>
      </c>
      <c r="M30" s="81"/>
      <c r="N30" s="81"/>
      <c r="O30" s="81"/>
      <c r="P30" s="81">
        <f t="shared" si="4"/>
        <v>100179.25652905622</v>
      </c>
      <c r="Q30" s="81"/>
      <c r="R30" s="81"/>
      <c r="S30" s="81"/>
      <c r="T30" s="82">
        <f t="shared" si="5"/>
        <v>0.01</v>
      </c>
      <c r="U30" s="229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431828.66879837221</v>
      </c>
      <c r="G31" s="81"/>
      <c r="H31" s="81"/>
      <c r="I31" s="81"/>
      <c r="J31" s="82">
        <f t="shared" si="2"/>
        <v>0.1</v>
      </c>
      <c r="K31" s="81"/>
      <c r="L31" s="81">
        <f t="shared" si="3"/>
        <v>17</v>
      </c>
      <c r="M31" s="81"/>
      <c r="N31" s="81"/>
      <c r="O31" s="81"/>
      <c r="P31" s="81">
        <f t="shared" si="4"/>
        <v>101181.04909434679</v>
      </c>
      <c r="Q31" s="81"/>
      <c r="R31" s="81"/>
      <c r="S31" s="81"/>
      <c r="T31" s="82">
        <f t="shared" si="5"/>
        <v>0.01</v>
      </c>
      <c r="U31" s="229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475011.53567820945</v>
      </c>
      <c r="G32" s="81"/>
      <c r="H32" s="81"/>
      <c r="I32" s="81"/>
      <c r="J32" s="82">
        <f t="shared" si="2"/>
        <v>0.1</v>
      </c>
      <c r="K32" s="81"/>
      <c r="L32" s="81">
        <f t="shared" si="3"/>
        <v>18</v>
      </c>
      <c r="M32" s="81"/>
      <c r="N32" s="81"/>
      <c r="O32" s="81"/>
      <c r="P32" s="81">
        <f t="shared" si="4"/>
        <v>102192.85958529025</v>
      </c>
      <c r="Q32" s="81"/>
      <c r="R32" s="81"/>
      <c r="S32" s="81"/>
      <c r="T32" s="82">
        <f t="shared" si="5"/>
        <v>0.01</v>
      </c>
      <c r="U32" s="229"/>
      <c r="V32" s="1"/>
    </row>
    <row r="33" spans="4:22" x14ac:dyDescent="0.3">
      <c r="D33" s="79">
        <f t="shared" si="0"/>
        <v>43935</v>
      </c>
      <c r="E33" s="80"/>
      <c r="F33" s="81">
        <f t="shared" si="1"/>
        <v>522512.68924603041</v>
      </c>
      <c r="G33" s="81"/>
      <c r="H33" s="81"/>
      <c r="I33" s="81"/>
      <c r="J33" s="82">
        <f t="shared" si="2"/>
        <v>0.1</v>
      </c>
      <c r="K33" s="81"/>
      <c r="L33" s="81">
        <f t="shared" si="3"/>
        <v>19</v>
      </c>
      <c r="M33" s="81"/>
      <c r="N33" s="81"/>
      <c r="O33" s="81"/>
      <c r="P33" s="81">
        <f t="shared" si="4"/>
        <v>103214.78818114316</v>
      </c>
      <c r="Q33" s="81"/>
      <c r="R33" s="81"/>
      <c r="S33" s="81"/>
      <c r="T33" s="82">
        <f t="shared" si="5"/>
        <v>0.01</v>
      </c>
      <c r="U33" s="229"/>
      <c r="V33" s="1"/>
    </row>
    <row r="34" spans="4:22" x14ac:dyDescent="0.3">
      <c r="D34" s="79">
        <f t="shared" si="0"/>
        <v>43936</v>
      </c>
      <c r="E34" s="80"/>
      <c r="F34" s="81">
        <f t="shared" si="1"/>
        <v>574763.95817063353</v>
      </c>
      <c r="G34" s="81"/>
      <c r="H34" s="81"/>
      <c r="I34" s="81"/>
      <c r="J34" s="82">
        <f t="shared" si="2"/>
        <v>0.1</v>
      </c>
      <c r="K34" s="81"/>
      <c r="L34" s="81">
        <f t="shared" si="3"/>
        <v>20</v>
      </c>
      <c r="M34" s="81"/>
      <c r="N34" s="81"/>
      <c r="O34" s="81"/>
      <c r="P34" s="81">
        <f t="shared" si="4"/>
        <v>104246.93606295458</v>
      </c>
      <c r="Q34" s="81"/>
      <c r="R34" s="81"/>
      <c r="S34" s="81"/>
      <c r="T34" s="82">
        <f t="shared" si="5"/>
        <v>0.01</v>
      </c>
      <c r="U34" s="229"/>
      <c r="V34" s="1"/>
    </row>
    <row r="35" spans="4:22" x14ac:dyDescent="0.3">
      <c r="D35" s="79">
        <f t="shared" si="0"/>
        <v>43937</v>
      </c>
      <c r="E35" s="80"/>
      <c r="F35" s="81">
        <f t="shared" si="1"/>
        <v>632240.35398769693</v>
      </c>
      <c r="G35" s="81"/>
      <c r="H35" s="81"/>
      <c r="I35" s="81"/>
      <c r="J35" s="82">
        <f t="shared" si="2"/>
        <v>0.1</v>
      </c>
      <c r="K35" s="81"/>
      <c r="L35" s="81">
        <f t="shared" si="3"/>
        <v>21</v>
      </c>
      <c r="M35" s="81"/>
      <c r="N35" s="81"/>
      <c r="O35" s="81"/>
      <c r="P35" s="81">
        <f t="shared" si="4"/>
        <v>105289.40542358413</v>
      </c>
      <c r="Q35" s="81"/>
      <c r="R35" s="81"/>
      <c r="S35" s="81"/>
      <c r="T35" s="82">
        <f t="shared" si="5"/>
        <v>0.01</v>
      </c>
      <c r="U35" s="229"/>
      <c r="V35" s="1"/>
    </row>
    <row r="36" spans="4:22" x14ac:dyDescent="0.3">
      <c r="D36" s="79">
        <f t="shared" si="0"/>
        <v>43938</v>
      </c>
      <c r="E36" s="80"/>
      <c r="F36" s="81">
        <f t="shared" si="1"/>
        <v>695464.3893864667</v>
      </c>
      <c r="G36" s="81"/>
      <c r="H36" s="81"/>
      <c r="I36" s="81"/>
      <c r="J36" s="82">
        <f t="shared" si="2"/>
        <v>0.1</v>
      </c>
      <c r="K36" s="81"/>
      <c r="L36" s="81">
        <f t="shared" si="3"/>
        <v>22</v>
      </c>
      <c r="M36" s="81"/>
      <c r="N36" s="81"/>
      <c r="O36" s="81"/>
      <c r="P36" s="81">
        <f t="shared" si="4"/>
        <v>106342.29947781998</v>
      </c>
      <c r="Q36" s="81"/>
      <c r="R36" s="81"/>
      <c r="S36" s="81"/>
      <c r="T36" s="82">
        <f t="shared" si="5"/>
        <v>0.01</v>
      </c>
      <c r="U36" s="229"/>
      <c r="V36" s="10"/>
    </row>
    <row r="37" spans="4:22" x14ac:dyDescent="0.3">
      <c r="D37" s="79">
        <f t="shared" si="0"/>
        <v>43939</v>
      </c>
      <c r="E37" s="80"/>
      <c r="F37" s="81">
        <f t="shared" si="1"/>
        <v>765010.8283251134</v>
      </c>
      <c r="G37" s="81"/>
      <c r="H37" s="81"/>
      <c r="I37" s="81"/>
      <c r="J37" s="82">
        <f t="shared" si="2"/>
        <v>0.1</v>
      </c>
      <c r="K37" s="81"/>
      <c r="L37" s="81">
        <f t="shared" si="3"/>
        <v>23</v>
      </c>
      <c r="M37" s="81"/>
      <c r="N37" s="81"/>
      <c r="O37" s="81"/>
      <c r="P37" s="81">
        <f t="shared" si="4"/>
        <v>107405.72247259818</v>
      </c>
      <c r="Q37" s="81"/>
      <c r="R37" s="81"/>
      <c r="S37" s="81"/>
      <c r="T37" s="82">
        <f t="shared" si="5"/>
        <v>0.01</v>
      </c>
      <c r="U37" s="229"/>
      <c r="V37" s="10"/>
    </row>
    <row r="38" spans="4:22" x14ac:dyDescent="0.3">
      <c r="D38" s="79">
        <f t="shared" si="0"/>
        <v>43940</v>
      </c>
      <c r="E38" s="80"/>
      <c r="F38" s="81">
        <f t="shared" si="1"/>
        <v>841511.9111576248</v>
      </c>
      <c r="G38" s="81"/>
      <c r="H38" s="81"/>
      <c r="I38" s="81"/>
      <c r="J38" s="82">
        <f t="shared" si="2"/>
        <v>0.1</v>
      </c>
      <c r="K38" s="81"/>
      <c r="L38" s="81">
        <f t="shared" si="3"/>
        <v>24</v>
      </c>
      <c r="M38" s="81"/>
      <c r="N38" s="81"/>
      <c r="O38" s="81"/>
      <c r="P38" s="81">
        <f t="shared" si="4"/>
        <v>108479.77969732416</v>
      </c>
      <c r="Q38" s="81"/>
      <c r="R38" s="81"/>
      <c r="S38" s="81"/>
      <c r="T38" s="82">
        <f t="shared" si="5"/>
        <v>0.01</v>
      </c>
      <c r="U38" s="229"/>
      <c r="V38" s="10"/>
    </row>
    <row r="39" spans="4:22" x14ac:dyDescent="0.3">
      <c r="D39" s="79">
        <f t="shared" si="0"/>
        <v>43941</v>
      </c>
      <c r="E39" s="80"/>
      <c r="F39" s="81">
        <f t="shared" si="1"/>
        <v>925663.10227338737</v>
      </c>
      <c r="G39" s="81"/>
      <c r="H39" s="81"/>
      <c r="I39" s="81"/>
      <c r="J39" s="82">
        <f t="shared" si="2"/>
        <v>0.1</v>
      </c>
      <c r="K39" s="81"/>
      <c r="L39" s="81">
        <f t="shared" si="3"/>
        <v>25</v>
      </c>
      <c r="M39" s="81"/>
      <c r="N39" s="81"/>
      <c r="O39" s="81"/>
      <c r="P39" s="81">
        <f t="shared" si="4"/>
        <v>109564.57749429741</v>
      </c>
      <c r="Q39" s="81"/>
      <c r="R39" s="81"/>
      <c r="S39" s="81"/>
      <c r="T39" s="82">
        <f t="shared" si="5"/>
        <v>0.01</v>
      </c>
      <c r="U39" s="229"/>
      <c r="V39" s="10"/>
    </row>
    <row r="40" spans="4:22" x14ac:dyDescent="0.3">
      <c r="D40" s="79">
        <f t="shared" si="0"/>
        <v>43942</v>
      </c>
      <c r="E40" s="80"/>
      <c r="F40" s="81">
        <f t="shared" si="1"/>
        <v>1018229.4125007262</v>
      </c>
      <c r="G40" s="81"/>
      <c r="H40" s="81"/>
      <c r="I40" s="81"/>
      <c r="J40" s="82">
        <f t="shared" si="2"/>
        <v>0.1</v>
      </c>
      <c r="K40" s="81"/>
      <c r="L40" s="81">
        <f t="shared" si="3"/>
        <v>26</v>
      </c>
      <c r="M40" s="81"/>
      <c r="N40" s="81"/>
      <c r="O40" s="81"/>
      <c r="P40" s="81">
        <f t="shared" si="4"/>
        <v>110660.22326924038</v>
      </c>
      <c r="Q40" s="81"/>
      <c r="R40" s="81"/>
      <c r="S40" s="81"/>
      <c r="T40" s="82">
        <f t="shared" si="5"/>
        <v>0.01</v>
      </c>
      <c r="U40" s="229"/>
      <c r="V40" s="10"/>
    </row>
    <row r="41" spans="4:22" x14ac:dyDescent="0.3">
      <c r="D41" s="79">
        <f t="shared" si="0"/>
        <v>43943</v>
      </c>
      <c r="E41" s="80"/>
      <c r="F41" s="81">
        <f t="shared" si="1"/>
        <v>1120052.3537507989</v>
      </c>
      <c r="G41" s="81"/>
      <c r="H41" s="81"/>
      <c r="I41" s="81"/>
      <c r="J41" s="82">
        <f t="shared" si="2"/>
        <v>0.1</v>
      </c>
      <c r="K41" s="81"/>
      <c r="L41" s="81">
        <f t="shared" si="3"/>
        <v>27</v>
      </c>
      <c r="M41" s="81"/>
      <c r="N41" s="81"/>
      <c r="O41" s="81"/>
      <c r="P41" s="81">
        <f t="shared" si="4"/>
        <v>111766.82550193278</v>
      </c>
      <c r="Q41" s="81"/>
      <c r="R41" s="81"/>
      <c r="S41" s="81"/>
      <c r="T41" s="82">
        <f t="shared" si="5"/>
        <v>0.01</v>
      </c>
      <c r="U41" s="229"/>
      <c r="V41" s="10"/>
    </row>
    <row r="42" spans="4:22" x14ac:dyDescent="0.3">
      <c r="D42" s="79">
        <f t="shared" si="0"/>
        <v>43944</v>
      </c>
      <c r="E42" s="80"/>
      <c r="F42" s="81">
        <f t="shared" si="1"/>
        <v>1232057.5891258789</v>
      </c>
      <c r="G42" s="81"/>
      <c r="H42" s="81"/>
      <c r="I42" s="81"/>
      <c r="J42" s="82">
        <f t="shared" si="2"/>
        <v>0.1</v>
      </c>
      <c r="K42" s="81"/>
      <c r="L42" s="81">
        <f t="shared" si="3"/>
        <v>28</v>
      </c>
      <c r="M42" s="81"/>
      <c r="N42" s="81"/>
      <c r="O42" s="81"/>
      <c r="P42" s="81">
        <f t="shared" si="4"/>
        <v>112884.4937569521</v>
      </c>
      <c r="Q42" s="81"/>
      <c r="R42" s="81"/>
      <c r="S42" s="81"/>
      <c r="T42" s="82">
        <f t="shared" si="5"/>
        <v>0.01</v>
      </c>
      <c r="U42" s="229"/>
      <c r="V42" s="10"/>
    </row>
    <row r="43" spans="4:22" x14ac:dyDescent="0.3">
      <c r="D43" s="79">
        <f t="shared" si="0"/>
        <v>43945</v>
      </c>
      <c r="E43" s="80"/>
      <c r="F43" s="81">
        <f t="shared" si="1"/>
        <v>1355263.3480384669</v>
      </c>
      <c r="G43" s="81"/>
      <c r="H43" s="81"/>
      <c r="I43" s="81"/>
      <c r="J43" s="82">
        <f t="shared" si="2"/>
        <v>0.1</v>
      </c>
      <c r="K43" s="81"/>
      <c r="L43" s="81">
        <f t="shared" si="3"/>
        <v>29</v>
      </c>
      <c r="M43" s="81"/>
      <c r="N43" s="81"/>
      <c r="O43" s="81"/>
      <c r="P43" s="81">
        <f t="shared" si="4"/>
        <v>114013.33869452162</v>
      </c>
      <c r="Q43" s="81"/>
      <c r="R43" s="81"/>
      <c r="S43" s="81"/>
      <c r="T43" s="82">
        <f t="shared" si="5"/>
        <v>0.01</v>
      </c>
      <c r="U43" s="229"/>
      <c r="V43" s="10"/>
    </row>
    <row r="44" spans="4:22" x14ac:dyDescent="0.3">
      <c r="D44" s="79">
        <f t="shared" si="0"/>
        <v>43946</v>
      </c>
      <c r="E44" s="80"/>
      <c r="F44" s="81">
        <f t="shared" si="1"/>
        <v>1490789.6828423138</v>
      </c>
      <c r="G44" s="81"/>
      <c r="H44" s="81"/>
      <c r="I44" s="81"/>
      <c r="J44" s="82">
        <f t="shared" si="2"/>
        <v>0.1</v>
      </c>
      <c r="K44" s="81"/>
      <c r="L44" s="81">
        <f t="shared" si="3"/>
        <v>30</v>
      </c>
      <c r="M44" s="81"/>
      <c r="N44" s="81"/>
      <c r="O44" s="81"/>
      <c r="P44" s="81">
        <f t="shared" si="4"/>
        <v>115153.47208146684</v>
      </c>
      <c r="Q44" s="81"/>
      <c r="R44" s="81"/>
      <c r="S44" s="81"/>
      <c r="T44" s="82">
        <f t="shared" si="5"/>
        <v>0.01</v>
      </c>
      <c r="U44" s="229"/>
      <c r="V44" s="10"/>
    </row>
    <row r="45" spans="4:22" x14ac:dyDescent="0.3">
      <c r="D45" s="79">
        <f t="shared" si="0"/>
        <v>43947</v>
      </c>
      <c r="E45" s="80"/>
      <c r="F45" s="81">
        <f t="shared" si="1"/>
        <v>1639868.6511265454</v>
      </c>
      <c r="G45" s="81"/>
      <c r="H45" s="81"/>
      <c r="I45" s="81"/>
      <c r="J45" s="82">
        <f t="shared" si="2"/>
        <v>0.1</v>
      </c>
      <c r="K45" s="81"/>
      <c r="L45" s="81">
        <f t="shared" si="3"/>
        <v>31</v>
      </c>
      <c r="M45" s="81"/>
      <c r="N45" s="81"/>
      <c r="O45" s="81"/>
      <c r="P45" s="81">
        <f t="shared" si="4"/>
        <v>116305.00680228151</v>
      </c>
      <c r="Q45" s="81"/>
      <c r="R45" s="81"/>
      <c r="S45" s="81"/>
      <c r="T45" s="82">
        <f t="shared" si="5"/>
        <v>0.01</v>
      </c>
      <c r="U45" s="229"/>
      <c r="V45" s="10"/>
    </row>
    <row r="46" spans="4:22" x14ac:dyDescent="0.3">
      <c r="D46" s="79">
        <f t="shared" si="0"/>
        <v>43948</v>
      </c>
      <c r="E46" s="80"/>
      <c r="F46" s="81">
        <f t="shared" si="1"/>
        <v>1803855.5162392</v>
      </c>
      <c r="G46" s="81"/>
      <c r="H46" s="81"/>
      <c r="I46" s="81"/>
      <c r="J46" s="82">
        <f t="shared" si="2"/>
        <v>0.1</v>
      </c>
      <c r="K46" s="81"/>
      <c r="L46" s="81">
        <f t="shared" si="3"/>
        <v>32</v>
      </c>
      <c r="M46" s="81"/>
      <c r="N46" s="81"/>
      <c r="O46" s="81"/>
      <c r="P46" s="81">
        <f t="shared" si="4"/>
        <v>117468.05687030432</v>
      </c>
      <c r="Q46" s="81"/>
      <c r="R46" s="81"/>
      <c r="S46" s="81"/>
      <c r="T46" s="82">
        <f t="shared" si="5"/>
        <v>0.01</v>
      </c>
      <c r="U46" s="229"/>
      <c r="V46" s="10"/>
    </row>
    <row r="47" spans="4:22" x14ac:dyDescent="0.3">
      <c r="D47" s="79">
        <f t="shared" si="0"/>
        <v>43949</v>
      </c>
      <c r="E47" s="80"/>
      <c r="F47" s="81">
        <f t="shared" si="1"/>
        <v>1984241.0678631202</v>
      </c>
      <c r="G47" s="81"/>
      <c r="H47" s="81"/>
      <c r="I47" s="81"/>
      <c r="J47" s="82">
        <f t="shared" si="2"/>
        <v>0.1</v>
      </c>
      <c r="K47" s="81"/>
      <c r="L47" s="81">
        <f t="shared" si="3"/>
        <v>33</v>
      </c>
      <c r="M47" s="81"/>
      <c r="N47" s="81"/>
      <c r="O47" s="81"/>
      <c r="P47" s="81">
        <f t="shared" si="4"/>
        <v>118642.73743900737</v>
      </c>
      <c r="Q47" s="81"/>
      <c r="R47" s="81"/>
      <c r="S47" s="81"/>
      <c r="T47" s="82">
        <f t="shared" si="5"/>
        <v>0.01</v>
      </c>
      <c r="U47" s="229"/>
      <c r="V47" s="10"/>
    </row>
    <row r="48" spans="4:22" x14ac:dyDescent="0.3">
      <c r="D48" s="79">
        <f t="shared" si="0"/>
        <v>43950</v>
      </c>
      <c r="E48" s="80"/>
      <c r="F48" s="81">
        <f t="shared" si="1"/>
        <v>2182665.1746494323</v>
      </c>
      <c r="G48" s="81"/>
      <c r="H48" s="81"/>
      <c r="I48" s="81"/>
      <c r="J48" s="82">
        <f t="shared" si="2"/>
        <v>0.1</v>
      </c>
      <c r="K48" s="81"/>
      <c r="L48" s="81">
        <f t="shared" si="3"/>
        <v>34</v>
      </c>
      <c r="M48" s="81"/>
      <c r="N48" s="81"/>
      <c r="O48" s="81"/>
      <c r="P48" s="81">
        <f t="shared" si="4"/>
        <v>119829.16481339744</v>
      </c>
      <c r="Q48" s="81"/>
      <c r="R48" s="81"/>
      <c r="S48" s="81"/>
      <c r="T48" s="82">
        <f t="shared" si="5"/>
        <v>0.01</v>
      </c>
      <c r="U48" s="229"/>
      <c r="V48" s="10"/>
    </row>
    <row r="49" spans="4:22" x14ac:dyDescent="0.3">
      <c r="D49" s="79">
        <f t="shared" si="0"/>
        <v>43951</v>
      </c>
      <c r="E49" s="80"/>
      <c r="F49" s="81">
        <f t="shared" si="1"/>
        <v>2400931.6921143755</v>
      </c>
      <c r="G49" s="81"/>
      <c r="H49" s="81"/>
      <c r="I49" s="81"/>
      <c r="J49" s="82">
        <f t="shared" si="2"/>
        <v>0.1</v>
      </c>
      <c r="K49" s="81"/>
      <c r="L49" s="81">
        <f t="shared" si="3"/>
        <v>35</v>
      </c>
      <c r="M49" s="81"/>
      <c r="N49" s="81"/>
      <c r="O49" s="81"/>
      <c r="P49" s="81">
        <f t="shared" si="4"/>
        <v>121027.45646153142</v>
      </c>
      <c r="Q49" s="81"/>
      <c r="R49" s="81"/>
      <c r="S49" s="81"/>
      <c r="T49" s="82">
        <f t="shared" si="5"/>
        <v>0.01</v>
      </c>
      <c r="U49" s="229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2641024.8613258135</v>
      </c>
      <c r="G50" s="81"/>
      <c r="H50" s="81"/>
      <c r="I50" s="81"/>
      <c r="J50" s="82">
        <f t="shared" si="2"/>
        <v>0.1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122237.73102614674</v>
      </c>
      <c r="Q50" s="81"/>
      <c r="R50" s="81"/>
      <c r="S50" s="81"/>
      <c r="T50" s="82">
        <f t="shared" si="5"/>
        <v>0.01</v>
      </c>
      <c r="U50" s="229"/>
      <c r="V50" s="10"/>
    </row>
    <row r="51" spans="4:22" x14ac:dyDescent="0.3">
      <c r="D51" s="79">
        <f t="shared" si="0"/>
        <v>43953</v>
      </c>
      <c r="E51" s="80"/>
      <c r="F51" s="81">
        <f t="shared" si="6"/>
        <v>2905127.3474583952</v>
      </c>
      <c r="G51" s="81"/>
      <c r="H51" s="81"/>
      <c r="I51" s="81"/>
      <c r="J51" s="82">
        <f t="shared" si="2"/>
        <v>0.1</v>
      </c>
      <c r="K51" s="81"/>
      <c r="L51" s="81">
        <f t="shared" si="3"/>
        <v>37</v>
      </c>
      <c r="M51" s="81"/>
      <c r="N51" s="81"/>
      <c r="O51" s="81"/>
      <c r="P51" s="81">
        <f t="shared" si="7"/>
        <v>123460.1083364082</v>
      </c>
      <c r="Q51" s="81"/>
      <c r="R51" s="81"/>
      <c r="S51" s="81"/>
      <c r="T51" s="82">
        <f t="shared" si="5"/>
        <v>0.01</v>
      </c>
      <c r="U51" s="229"/>
      <c r="V51" s="10"/>
    </row>
    <row r="52" spans="4:22" x14ac:dyDescent="0.3">
      <c r="D52" s="79">
        <f t="shared" si="0"/>
        <v>43954</v>
      </c>
      <c r="E52" s="80"/>
      <c r="F52" s="81">
        <f t="shared" si="6"/>
        <v>3195640.0822042348</v>
      </c>
      <c r="G52" s="81"/>
      <c r="H52" s="81"/>
      <c r="I52" s="81"/>
      <c r="J52" s="82">
        <f t="shared" si="2"/>
        <v>0.1</v>
      </c>
      <c r="K52" s="81"/>
      <c r="L52" s="81">
        <f t="shared" si="3"/>
        <v>38</v>
      </c>
      <c r="M52" s="81"/>
      <c r="N52" s="81"/>
      <c r="O52" s="81"/>
      <c r="P52" s="81">
        <f t="shared" si="7"/>
        <v>124694.70941977229</v>
      </c>
      <c r="Q52" s="81"/>
      <c r="R52" s="81"/>
      <c r="S52" s="81"/>
      <c r="T52" s="82">
        <f t="shared" si="5"/>
        <v>0.01</v>
      </c>
      <c r="U52" s="229"/>
      <c r="V52" s="10"/>
    </row>
    <row r="53" spans="4:22" x14ac:dyDescent="0.3">
      <c r="D53" s="79">
        <f t="shared" si="0"/>
        <v>43955</v>
      </c>
      <c r="E53" s="80"/>
      <c r="F53" s="81">
        <f t="shared" si="6"/>
        <v>3515204.0904246587</v>
      </c>
      <c r="G53" s="81"/>
      <c r="H53" s="81"/>
      <c r="I53" s="81"/>
      <c r="J53" s="82">
        <f t="shared" si="2"/>
        <v>0.1</v>
      </c>
      <c r="K53" s="81"/>
      <c r="L53" s="81">
        <f t="shared" si="3"/>
        <v>39</v>
      </c>
      <c r="M53" s="81"/>
      <c r="N53" s="81"/>
      <c r="O53" s="81"/>
      <c r="P53" s="81">
        <f t="shared" si="7"/>
        <v>125941.65651397001</v>
      </c>
      <c r="Q53" s="81"/>
      <c r="R53" s="81"/>
      <c r="S53" s="81"/>
      <c r="T53" s="82">
        <f t="shared" si="5"/>
        <v>0.01</v>
      </c>
      <c r="U53" s="229"/>
      <c r="V53" s="10"/>
    </row>
    <row r="54" spans="4:22" x14ac:dyDescent="0.3">
      <c r="D54" s="79">
        <f t="shared" si="0"/>
        <v>43956</v>
      </c>
      <c r="E54" s="80"/>
      <c r="F54" s="81">
        <f t="shared" si="6"/>
        <v>3866724.4994671247</v>
      </c>
      <c r="G54" s="81"/>
      <c r="H54" s="81"/>
      <c r="I54" s="81"/>
      <c r="J54" s="82">
        <f t="shared" si="2"/>
        <v>0.1</v>
      </c>
      <c r="K54" s="81"/>
      <c r="L54" s="81">
        <f t="shared" si="3"/>
        <v>40</v>
      </c>
      <c r="M54" s="81"/>
      <c r="N54" s="81"/>
      <c r="O54" s="81"/>
      <c r="P54" s="81">
        <f t="shared" si="7"/>
        <v>127201.07307910972</v>
      </c>
      <c r="Q54" s="81"/>
      <c r="R54" s="81"/>
      <c r="S54" s="81"/>
      <c r="T54" s="82">
        <f t="shared" si="5"/>
        <v>0.01</v>
      </c>
      <c r="U54" s="229"/>
      <c r="V54" s="10"/>
    </row>
    <row r="55" spans="4:22" x14ac:dyDescent="0.3">
      <c r="D55" s="79">
        <f t="shared" si="0"/>
        <v>43957</v>
      </c>
      <c r="E55" s="80"/>
      <c r="F55" s="81">
        <f t="shared" si="6"/>
        <v>4253396.9494138379</v>
      </c>
      <c r="G55" s="81"/>
      <c r="H55" s="81"/>
      <c r="I55" s="81"/>
      <c r="J55" s="82">
        <f t="shared" si="2"/>
        <v>0.1</v>
      </c>
      <c r="K55" s="81"/>
      <c r="L55" s="81">
        <f t="shared" si="3"/>
        <v>41</v>
      </c>
      <c r="M55" s="81"/>
      <c r="N55" s="81"/>
      <c r="O55" s="81"/>
      <c r="P55" s="81">
        <f t="shared" si="7"/>
        <v>128473.08380990081</v>
      </c>
      <c r="Q55" s="81"/>
      <c r="R55" s="81"/>
      <c r="S55" s="81"/>
      <c r="T55" s="82">
        <f t="shared" si="5"/>
        <v>0.01</v>
      </c>
      <c r="U55" s="229"/>
      <c r="V55" s="10"/>
    </row>
    <row r="56" spans="4:22" x14ac:dyDescent="0.3">
      <c r="D56" s="79">
        <f t="shared" si="0"/>
        <v>43958</v>
      </c>
      <c r="E56" s="80"/>
      <c r="F56" s="81">
        <f t="shared" si="6"/>
        <v>4678736.6443552217</v>
      </c>
      <c r="G56" s="81"/>
      <c r="H56" s="81"/>
      <c r="I56" s="81"/>
      <c r="J56" s="82">
        <f t="shared" si="2"/>
        <v>0.1</v>
      </c>
      <c r="K56" s="81"/>
      <c r="L56" s="81">
        <f t="shared" si="3"/>
        <v>42</v>
      </c>
      <c r="M56" s="81"/>
      <c r="N56" s="81"/>
      <c r="O56" s="81"/>
      <c r="P56" s="81">
        <f t="shared" si="7"/>
        <v>129757.81464799982</v>
      </c>
      <c r="Q56" s="81"/>
      <c r="R56" s="81"/>
      <c r="S56" s="81"/>
      <c r="T56" s="82">
        <f t="shared" si="5"/>
        <v>0.01</v>
      </c>
      <c r="U56" s="229"/>
      <c r="V56" s="10"/>
    </row>
    <row r="57" spans="4:22" x14ac:dyDescent="0.3">
      <c r="D57" s="79">
        <f t="shared" si="0"/>
        <v>43959</v>
      </c>
      <c r="E57" s="80"/>
      <c r="F57" s="81">
        <f t="shared" si="6"/>
        <v>5146610.3087907443</v>
      </c>
      <c r="G57" s="81"/>
      <c r="H57" s="81"/>
      <c r="I57" s="81"/>
      <c r="J57" s="82">
        <f t="shared" si="2"/>
        <v>0.1</v>
      </c>
      <c r="K57" s="81"/>
      <c r="L57" s="81">
        <f t="shared" si="3"/>
        <v>43</v>
      </c>
      <c r="M57" s="81"/>
      <c r="N57" s="81"/>
      <c r="O57" s="81"/>
      <c r="P57" s="81">
        <f t="shared" si="7"/>
        <v>131055.39279447982</v>
      </c>
      <c r="Q57" s="81"/>
      <c r="R57" s="81"/>
      <c r="S57" s="81"/>
      <c r="T57" s="82">
        <f t="shared" si="5"/>
        <v>0.01</v>
      </c>
      <c r="U57" s="229"/>
      <c r="V57" s="10"/>
    </row>
    <row r="58" spans="4:22" x14ac:dyDescent="0.3">
      <c r="D58" s="79">
        <f t="shared" si="0"/>
        <v>43960</v>
      </c>
      <c r="E58" s="80"/>
      <c r="F58" s="81">
        <f t="shared" si="6"/>
        <v>5661271.339669819</v>
      </c>
      <c r="G58" s="81"/>
      <c r="H58" s="81"/>
      <c r="I58" s="81"/>
      <c r="J58" s="82">
        <f t="shared" si="2"/>
        <v>0.1</v>
      </c>
      <c r="K58" s="81"/>
      <c r="L58" s="81">
        <f t="shared" si="3"/>
        <v>44</v>
      </c>
      <c r="M58" s="81"/>
      <c r="N58" s="81"/>
      <c r="O58" s="81"/>
      <c r="P58" s="81">
        <f t="shared" si="7"/>
        <v>132365.94672242462</v>
      </c>
      <c r="Q58" s="81"/>
      <c r="R58" s="81"/>
      <c r="S58" s="81"/>
      <c r="T58" s="82">
        <f t="shared" si="5"/>
        <v>0.01</v>
      </c>
      <c r="U58" s="229"/>
      <c r="V58" s="10"/>
    </row>
    <row r="59" spans="4:22" x14ac:dyDescent="0.3">
      <c r="D59" s="79">
        <f t="shared" si="0"/>
        <v>43961</v>
      </c>
      <c r="E59" s="80"/>
      <c r="F59" s="81">
        <f t="shared" si="6"/>
        <v>6227398.4736368014</v>
      </c>
      <c r="G59" s="81"/>
      <c r="H59" s="81"/>
      <c r="I59" s="81"/>
      <c r="J59" s="82">
        <f t="shared" si="2"/>
        <v>0.1</v>
      </c>
      <c r="K59" s="81"/>
      <c r="L59" s="81">
        <f t="shared" si="3"/>
        <v>45</v>
      </c>
      <c r="M59" s="81"/>
      <c r="N59" s="81"/>
      <c r="O59" s="81"/>
      <c r="P59" s="81">
        <f t="shared" si="7"/>
        <v>133689.60618964885</v>
      </c>
      <c r="Q59" s="81"/>
      <c r="R59" s="81"/>
      <c r="S59" s="81"/>
      <c r="T59" s="82">
        <f t="shared" si="5"/>
        <v>0.01</v>
      </c>
      <c r="U59" s="229"/>
      <c r="V59" s="10"/>
    </row>
    <row r="60" spans="4:22" ht="15" thickBot="1" x14ac:dyDescent="0.35">
      <c r="D60" s="279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0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2020-08-27T12:00:07Z</cp:lastPrinted>
  <dcterms:created xsi:type="dcterms:W3CDTF">2020-03-28T00:34:23Z</dcterms:created>
  <dcterms:modified xsi:type="dcterms:W3CDTF">2020-11-30T02:33:35Z</dcterms:modified>
</cp:coreProperties>
</file>