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2998B7FA-B466-4045-A2C4-624D48D92A2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296" i="1" l="1"/>
  <c r="BO296" i="1"/>
  <c r="BK296" i="1"/>
  <c r="BG296" i="1"/>
  <c r="BC296" i="1"/>
  <c r="AY296" i="1"/>
  <c r="AU296" i="1"/>
  <c r="AQ296" i="1"/>
  <c r="AM296" i="1"/>
  <c r="AI296" i="1"/>
  <c r="AE296" i="1"/>
  <c r="AA296" i="1"/>
  <c r="W296" i="1"/>
  <c r="S296" i="1"/>
  <c r="O296" i="1"/>
  <c r="K296" i="1"/>
  <c r="BT295" i="1"/>
  <c r="BT296" i="1" s="1"/>
  <c r="BS295" i="1"/>
  <c r="BR295" i="1"/>
  <c r="BR296" i="1" s="1"/>
  <c r="BQ295" i="1"/>
  <c r="BQ296" i="1" s="1"/>
  <c r="BP295" i="1"/>
  <c r="BP296" i="1" s="1"/>
  <c r="BO295" i="1"/>
  <c r="BN295" i="1"/>
  <c r="BN296" i="1" s="1"/>
  <c r="BM295" i="1"/>
  <c r="BM296" i="1" s="1"/>
  <c r="BL295" i="1"/>
  <c r="BL296" i="1" s="1"/>
  <c r="BK295" i="1"/>
  <c r="BJ295" i="1"/>
  <c r="BJ296" i="1" s="1"/>
  <c r="BI295" i="1"/>
  <c r="BI296" i="1" s="1"/>
  <c r="BH295" i="1"/>
  <c r="BH296" i="1" s="1"/>
  <c r="BG295" i="1"/>
  <c r="BF295" i="1"/>
  <c r="BF296" i="1" s="1"/>
  <c r="BE295" i="1"/>
  <c r="BE296" i="1" s="1"/>
  <c r="BD295" i="1"/>
  <c r="BD296" i="1" s="1"/>
  <c r="BC295" i="1"/>
  <c r="BB295" i="1"/>
  <c r="BB296" i="1" s="1"/>
  <c r="BA295" i="1"/>
  <c r="BA296" i="1" s="1"/>
  <c r="AZ295" i="1"/>
  <c r="AZ296" i="1" s="1"/>
  <c r="AY295" i="1"/>
  <c r="AX295" i="1"/>
  <c r="AX296" i="1" s="1"/>
  <c r="AW295" i="1"/>
  <c r="AW296" i="1" s="1"/>
  <c r="AV295" i="1"/>
  <c r="AV296" i="1" s="1"/>
  <c r="AU295" i="1"/>
  <c r="AT295" i="1"/>
  <c r="AT296" i="1" s="1"/>
  <c r="AS295" i="1"/>
  <c r="AS296" i="1" s="1"/>
  <c r="AR295" i="1"/>
  <c r="AR296" i="1" s="1"/>
  <c r="AQ295" i="1"/>
  <c r="AP295" i="1"/>
  <c r="AP296" i="1" s="1"/>
  <c r="AO295" i="1"/>
  <c r="AO296" i="1" s="1"/>
  <c r="AN295" i="1"/>
  <c r="AN296" i="1" s="1"/>
  <c r="AM295" i="1"/>
  <c r="AL295" i="1"/>
  <c r="AL296" i="1" s="1"/>
  <c r="AK295" i="1"/>
  <c r="AK296" i="1" s="1"/>
  <c r="AJ295" i="1"/>
  <c r="AJ296" i="1" s="1"/>
  <c r="AI295" i="1"/>
  <c r="AH295" i="1"/>
  <c r="AH296" i="1" s="1"/>
  <c r="AG295" i="1"/>
  <c r="AG296" i="1" s="1"/>
  <c r="AF295" i="1"/>
  <c r="AF296" i="1" s="1"/>
  <c r="AE295" i="1"/>
  <c r="AD295" i="1"/>
  <c r="AD296" i="1" s="1"/>
  <c r="AC295" i="1"/>
  <c r="AC296" i="1" s="1"/>
  <c r="AB295" i="1"/>
  <c r="AB296" i="1" s="1"/>
  <c r="AA295" i="1"/>
  <c r="Z295" i="1"/>
  <c r="Z296" i="1" s="1"/>
  <c r="Y295" i="1"/>
  <c r="Y296" i="1" s="1"/>
  <c r="X295" i="1"/>
  <c r="X296" i="1" s="1"/>
  <c r="W295" i="1"/>
  <c r="V295" i="1"/>
  <c r="V296" i="1" s="1"/>
  <c r="U295" i="1"/>
  <c r="U296" i="1" s="1"/>
  <c r="T295" i="1"/>
  <c r="T296" i="1" s="1"/>
  <c r="S295" i="1"/>
  <c r="R295" i="1"/>
  <c r="R296" i="1" s="1"/>
  <c r="Q295" i="1"/>
  <c r="Q296" i="1" s="1"/>
  <c r="P295" i="1"/>
  <c r="P296" i="1" s="1"/>
  <c r="O295" i="1"/>
  <c r="N295" i="1"/>
  <c r="N296" i="1" s="1"/>
  <c r="M295" i="1"/>
  <c r="M296" i="1" s="1"/>
  <c r="L295" i="1"/>
  <c r="L296" i="1" s="1"/>
  <c r="K295" i="1"/>
  <c r="J295" i="1"/>
  <c r="J296" i="1" s="1"/>
  <c r="I295" i="1"/>
  <c r="I296" i="1" s="1"/>
  <c r="H295" i="1"/>
  <c r="H296" i="1" s="1"/>
  <c r="D296" i="1"/>
  <c r="D295" i="1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E291" i="2"/>
  <c r="BW285" i="1"/>
  <c r="BN285" i="1" s="1"/>
  <c r="BE285" i="1"/>
  <c r="BP285" i="1" s="1"/>
  <c r="BR285" i="1" s="1"/>
  <c r="BA285" i="1"/>
  <c r="BK285" i="1" s="1"/>
  <c r="AX285" i="1"/>
  <c r="AL285" i="1"/>
  <c r="AR285" i="1" s="1"/>
  <c r="AG285" i="1"/>
  <c r="AI285" i="1" s="1"/>
  <c r="AA285" i="1"/>
  <c r="AE285" i="1" s="1"/>
  <c r="V285" i="1"/>
  <c r="Q285" i="1"/>
  <c r="N285" i="1"/>
  <c r="J285" i="1"/>
  <c r="H285" i="1"/>
  <c r="AV285" i="1" s="1"/>
  <c r="S286" i="2"/>
  <c r="U286" i="2" s="1"/>
  <c r="I20" i="3"/>
  <c r="W286" i="2"/>
  <c r="K286" i="2"/>
  <c r="Q286" i="2" s="1"/>
  <c r="BM285" i="1" l="1"/>
  <c r="BG285" i="1"/>
  <c r="AC285" i="1"/>
  <c r="O285" i="1"/>
  <c r="S285" i="1"/>
  <c r="M286" i="2"/>
  <c r="BW284" i="1" l="1"/>
  <c r="BN284" i="1" s="1"/>
  <c r="BE284" i="1"/>
  <c r="BP284" i="1" s="1"/>
  <c r="BR284" i="1" s="1"/>
  <c r="BA284" i="1"/>
  <c r="BK284" i="1" s="1"/>
  <c r="AX284" i="1"/>
  <c r="AL284" i="1"/>
  <c r="AR284" i="1" s="1"/>
  <c r="AG284" i="1"/>
  <c r="AI284" i="1" s="1"/>
  <c r="AA284" i="1"/>
  <c r="AE284" i="1" s="1"/>
  <c r="V284" i="1"/>
  <c r="Q284" i="1"/>
  <c r="N284" i="1"/>
  <c r="J284" i="1"/>
  <c r="H284" i="1"/>
  <c r="AV284" i="1" s="1"/>
  <c r="S285" i="2"/>
  <c r="W285" i="2"/>
  <c r="K285" i="2"/>
  <c r="U239" i="3"/>
  <c r="U240" i="3" s="1"/>
  <c r="U241" i="3" s="1"/>
  <c r="U242" i="3" s="1"/>
  <c r="U243" i="3" s="1"/>
  <c r="U244" i="3" s="1"/>
  <c r="U245" i="3" s="1"/>
  <c r="U246" i="3" s="1"/>
  <c r="BW283" i="1"/>
  <c r="AX283" i="1" s="1"/>
  <c r="BE283" i="1"/>
  <c r="BP283" i="1" s="1"/>
  <c r="BR283" i="1" s="1"/>
  <c r="BA283" i="1"/>
  <c r="BK283" i="1" s="1"/>
  <c r="AL283" i="1"/>
  <c r="AR283" i="1" s="1"/>
  <c r="AG283" i="1"/>
  <c r="AI283" i="1" s="1"/>
  <c r="AA283" i="1"/>
  <c r="AC283" i="1" s="1"/>
  <c r="V283" i="1"/>
  <c r="Q283" i="1"/>
  <c r="S283" i="1" s="1"/>
  <c r="N283" i="1"/>
  <c r="J283" i="1"/>
  <c r="H283" i="1"/>
  <c r="AV283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W284" i="2"/>
  <c r="S284" i="2"/>
  <c r="U284" i="2" s="1"/>
  <c r="K284" i="2"/>
  <c r="AH284" i="1" l="1"/>
  <c r="AH285" i="1"/>
  <c r="BM284" i="1"/>
  <c r="BG284" i="1"/>
  <c r="AC284" i="1"/>
  <c r="O284" i="1"/>
  <c r="S284" i="1"/>
  <c r="U285" i="2"/>
  <c r="Q285" i="2"/>
  <c r="M285" i="2"/>
  <c r="BG283" i="1"/>
  <c r="BM283" i="1"/>
  <c r="BN283" i="1"/>
  <c r="O283" i="1"/>
  <c r="AE283" i="1"/>
  <c r="Q284" i="2"/>
  <c r="M284" i="2"/>
  <c r="BV296" i="1"/>
  <c r="BV295" i="1"/>
  <c r="BU295" i="1"/>
  <c r="BU296" i="1" s="1"/>
  <c r="AH283" i="1"/>
  <c r="BK282" i="1"/>
  <c r="BE282" i="1"/>
  <c r="BA282" i="1"/>
  <c r="AL282" i="1"/>
  <c r="AR282" i="1" s="1"/>
  <c r="AG282" i="1"/>
  <c r="AI282" i="1" s="1"/>
  <c r="Q282" i="1"/>
  <c r="N282" i="1"/>
  <c r="BE281" i="1"/>
  <c r="BA281" i="1"/>
  <c r="BG281" i="1" s="1"/>
  <c r="AL281" i="1"/>
  <c r="AR281" i="1" s="1"/>
  <c r="AG281" i="1"/>
  <c r="AI281" i="1" s="1"/>
  <c r="Q281" i="1"/>
  <c r="N281" i="1"/>
  <c r="C284" i="2"/>
  <c r="C285" i="2" s="1"/>
  <c r="C286" i="2" s="1"/>
  <c r="C287" i="2" s="1"/>
  <c r="C288" i="2" s="1"/>
  <c r="S283" i="2"/>
  <c r="K283" i="2"/>
  <c r="M283" i="2" s="1"/>
  <c r="S282" i="2"/>
  <c r="K282" i="2"/>
  <c r="Q282" i="2" s="1"/>
  <c r="AH282" i="1" l="1"/>
  <c r="BM282" i="1"/>
  <c r="BG282" i="1"/>
  <c r="S282" i="1"/>
  <c r="BK281" i="1"/>
  <c r="BM281" i="1" s="1"/>
  <c r="S281" i="1"/>
  <c r="U282" i="2"/>
  <c r="U283" i="2"/>
  <c r="Q283" i="2"/>
  <c r="M282" i="2"/>
  <c r="AH281" i="1" l="1"/>
  <c r="AH280" i="1"/>
  <c r="BE280" i="1"/>
  <c r="BA280" i="1"/>
  <c r="BK280" i="1" s="1"/>
  <c r="AL280" i="1"/>
  <c r="AR280" i="1" s="1"/>
  <c r="AG280" i="1"/>
  <c r="AI280" i="1" s="1"/>
  <c r="Q280" i="1"/>
  <c r="N280" i="1"/>
  <c r="BE279" i="1"/>
  <c r="BA279" i="1"/>
  <c r="AL279" i="1"/>
  <c r="AR279" i="1" s="1"/>
  <c r="AG279" i="1"/>
  <c r="AI279" i="1" s="1"/>
  <c r="Q279" i="1"/>
  <c r="S279" i="1" s="1"/>
  <c r="N279" i="1"/>
  <c r="S281" i="2"/>
  <c r="K281" i="2"/>
  <c r="S280" i="2"/>
  <c r="K280" i="2"/>
  <c r="Q280" i="2" s="1"/>
  <c r="BM280" i="1" l="1"/>
  <c r="BG280" i="1"/>
  <c r="S280" i="1"/>
  <c r="BG279" i="1"/>
  <c r="BK279" i="1"/>
  <c r="Q281" i="2"/>
  <c r="U280" i="2"/>
  <c r="M281" i="2"/>
  <c r="U281" i="2"/>
  <c r="M280" i="2"/>
  <c r="BM279" i="1" l="1"/>
  <c r="AH279" i="1" l="1"/>
  <c r="BE278" i="1"/>
  <c r="BA278" i="1"/>
  <c r="BK278" i="1" s="1"/>
  <c r="BM278" i="1" s="1"/>
  <c r="AL278" i="1"/>
  <c r="AR278" i="1" s="1"/>
  <c r="AG278" i="1"/>
  <c r="AI278" i="1" s="1"/>
  <c r="Q278" i="1"/>
  <c r="S278" i="1" s="1"/>
  <c r="N278" i="1"/>
  <c r="S279" i="2"/>
  <c r="U279" i="2" s="1"/>
  <c r="K279" i="2"/>
  <c r="Q279" i="2" s="1"/>
  <c r="BE277" i="1"/>
  <c r="BA277" i="1"/>
  <c r="BK277" i="1" s="1"/>
  <c r="AL277" i="1"/>
  <c r="AR277" i="1" s="1"/>
  <c r="AG277" i="1"/>
  <c r="AI277" i="1" s="1"/>
  <c r="Q277" i="1"/>
  <c r="N277" i="1"/>
  <c r="S278" i="2"/>
  <c r="U278" i="2" s="1"/>
  <c r="K278" i="2"/>
  <c r="M278" i="2" s="1"/>
  <c r="BE276" i="1"/>
  <c r="BA276" i="1"/>
  <c r="BK276" i="1" s="1"/>
  <c r="AL276" i="1"/>
  <c r="AR276" i="1" s="1"/>
  <c r="AG276" i="1"/>
  <c r="AI276" i="1" s="1"/>
  <c r="Q276" i="1"/>
  <c r="N276" i="1"/>
  <c r="S277" i="2"/>
  <c r="K277" i="2"/>
  <c r="Q277" i="2" s="1"/>
  <c r="AH277" i="1" l="1"/>
  <c r="BG278" i="1"/>
  <c r="M279" i="2"/>
  <c r="BM277" i="1"/>
  <c r="BG277" i="1"/>
  <c r="S277" i="1"/>
  <c r="Q278" i="2"/>
  <c r="BM276" i="1"/>
  <c r="BG276" i="1"/>
  <c r="S276" i="1"/>
  <c r="M277" i="2"/>
  <c r="U277" i="2"/>
  <c r="AH278" i="1" l="1"/>
  <c r="AH276" i="1" l="1"/>
  <c r="BE275" i="1"/>
  <c r="BA275" i="1"/>
  <c r="BK275" i="1" s="1"/>
  <c r="AL275" i="1"/>
  <c r="AR275" i="1" s="1"/>
  <c r="AG275" i="1"/>
  <c r="AI275" i="1" s="1"/>
  <c r="Q275" i="1"/>
  <c r="N275" i="1"/>
  <c r="S276" i="2"/>
  <c r="K276" i="2"/>
  <c r="Q276" i="2" s="1"/>
  <c r="BM275" i="1" l="1"/>
  <c r="BG275" i="1"/>
  <c r="S275" i="1"/>
  <c r="U276" i="2"/>
  <c r="M276" i="2"/>
  <c r="AH275" i="1" l="1"/>
  <c r="BE274" i="1"/>
  <c r="BA274" i="1"/>
  <c r="BK274" i="1" s="1"/>
  <c r="AL274" i="1"/>
  <c r="AR274" i="1" s="1"/>
  <c r="AG274" i="1"/>
  <c r="AI274" i="1" s="1"/>
  <c r="Q274" i="1"/>
  <c r="BM274" i="1" s="1"/>
  <c r="N274" i="1"/>
  <c r="S275" i="2"/>
  <c r="K275" i="2"/>
  <c r="M275" i="2" s="1"/>
  <c r="BG274" i="1" l="1"/>
  <c r="S274" i="1"/>
  <c r="U275" i="2"/>
  <c r="Q275" i="2"/>
  <c r="AH274" i="1"/>
  <c r="BK273" i="1"/>
  <c r="BE273" i="1"/>
  <c r="BA273" i="1"/>
  <c r="AL273" i="1"/>
  <c r="AR273" i="1" s="1"/>
  <c r="AG273" i="1"/>
  <c r="AI273" i="1" s="1"/>
  <c r="Q273" i="1"/>
  <c r="S273" i="1" s="1"/>
  <c r="N273" i="1"/>
  <c r="S274" i="2"/>
  <c r="K274" i="2"/>
  <c r="Q274" i="2" s="1"/>
  <c r="BG273" i="1" l="1"/>
  <c r="BM273" i="1"/>
  <c r="U274" i="2"/>
  <c r="M274" i="2"/>
  <c r="BK272" i="1" l="1"/>
  <c r="BE272" i="1"/>
  <c r="BA272" i="1"/>
  <c r="AL272" i="1"/>
  <c r="AR272" i="1" s="1"/>
  <c r="AG272" i="1"/>
  <c r="AI272" i="1" s="1"/>
  <c r="Q272" i="1"/>
  <c r="S272" i="1" s="1"/>
  <c r="N272" i="1"/>
  <c r="S273" i="2"/>
  <c r="K273" i="2"/>
  <c r="M273" i="2" s="1"/>
  <c r="BE371" i="1"/>
  <c r="BG371" i="1" s="1"/>
  <c r="BE271" i="1"/>
  <c r="BA271" i="1"/>
  <c r="AL271" i="1"/>
  <c r="AR271" i="1" s="1"/>
  <c r="AG271" i="1"/>
  <c r="Q271" i="1"/>
  <c r="N271" i="1"/>
  <c r="BE373" i="1" l="1"/>
  <c r="AH272" i="1"/>
  <c r="AH273" i="1"/>
  <c r="BM272" i="1"/>
  <c r="BG272" i="1"/>
  <c r="U273" i="2"/>
  <c r="Q273" i="2"/>
  <c r="BG271" i="1"/>
  <c r="BE270" i="1" l="1"/>
  <c r="BA270" i="1"/>
  <c r="AL270" i="1"/>
  <c r="AR270" i="1" s="1"/>
  <c r="AG270" i="1"/>
  <c r="Q270" i="1"/>
  <c r="N270" i="1"/>
  <c r="S272" i="2"/>
  <c r="K272" i="2"/>
  <c r="S271" i="2"/>
  <c r="K271" i="2"/>
  <c r="Q271" i="2" s="1"/>
  <c r="BG270" i="1" l="1"/>
  <c r="Q272" i="2"/>
  <c r="U271" i="2"/>
  <c r="U272" i="2"/>
  <c r="M272" i="2"/>
  <c r="M271" i="2"/>
  <c r="BE269" i="1" l="1"/>
  <c r="BA269" i="1"/>
  <c r="AL269" i="1"/>
  <c r="AR269" i="1" s="1"/>
  <c r="AG269" i="1"/>
  <c r="Q269" i="1"/>
  <c r="N269" i="1"/>
  <c r="S270" i="2"/>
  <c r="K270" i="2"/>
  <c r="Q270" i="2" s="1"/>
  <c r="BE268" i="1"/>
  <c r="BA268" i="1"/>
  <c r="AL268" i="1"/>
  <c r="AR268" i="1" s="1"/>
  <c r="AG268" i="1"/>
  <c r="Q268" i="1"/>
  <c r="N268" i="1"/>
  <c r="S269" i="2"/>
  <c r="K269" i="2"/>
  <c r="BE267" i="1"/>
  <c r="BA267" i="1"/>
  <c r="AL267" i="1"/>
  <c r="AR267" i="1" s="1"/>
  <c r="AG267" i="1"/>
  <c r="Q267" i="1"/>
  <c r="N267" i="1"/>
  <c r="S268" i="2"/>
  <c r="K268" i="2"/>
  <c r="Q268" i="2" s="1"/>
  <c r="BG269" i="1" l="1"/>
  <c r="U270" i="2"/>
  <c r="M270" i="2"/>
  <c r="BG268" i="1"/>
  <c r="U269" i="2"/>
  <c r="M269" i="2"/>
  <c r="Q269" i="2"/>
  <c r="BG267" i="1"/>
  <c r="U268" i="2"/>
  <c r="M268" i="2"/>
  <c r="BE266" i="1"/>
  <c r="BA266" i="1"/>
  <c r="AL266" i="1"/>
  <c r="AR266" i="1" s="1"/>
  <c r="AG266" i="1"/>
  <c r="Q266" i="1"/>
  <c r="N266" i="1"/>
  <c r="S267" i="2"/>
  <c r="K267" i="2"/>
  <c r="M267" i="2" s="1"/>
  <c r="BE265" i="1"/>
  <c r="BA265" i="1"/>
  <c r="AL265" i="1"/>
  <c r="AR265" i="1" s="1"/>
  <c r="AG265" i="1"/>
  <c r="Q265" i="1"/>
  <c r="N265" i="1"/>
  <c r="S266" i="2"/>
  <c r="K266" i="2"/>
  <c r="Q266" i="2" s="1"/>
  <c r="BK271" i="1" l="1"/>
  <c r="BG266" i="1"/>
  <c r="U267" i="2"/>
  <c r="Q267" i="2"/>
  <c r="BG265" i="1"/>
  <c r="M266" i="2"/>
  <c r="U266" i="2"/>
  <c r="BM271" i="1" l="1"/>
  <c r="BE264" i="1" l="1"/>
  <c r="BG264" i="1" s="1"/>
  <c r="BA264" i="1"/>
  <c r="BK270" i="1" s="1"/>
  <c r="BM270" i="1" s="1"/>
  <c r="AL264" i="1"/>
  <c r="AR264" i="1" s="1"/>
  <c r="AG264" i="1"/>
  <c r="Q264" i="1"/>
  <c r="N264" i="1"/>
  <c r="S265" i="2"/>
  <c r="Q265" i="2"/>
  <c r="K265" i="2"/>
  <c r="M265" i="2" s="1"/>
  <c r="BE263" i="1"/>
  <c r="BA263" i="1"/>
  <c r="AL263" i="1"/>
  <c r="AR263" i="1" s="1"/>
  <c r="AG263" i="1"/>
  <c r="Q263" i="1"/>
  <c r="N263" i="1"/>
  <c r="S264" i="2"/>
  <c r="K264" i="2"/>
  <c r="U264" i="2" s="1"/>
  <c r="BE262" i="1"/>
  <c r="BA262" i="1"/>
  <c r="AL262" i="1"/>
  <c r="AR262" i="1" s="1"/>
  <c r="AG262" i="1"/>
  <c r="Q262" i="1"/>
  <c r="S269" i="1" s="1"/>
  <c r="N262" i="1"/>
  <c r="S263" i="2"/>
  <c r="K263" i="2"/>
  <c r="M263" i="2" s="1"/>
  <c r="BE261" i="1"/>
  <c r="BA261" i="1"/>
  <c r="AL261" i="1"/>
  <c r="AR261" i="1" s="1"/>
  <c r="AG261" i="1"/>
  <c r="Q261" i="1"/>
  <c r="S268" i="1" s="1"/>
  <c r="N261" i="1"/>
  <c r="S262" i="2"/>
  <c r="K262" i="2"/>
  <c r="Q262" i="2" s="1"/>
  <c r="AI270" i="1" l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M262" i="2"/>
  <c r="BE260" i="1"/>
  <c r="BA260" i="1"/>
  <c r="AL260" i="1"/>
  <c r="AR260" i="1" s="1"/>
  <c r="AG260" i="1"/>
  <c r="Q260" i="1"/>
  <c r="N260" i="1"/>
  <c r="S261" i="2"/>
  <c r="K261" i="2"/>
  <c r="Q261" i="2" s="1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BK264" i="1" s="1"/>
  <c r="BM264" i="1" s="1"/>
  <c r="AL258" i="1"/>
  <c r="AR258" i="1" s="1"/>
  <c r="AG258" i="1"/>
  <c r="Q258" i="1"/>
  <c r="S265" i="1" s="1"/>
  <c r="N258" i="1"/>
  <c r="S259" i="2"/>
  <c r="V291" i="2"/>
  <c r="K259" i="2"/>
  <c r="Q259" i="2" s="1"/>
  <c r="BK266" i="1" l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M259" i="2"/>
  <c r="BE257" i="1"/>
  <c r="BA257" i="1"/>
  <c r="AL257" i="1"/>
  <c r="AR257" i="1" s="1"/>
  <c r="AG257" i="1"/>
  <c r="Q257" i="1"/>
  <c r="S264" i="1" s="1"/>
  <c r="N257" i="1"/>
  <c r="S258" i="2"/>
  <c r="K258" i="2"/>
  <c r="Q258" i="2" s="1"/>
  <c r="BE256" i="1"/>
  <c r="BA256" i="1"/>
  <c r="BK262" i="1" s="1"/>
  <c r="BM262" i="1" s="1"/>
  <c r="AL256" i="1"/>
  <c r="AR256" i="1" s="1"/>
  <c r="AG256" i="1"/>
  <c r="Q256" i="1"/>
  <c r="S263" i="1" s="1"/>
  <c r="N256" i="1"/>
  <c r="S257" i="2"/>
  <c r="S256" i="2"/>
  <c r="K257" i="2"/>
  <c r="Q257" i="2" s="1"/>
  <c r="BE255" i="1"/>
  <c r="BA255" i="1"/>
  <c r="AL255" i="1"/>
  <c r="AR255" i="1" s="1"/>
  <c r="AG255" i="1"/>
  <c r="Q255" i="1"/>
  <c r="S262" i="1" s="1"/>
  <c r="N255" i="1"/>
  <c r="K256" i="2"/>
  <c r="BK261" i="1" l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M256" i="2"/>
  <c r="Q256" i="2"/>
  <c r="BE254" i="1"/>
  <c r="BA254" i="1"/>
  <c r="AL254" i="1"/>
  <c r="AR254" i="1" s="1"/>
  <c r="AG254" i="1"/>
  <c r="Q254" i="1"/>
  <c r="N254" i="1"/>
  <c r="S255" i="2"/>
  <c r="K255" i="2"/>
  <c r="M255" i="2" s="1"/>
  <c r="S254" i="2"/>
  <c r="U254" i="2" s="1"/>
  <c r="M254" i="2"/>
  <c r="K254" i="2"/>
  <c r="Q254" i="2" s="1"/>
  <c r="S261" i="1" l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3" i="2" s="1"/>
  <c r="AI260" i="1" l="1"/>
  <c r="BK259" i="1"/>
  <c r="BM259" i="1" s="1"/>
  <c r="BG253" i="1"/>
  <c r="AR253" i="1"/>
  <c r="U253" i="2"/>
  <c r="M253" i="2"/>
  <c r="BE252" i="1"/>
  <c r="BA252" i="1"/>
  <c r="AL252" i="1"/>
  <c r="AG252" i="1"/>
  <c r="Q252" i="1"/>
  <c r="S259" i="1" s="1"/>
  <c r="N252" i="1"/>
  <c r="S252" i="2"/>
  <c r="K252" i="2"/>
  <c r="Q252" i="2" s="1"/>
  <c r="AI259" i="1" l="1"/>
  <c r="BK258" i="1"/>
  <c r="BM258" i="1" s="1"/>
  <c r="BG252" i="1"/>
  <c r="AR252" i="1"/>
  <c r="U252" i="2"/>
  <c r="M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1" i="2" s="1"/>
  <c r="AI258" i="1" l="1"/>
  <c r="AI257" i="1"/>
  <c r="S257" i="1"/>
  <c r="BK256" i="1"/>
  <c r="BM256" i="1" s="1"/>
  <c r="BG250" i="1"/>
  <c r="S258" i="1"/>
  <c r="BG251" i="1"/>
  <c r="U251" i="2"/>
  <c r="Q251" i="2"/>
  <c r="BE249" i="1"/>
  <c r="BA249" i="1"/>
  <c r="AL249" i="1"/>
  <c r="AR249" i="1" s="1"/>
  <c r="AG249" i="1"/>
  <c r="Q249" i="1"/>
  <c r="N249" i="1"/>
  <c r="S250" i="2"/>
  <c r="K250" i="2"/>
  <c r="Q250" i="2" s="1"/>
  <c r="BE248" i="1"/>
  <c r="BA248" i="1"/>
  <c r="AL248" i="1"/>
  <c r="AR248" i="1" s="1"/>
  <c r="AG248" i="1"/>
  <c r="Q248" i="1"/>
  <c r="S255" i="1" s="1"/>
  <c r="N248" i="1"/>
  <c r="S249" i="2"/>
  <c r="K249" i="2"/>
  <c r="M249" i="2" s="1"/>
  <c r="AI255" i="1" l="1"/>
  <c r="AI256" i="1"/>
  <c r="BK254" i="1"/>
  <c r="BM254" i="1" s="1"/>
  <c r="BK255" i="1"/>
  <c r="BM255" i="1" s="1"/>
  <c r="S256" i="1"/>
  <c r="BG249" i="1"/>
  <c r="U250" i="2"/>
  <c r="M250" i="2"/>
  <c r="BG248" i="1"/>
  <c r="U249" i="2"/>
  <c r="Q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M248" i="2" s="1"/>
  <c r="AI254" i="1" l="1"/>
  <c r="BG247" i="1"/>
  <c r="U248" i="2"/>
  <c r="Q248" i="2"/>
  <c r="BE246" i="1"/>
  <c r="BA246" i="1"/>
  <c r="AL246" i="1"/>
  <c r="AR246" i="1" s="1"/>
  <c r="AG246" i="1"/>
  <c r="Q246" i="1"/>
  <c r="S253" i="1" s="1"/>
  <c r="N246" i="1"/>
  <c r="S247" i="2"/>
  <c r="K247" i="2"/>
  <c r="Q247" i="2" s="1"/>
  <c r="BE245" i="1"/>
  <c r="BA245" i="1"/>
  <c r="AL245" i="1"/>
  <c r="AR245" i="1" s="1"/>
  <c r="AG245" i="1"/>
  <c r="Q245" i="1"/>
  <c r="S252" i="1" s="1"/>
  <c r="N245" i="1"/>
  <c r="S246" i="2"/>
  <c r="K246" i="2"/>
  <c r="U246" i="2" s="1"/>
  <c r="AI252" i="1" l="1"/>
  <c r="AI253" i="1"/>
  <c r="BK251" i="1"/>
  <c r="BM251" i="1" s="1"/>
  <c r="BK252" i="1"/>
  <c r="BM252" i="1" s="1"/>
  <c r="BG246" i="1"/>
  <c r="U247" i="2"/>
  <c r="M247" i="2"/>
  <c r="BG245" i="1"/>
  <c r="M246" i="2"/>
  <c r="Q246" i="2"/>
  <c r="AR316" i="1"/>
  <c r="S245" i="2"/>
  <c r="BE244" i="1" l="1"/>
  <c r="BA244" i="1"/>
  <c r="AL244" i="1"/>
  <c r="AR244" i="1" s="1"/>
  <c r="AG244" i="1"/>
  <c r="Q244" i="1"/>
  <c r="N244" i="1"/>
  <c r="K245" i="2"/>
  <c r="Q245" i="2" s="1"/>
  <c r="S251" i="1" l="1"/>
  <c r="AI251" i="1"/>
  <c r="BK250" i="1"/>
  <c r="BM250" i="1" s="1"/>
  <c r="BG244" i="1"/>
  <c r="U245" i="2"/>
  <c r="M245" i="2"/>
  <c r="N235" i="1"/>
  <c r="AI301" i="1"/>
  <c r="W299" i="1"/>
  <c r="AA299" i="1" s="1"/>
  <c r="AA298" i="1" s="1"/>
  <c r="W298" i="1"/>
  <c r="BE243" i="1"/>
  <c r="BA243" i="1"/>
  <c r="AL243" i="1"/>
  <c r="AR243" i="1" s="1"/>
  <c r="AG243" i="1"/>
  <c r="Q243" i="1"/>
  <c r="S250" i="1" s="1"/>
  <c r="N243" i="1"/>
  <c r="S244" i="2"/>
  <c r="K244" i="2"/>
  <c r="Q244" i="2" s="1"/>
  <c r="AI250" i="1" l="1"/>
  <c r="BK249" i="1"/>
  <c r="BM249" i="1" s="1"/>
  <c r="BG243" i="1"/>
  <c r="U244" i="2"/>
  <c r="M244" i="2"/>
  <c r="BE242" i="1" l="1"/>
  <c r="BA242" i="1"/>
  <c r="AL242" i="1"/>
  <c r="AR242" i="1" s="1"/>
  <c r="AG242" i="1"/>
  <c r="Q242" i="1"/>
  <c r="S249" i="1" s="1"/>
  <c r="N242" i="1"/>
  <c r="S243" i="2"/>
  <c r="K243" i="2"/>
  <c r="Q243" i="2" s="1"/>
  <c r="BE241" i="1"/>
  <c r="BA241" i="1"/>
  <c r="AL241" i="1"/>
  <c r="AR241" i="1" s="1"/>
  <c r="AG241" i="1"/>
  <c r="Q241" i="1"/>
  <c r="S248" i="1" s="1"/>
  <c r="N241" i="1"/>
  <c r="S242" i="2"/>
  <c r="K242" i="2"/>
  <c r="Q242" i="2" s="1"/>
  <c r="AI248" i="1" l="1"/>
  <c r="AI249" i="1"/>
  <c r="BK247" i="1"/>
  <c r="BM247" i="1" s="1"/>
  <c r="BK248" i="1"/>
  <c r="BM248" i="1" s="1"/>
  <c r="BG242" i="1"/>
  <c r="U243" i="2"/>
  <c r="M243" i="2"/>
  <c r="BG241" i="1"/>
  <c r="U242" i="2"/>
  <c r="M242" i="2"/>
  <c r="BE240" i="1"/>
  <c r="BA240" i="1"/>
  <c r="AL240" i="1"/>
  <c r="AG240" i="1"/>
  <c r="Q240" i="1"/>
  <c r="S247" i="1" s="1"/>
  <c r="N240" i="1"/>
  <c r="S241" i="2"/>
  <c r="K241" i="2"/>
  <c r="Q241" i="2" s="1"/>
  <c r="BE239" i="1"/>
  <c r="BA239" i="1"/>
  <c r="AL239" i="1"/>
  <c r="AR239" i="1" s="1"/>
  <c r="AG239" i="1"/>
  <c r="Q239" i="1"/>
  <c r="S246" i="1" s="1"/>
  <c r="N239" i="1"/>
  <c r="S240" i="2"/>
  <c r="K240" i="2"/>
  <c r="Q240" i="2" s="1"/>
  <c r="G295" i="1"/>
  <c r="G296" i="1" s="1"/>
  <c r="F295" i="1"/>
  <c r="F296" i="1" s="1"/>
  <c r="E295" i="1"/>
  <c r="E296" i="1" s="1"/>
  <c r="BE238" i="1"/>
  <c r="BA238" i="1"/>
  <c r="AL238" i="1"/>
  <c r="AR238" i="1" s="1"/>
  <c r="AG238" i="1"/>
  <c r="Q238" i="1"/>
  <c r="S245" i="1" s="1"/>
  <c r="N238" i="1"/>
  <c r="S239" i="2"/>
  <c r="K239" i="2"/>
  <c r="Q239" i="2" s="1"/>
  <c r="AI247" i="1" l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M239" i="2"/>
  <c r="BE237" i="1" l="1"/>
  <c r="BA237" i="1"/>
  <c r="AL237" i="1"/>
  <c r="AR237" i="1" s="1"/>
  <c r="AG237" i="1"/>
  <c r="Q237" i="1"/>
  <c r="S244" i="1" s="1"/>
  <c r="N237" i="1"/>
  <c r="S238" i="2"/>
  <c r="K238" i="2"/>
  <c r="Q238" i="2" s="1"/>
  <c r="AI244" i="1" l="1"/>
  <c r="BK243" i="1"/>
  <c r="BM243" i="1" s="1"/>
  <c r="BG237" i="1"/>
  <c r="U238" i="2"/>
  <c r="M238" i="2"/>
  <c r="AR319" i="1"/>
  <c r="Q236" i="1" l="1"/>
  <c r="S243" i="1" s="1"/>
  <c r="Q235" i="1"/>
  <c r="Q234" i="1"/>
  <c r="Q233" i="1"/>
  <c r="Q232" i="1"/>
  <c r="Q231" i="1"/>
  <c r="Q230" i="1"/>
  <c r="Q229" i="1"/>
  <c r="S229" i="1" s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S198" i="1" s="1"/>
  <c r="Q197" i="1"/>
  <c r="S197" i="1" s="1"/>
  <c r="Q196" i="1"/>
  <c r="Q195" i="1"/>
  <c r="Q194" i="1"/>
  <c r="Q193" i="1"/>
  <c r="Q192" i="1"/>
  <c r="Q191" i="1"/>
  <c r="Q190" i="1"/>
  <c r="Q189" i="1"/>
  <c r="Q188" i="1"/>
  <c r="Q187" i="1"/>
  <c r="S207" i="1" l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7" i="2" s="1"/>
  <c r="BG236" i="1" l="1"/>
  <c r="U237" i="2"/>
  <c r="M237" i="2"/>
  <c r="BE235" i="1"/>
  <c r="BA235" i="1"/>
  <c r="BK241" i="1" s="1"/>
  <c r="BM241" i="1" s="1"/>
  <c r="AL235" i="1"/>
  <c r="AR235" i="1" s="1"/>
  <c r="AG235" i="1"/>
  <c r="AI242" i="1" s="1"/>
  <c r="S236" i="2"/>
  <c r="U236" i="2"/>
  <c r="K236" i="2"/>
  <c r="Q236" i="2" s="1"/>
  <c r="BE234" i="1"/>
  <c r="BA234" i="1"/>
  <c r="BK240" i="1" s="1"/>
  <c r="BM240" i="1" s="1"/>
  <c r="AL234" i="1"/>
  <c r="AR234" i="1" s="1"/>
  <c r="AG234" i="1"/>
  <c r="AI241" i="1" s="1"/>
  <c r="N234" i="1"/>
  <c r="S235" i="2"/>
  <c r="K235" i="2"/>
  <c r="M235" i="2" s="1"/>
  <c r="BG235" i="1" l="1"/>
  <c r="M236" i="2"/>
  <c r="BG234" i="1"/>
  <c r="U235" i="2"/>
  <c r="Q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M234" i="2" s="1"/>
  <c r="BG233" i="1" l="1"/>
  <c r="Q234" i="2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3" i="2" s="1"/>
  <c r="BG232" i="1" l="1"/>
  <c r="U233" i="2"/>
  <c r="M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Q232" i="2" s="1"/>
  <c r="BG231" i="1" l="1"/>
  <c r="U232" i="2"/>
  <c r="M232" i="2"/>
  <c r="AP316" i="1" l="1"/>
  <c r="AR315" i="1"/>
  <c r="AP315" i="1"/>
  <c r="AR314" i="1"/>
  <c r="AP314" i="1"/>
  <c r="AV314" i="1" l="1"/>
  <c r="AV315" i="1"/>
  <c r="AV316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 s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60" i="1"/>
  <c r="N214" i="1"/>
  <c r="N204" i="1"/>
  <c r="BA359" i="1" s="1"/>
  <c r="BC359" i="1" s="1"/>
  <c r="BE359" i="1" s="1"/>
  <c r="N174" i="1"/>
  <c r="BA358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60" i="1" l="1"/>
  <c r="BE360" i="1" s="1"/>
  <c r="BG216" i="1"/>
  <c r="U217" i="2"/>
  <c r="Q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328" i="1"/>
  <c r="H328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47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300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98" i="1"/>
  <c r="BK301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48" i="1"/>
  <c r="AP349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343" i="1"/>
  <c r="H344" i="1"/>
  <c r="J344" i="1" s="1"/>
  <c r="H345" i="1"/>
  <c r="J345" i="1" s="1"/>
  <c r="S154" i="2"/>
  <c r="M156" i="2" l="1"/>
  <c r="Q156" i="2"/>
  <c r="O345" i="1"/>
  <c r="AI154" i="1"/>
  <c r="AI161" i="1"/>
  <c r="BK160" i="1"/>
  <c r="BM160" i="1" s="1"/>
  <c r="AR154" i="1"/>
  <c r="BG154" i="1"/>
  <c r="U155" i="2"/>
  <c r="M155" i="2"/>
  <c r="J343" i="1"/>
  <c r="J35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46" i="1"/>
  <c r="AA345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83" i="3"/>
  <c r="F282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321" i="1" l="1"/>
  <c r="AR313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32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325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312" i="1" s="1"/>
  <c r="AH113" i="1"/>
  <c r="AP312" i="1" s="1"/>
  <c r="BE124" i="1"/>
  <c r="BA124" i="1"/>
  <c r="AL124" i="1"/>
  <c r="AG124" i="1"/>
  <c r="AI131" i="1" s="1"/>
  <c r="K125" i="2"/>
  <c r="S124" i="2"/>
  <c r="AV312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332" i="1"/>
  <c r="BE121" i="1"/>
  <c r="BA121" i="1"/>
  <c r="AL121" i="1"/>
  <c r="AR121" i="1" s="1"/>
  <c r="K122" i="2"/>
  <c r="M123" i="2" s="1"/>
  <c r="AH271" i="1" l="1"/>
  <c r="AH264" i="1"/>
  <c r="AH255" i="1"/>
  <c r="AH247" i="1"/>
  <c r="AH239" i="1"/>
  <c r="AH231" i="1"/>
  <c r="AH242" i="1"/>
  <c r="AH241" i="1"/>
  <c r="AH270" i="1"/>
  <c r="AH261" i="1"/>
  <c r="AH254" i="1"/>
  <c r="AH246" i="1"/>
  <c r="AH240" i="1"/>
  <c r="AH249" i="1"/>
  <c r="AH265" i="1"/>
  <c r="AH269" i="1"/>
  <c r="AH259" i="1"/>
  <c r="AH253" i="1"/>
  <c r="AH245" i="1"/>
  <c r="AH237" i="1"/>
  <c r="AH267" i="1"/>
  <c r="AH251" i="1"/>
  <c r="AH268" i="1"/>
  <c r="AH263" i="1"/>
  <c r="AH252" i="1"/>
  <c r="AH244" i="1"/>
  <c r="AH236" i="1"/>
  <c r="AH234" i="1"/>
  <c r="AH233" i="1"/>
  <c r="AH266" i="1"/>
  <c r="AH258" i="1"/>
  <c r="AH250" i="1"/>
  <c r="AH243" i="1"/>
  <c r="AH235" i="1"/>
  <c r="AH257" i="1"/>
  <c r="AH260" i="1"/>
  <c r="AH262" i="1"/>
  <c r="AH256" i="1"/>
  <c r="AH248" i="1"/>
  <c r="AH238" i="1"/>
  <c r="AH232" i="1"/>
  <c r="Q123" i="2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AG319" i="1"/>
  <c r="AP313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357" i="1" l="1"/>
  <c r="BE369" i="1"/>
  <c r="BG360" i="1"/>
  <c r="BC358" i="1"/>
  <c r="BE358" i="1" s="1"/>
  <c r="AV313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369" i="1" s="1"/>
  <c r="AL113" i="1"/>
  <c r="K114" i="2"/>
  <c r="BA373" i="1" l="1"/>
  <c r="BC371" i="1"/>
  <c r="BG369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64" i="3"/>
  <c r="AA263" i="3"/>
  <c r="AA262" i="3"/>
  <c r="AA261" i="3"/>
  <c r="AA260" i="3"/>
  <c r="AA259" i="3"/>
  <c r="AA258" i="3"/>
  <c r="AA257" i="3"/>
  <c r="AA256" i="3"/>
  <c r="AA255" i="3"/>
  <c r="AJ265" i="3"/>
  <c r="AJ268" i="3" s="1"/>
  <c r="Y265" i="3"/>
  <c r="W265" i="3"/>
  <c r="S107" i="2"/>
  <c r="AA265" i="3" l="1"/>
  <c r="AA268" i="3" s="1"/>
  <c r="U265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276" i="3"/>
  <c r="F279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311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311" i="1"/>
  <c r="AV311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66" i="3" l="1"/>
  <c r="I263" i="3"/>
  <c r="L263" i="3" s="1"/>
  <c r="I78" i="3"/>
  <c r="I80" i="3" s="1"/>
  <c r="I77" i="3"/>
  <c r="BE64" i="1"/>
  <c r="BA64" i="1"/>
  <c r="AL64" i="1"/>
  <c r="AR64" i="1" s="1"/>
  <c r="K65" i="2"/>
  <c r="Y19" i="3"/>
  <c r="Q66" i="2" l="1"/>
  <c r="M66" i="2"/>
  <c r="L266" i="3"/>
  <c r="I79" i="3"/>
  <c r="I81" i="3" s="1"/>
  <c r="I82" i="3" s="1"/>
  <c r="BG64" i="1"/>
  <c r="U65" i="2"/>
  <c r="S64" i="2"/>
  <c r="N81" i="3" l="1"/>
  <c r="N82" i="3" s="1"/>
  <c r="I265" i="3"/>
  <c r="L265" i="3" s="1"/>
  <c r="K64" i="2"/>
  <c r="BE63" i="1"/>
  <c r="BA63" i="1"/>
  <c r="AL63" i="1"/>
  <c r="AR63" i="1" s="1"/>
  <c r="Y18" i="3"/>
  <c r="Q65" i="2" l="1"/>
  <c r="M65" i="2"/>
  <c r="I267" i="3"/>
  <c r="U64" i="2"/>
  <c r="BG63" i="1"/>
  <c r="L256" i="3" l="1"/>
  <c r="L267" i="3"/>
  <c r="L255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30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56" i="1"/>
  <c r="B359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U247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C253" i="2" l="1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C260" i="2" l="1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C268" i="2" l="1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C276" i="2" l="1"/>
  <c r="C277" i="2" s="1"/>
  <c r="C278" i="2" s="1"/>
  <c r="C279" i="2" s="1"/>
  <c r="C280" i="2" s="1"/>
  <c r="C281" i="2" s="1"/>
  <c r="C282" i="2" s="1"/>
  <c r="C283" i="2" s="1"/>
  <c r="C289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W244" i="2" l="1"/>
  <c r="AG26" i="1"/>
  <c r="AI33" i="1" s="1"/>
  <c r="AR310" i="1"/>
  <c r="BW43" i="1"/>
  <c r="BN43" i="1" s="1"/>
  <c r="AX42" i="1"/>
  <c r="BE24" i="1"/>
  <c r="BC24" i="1"/>
  <c r="W245" i="2" l="1"/>
  <c r="W246" i="2" s="1"/>
  <c r="W247" i="2" s="1"/>
  <c r="W248" i="2" s="1"/>
  <c r="W249" i="2" s="1"/>
  <c r="W250" i="2" s="1"/>
  <c r="W251" i="2" s="1"/>
  <c r="W252" i="2" s="1"/>
  <c r="AR318" i="1"/>
  <c r="AR320" i="1" s="1"/>
  <c r="AV320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W253" i="2" l="1"/>
  <c r="BW45" i="1"/>
  <c r="BN45" i="1" s="1"/>
  <c r="AX44" i="1"/>
  <c r="BP25" i="1"/>
  <c r="BR24" i="1"/>
  <c r="AL24" i="1"/>
  <c r="AR24" i="1" s="1"/>
  <c r="D23" i="1"/>
  <c r="AL23" i="1"/>
  <c r="AR23" i="1" s="1"/>
  <c r="W254" i="2" l="1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W260" i="2" l="1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W288" i="2" s="1"/>
  <c r="W289" i="2" s="1"/>
  <c r="AP310" i="1"/>
  <c r="AV310" i="1" s="1"/>
  <c r="BA316" i="1" s="1"/>
  <c r="BA317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270" i="1" l="1"/>
  <c r="B271" i="1" s="1"/>
  <c r="B272" i="1" s="1"/>
  <c r="B273" i="1" s="1"/>
  <c r="B274" i="1" s="1"/>
  <c r="B275" i="1" s="1"/>
  <c r="BW69" i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276" i="1" l="1"/>
  <c r="B277" i="1" s="1"/>
  <c r="B278" i="1" s="1"/>
  <c r="B279" i="1" s="1"/>
  <c r="B280" i="1" s="1"/>
  <c r="B281" i="1" s="1"/>
  <c r="B282" i="1" s="1"/>
  <c r="B293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67" i="3"/>
  <c r="Y268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67" i="3"/>
  <c r="W268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329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W291" i="1"/>
  <c r="BW292" i="1" s="1"/>
  <c r="BW293" i="1" s="1"/>
  <c r="BR235" i="1"/>
  <c r="BP236" i="1"/>
  <c r="AA218" i="1"/>
  <c r="AE217" i="1"/>
  <c r="AE216" i="1"/>
  <c r="J174" i="1"/>
  <c r="H174" i="1"/>
  <c r="O173" i="1"/>
  <c r="AV173" i="1"/>
  <c r="AC173" i="1"/>
  <c r="BN248" i="1" l="1"/>
  <c r="AX248" i="1"/>
  <c r="BW249" i="1"/>
  <c r="BR236" i="1"/>
  <c r="BP237" i="1"/>
  <c r="AA219" i="1"/>
  <c r="AE218" i="1"/>
  <c r="O174" i="1"/>
  <c r="J175" i="1"/>
  <c r="H175" i="1"/>
  <c r="AV174" i="1"/>
  <c r="AC174" i="1"/>
  <c r="AX249" i="1" l="1"/>
  <c r="BW250" i="1"/>
  <c r="BN249" i="1"/>
  <c r="BR237" i="1"/>
  <c r="BP238" i="1"/>
  <c r="AA220" i="1"/>
  <c r="AE219" i="1"/>
  <c r="AV175" i="1"/>
  <c r="J176" i="1"/>
  <c r="H176" i="1"/>
  <c r="O175" i="1"/>
  <c r="AC175" i="1"/>
  <c r="BN250" i="1" l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2" i="1" l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R272" i="1" l="1"/>
  <c r="BP273" i="1"/>
  <c r="BR271" i="1"/>
  <c r="AE254" i="1"/>
  <c r="AA255" i="1"/>
  <c r="AV204" i="1"/>
  <c r="H205" i="1"/>
  <c r="J205" i="1"/>
  <c r="O204" i="1"/>
  <c r="AC204" i="1"/>
  <c r="BR273" i="1" l="1"/>
  <c r="BP274" i="1"/>
  <c r="AE255" i="1"/>
  <c r="AA256" i="1"/>
  <c r="H206" i="1"/>
  <c r="J206" i="1"/>
  <c r="AV205" i="1"/>
  <c r="O205" i="1"/>
  <c r="AC205" i="1"/>
  <c r="BR274" i="1" l="1"/>
  <c r="BP275" i="1"/>
  <c r="AE256" i="1"/>
  <c r="AA257" i="1"/>
  <c r="AV206" i="1"/>
  <c r="H207" i="1"/>
  <c r="J207" i="1"/>
  <c r="O206" i="1"/>
  <c r="AC206" i="1"/>
  <c r="BR275" i="1" l="1"/>
  <c r="BP276" i="1"/>
  <c r="AE257" i="1"/>
  <c r="AA258" i="1"/>
  <c r="AA259" i="1" s="1"/>
  <c r="O207" i="1"/>
  <c r="J208" i="1"/>
  <c r="H208" i="1"/>
  <c r="AV207" i="1"/>
  <c r="AC207" i="1"/>
  <c r="BR276" i="1" l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R277" i="1" l="1"/>
  <c r="BP278" i="1"/>
  <c r="AE260" i="1"/>
  <c r="AA261" i="1"/>
  <c r="J210" i="1"/>
  <c r="H210" i="1"/>
  <c r="AV209" i="1"/>
  <c r="O209" i="1"/>
  <c r="AC209" i="1"/>
  <c r="BR278" i="1" l="1"/>
  <c r="BP279" i="1"/>
  <c r="AA262" i="1"/>
  <c r="AE261" i="1"/>
  <c r="O210" i="1"/>
  <c r="H211" i="1"/>
  <c r="J211" i="1"/>
  <c r="AV210" i="1"/>
  <c r="AC210" i="1"/>
  <c r="BR279" i="1" l="1"/>
  <c r="BP280" i="1"/>
  <c r="AE262" i="1"/>
  <c r="AA263" i="1"/>
  <c r="O211" i="1"/>
  <c r="J212" i="1"/>
  <c r="H212" i="1"/>
  <c r="AV211" i="1"/>
  <c r="AC211" i="1"/>
  <c r="BR280" i="1" l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R281" i="1" l="1"/>
  <c r="BP282" i="1"/>
  <c r="AE264" i="1"/>
  <c r="AA265" i="1"/>
  <c r="AV213" i="1"/>
  <c r="J214" i="1"/>
  <c r="H214" i="1"/>
  <c r="O213" i="1"/>
  <c r="AC213" i="1"/>
  <c r="BR282" i="1" l="1"/>
  <c r="AE265" i="1"/>
  <c r="AA266" i="1"/>
  <c r="J215" i="1"/>
  <c r="H215" i="1"/>
  <c r="O214" i="1"/>
  <c r="AV214" i="1"/>
  <c r="AC214" i="1"/>
  <c r="AA267" i="1" l="1"/>
  <c r="AE266" i="1"/>
  <c r="AV215" i="1"/>
  <c r="H216" i="1"/>
  <c r="J216" i="1"/>
  <c r="AC215" i="1"/>
  <c r="O215" i="1"/>
  <c r="AE267" i="1" l="1"/>
  <c r="AA268" i="1"/>
  <c r="H217" i="1"/>
  <c r="J217" i="1"/>
  <c r="O216" i="1"/>
  <c r="AV216" i="1"/>
  <c r="AC216" i="1"/>
  <c r="AE268" i="1" l="1"/>
  <c r="AA269" i="1"/>
  <c r="AA270" i="1" s="1"/>
  <c r="AV217" i="1"/>
  <c r="J218" i="1"/>
  <c r="H218" i="1"/>
  <c r="O217" i="1"/>
  <c r="AC217" i="1"/>
  <c r="AA170" i="3"/>
  <c r="AA271" i="1" l="1"/>
  <c r="AA272" i="1" s="1"/>
  <c r="AE270" i="1"/>
  <c r="AE269" i="1"/>
  <c r="O218" i="1"/>
  <c r="J219" i="1"/>
  <c r="H219" i="1"/>
  <c r="AV218" i="1"/>
  <c r="AC218" i="1"/>
  <c r="AE272" i="1" l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AE273" i="1" l="1"/>
  <c r="AA274" i="1"/>
  <c r="AV220" i="1"/>
  <c r="H221" i="1"/>
  <c r="J221" i="1"/>
  <c r="O220" i="1"/>
  <c r="AC220" i="1"/>
  <c r="AE274" i="1" l="1"/>
  <c r="AA275" i="1"/>
  <c r="J222" i="1"/>
  <c r="H222" i="1"/>
  <c r="AV221" i="1"/>
  <c r="O221" i="1"/>
  <c r="AC221" i="1"/>
  <c r="AE275" i="1" l="1"/>
  <c r="AA276" i="1"/>
  <c r="AV222" i="1"/>
  <c r="H223" i="1"/>
  <c r="J223" i="1"/>
  <c r="O222" i="1"/>
  <c r="AC222" i="1"/>
  <c r="AE276" i="1" l="1"/>
  <c r="AA277" i="1"/>
  <c r="AV223" i="1"/>
  <c r="H224" i="1"/>
  <c r="J224" i="1"/>
  <c r="O223" i="1"/>
  <c r="AC223" i="1"/>
  <c r="AA278" i="1" l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AA279" i="1" l="1"/>
  <c r="AE278" i="1"/>
  <c r="O225" i="1"/>
  <c r="H226" i="1"/>
  <c r="J226" i="1"/>
  <c r="AV225" i="1"/>
  <c r="AC225" i="1"/>
  <c r="AA280" i="1" l="1"/>
  <c r="AE279" i="1"/>
  <c r="O226" i="1"/>
  <c r="J227" i="1"/>
  <c r="H227" i="1"/>
  <c r="AV226" i="1"/>
  <c r="AC226" i="1"/>
  <c r="AA281" i="1" l="1"/>
  <c r="AE280" i="1"/>
  <c r="AV227" i="1"/>
  <c r="H228" i="1"/>
  <c r="J228" i="1"/>
  <c r="O227" i="1"/>
  <c r="AC227" i="1"/>
  <c r="AA282" i="1" l="1"/>
  <c r="AE281" i="1"/>
  <c r="J229" i="1"/>
  <c r="H229" i="1"/>
  <c r="O228" i="1"/>
  <c r="AV228" i="1"/>
  <c r="AC228" i="1"/>
  <c r="AE282" i="1" l="1"/>
  <c r="O229" i="1"/>
  <c r="H230" i="1"/>
  <c r="J230" i="1"/>
  <c r="AV229" i="1"/>
  <c r="AC229" i="1"/>
  <c r="I21" i="3" l="1"/>
  <c r="I35" i="3" s="1"/>
  <c r="AD49" i="2"/>
  <c r="AD51" i="2" s="1"/>
  <c r="AD53" i="2" s="1"/>
  <c r="AD55" i="2" s="1"/>
  <c r="AD57" i="2" s="1"/>
  <c r="AJ21" i="2"/>
  <c r="J231" i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J234" i="1" l="1"/>
  <c r="H234" i="1"/>
  <c r="O233" i="1"/>
  <c r="AV233" i="1"/>
  <c r="AC233" i="1"/>
  <c r="AA186" i="3"/>
  <c r="AA187" i="3"/>
  <c r="AA185" i="3"/>
  <c r="AV234" i="1" l="1"/>
  <c r="H235" i="1"/>
  <c r="J235" i="1"/>
  <c r="O234" i="1"/>
  <c r="AC234" i="1"/>
  <c r="AV235" i="1" l="1"/>
  <c r="J236" i="1"/>
  <c r="H236" i="1"/>
  <c r="O235" i="1"/>
  <c r="AC235" i="1"/>
  <c r="AV236" i="1" l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O237" i="1" l="1"/>
  <c r="H238" i="1"/>
  <c r="J238" i="1"/>
  <c r="AV237" i="1"/>
  <c r="AC237" i="1"/>
  <c r="AV238" i="1" l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J243" i="1" l="1"/>
  <c r="H243" i="1"/>
  <c r="O242" i="1"/>
  <c r="AV242" i="1"/>
  <c r="AC242" i="1"/>
  <c r="O243" i="1" l="1"/>
  <c r="J244" i="1"/>
  <c r="H244" i="1"/>
  <c r="AV243" i="1"/>
  <c r="AC243" i="1"/>
  <c r="AV244" i="1" l="1"/>
  <c r="J245" i="1"/>
  <c r="H245" i="1"/>
  <c r="O244" i="1"/>
  <c r="AC244" i="1"/>
  <c r="AA201" i="3"/>
  <c r="AA199" i="3"/>
  <c r="AA200" i="3"/>
  <c r="AA198" i="3"/>
  <c r="AC245" i="1" l="1"/>
  <c r="J246" i="1"/>
  <c r="H246" i="1"/>
  <c r="O245" i="1"/>
  <c r="AV245" i="1"/>
  <c r="H247" i="1" l="1"/>
  <c r="J247" i="1"/>
  <c r="O246" i="1"/>
  <c r="AV246" i="1"/>
  <c r="AC246" i="1"/>
  <c r="H248" i="1" l="1"/>
  <c r="J248" i="1"/>
  <c r="O247" i="1"/>
  <c r="AV247" i="1"/>
  <c r="AC247" i="1"/>
  <c r="O248" i="1" l="1"/>
  <c r="H249" i="1"/>
  <c r="AV248" i="1"/>
  <c r="J249" i="1"/>
  <c r="AC248" i="1"/>
  <c r="AV249" i="1" l="1"/>
  <c r="J250" i="1"/>
  <c r="H250" i="1"/>
  <c r="O249" i="1"/>
  <c r="AC249" i="1"/>
  <c r="AA205" i="3"/>
  <c r="AA203" i="3"/>
  <c r="AA204" i="3"/>
  <c r="AA202" i="3"/>
  <c r="O250" i="1" l="1"/>
  <c r="J251" i="1"/>
  <c r="AV250" i="1"/>
  <c r="H251" i="1"/>
  <c r="AC250" i="1"/>
  <c r="H252" i="1" l="1"/>
  <c r="J252" i="1"/>
  <c r="AV251" i="1"/>
  <c r="O251" i="1"/>
  <c r="AC251" i="1"/>
  <c r="AV252" i="1" l="1"/>
  <c r="H253" i="1"/>
  <c r="J253" i="1"/>
  <c r="O252" i="1"/>
  <c r="AC252" i="1"/>
  <c r="O253" i="1" l="1"/>
  <c r="J254" i="1"/>
  <c r="H254" i="1"/>
  <c r="AV253" i="1"/>
  <c r="AC253" i="1"/>
  <c r="O254" i="1" l="1"/>
  <c r="J255" i="1"/>
  <c r="H255" i="1"/>
  <c r="AV254" i="1"/>
  <c r="AC254" i="1"/>
  <c r="AA212" i="3"/>
  <c r="AA213" i="3"/>
  <c r="AA210" i="3"/>
  <c r="AA211" i="3"/>
  <c r="AA207" i="3"/>
  <c r="AA209" i="3"/>
  <c r="AA206" i="3"/>
  <c r="O255" i="1" l="1"/>
  <c r="J256" i="1"/>
  <c r="H256" i="1"/>
  <c r="AV255" i="1"/>
  <c r="AC255" i="1"/>
  <c r="AV256" i="1" l="1"/>
  <c r="H257" i="1"/>
  <c r="J257" i="1"/>
  <c r="O256" i="1"/>
  <c r="AC256" i="1"/>
  <c r="O257" i="1" l="1"/>
  <c r="J258" i="1"/>
  <c r="H258" i="1"/>
  <c r="AV257" i="1"/>
  <c r="AC257" i="1"/>
  <c r="H259" i="1" l="1"/>
  <c r="J259" i="1"/>
  <c r="O258" i="1"/>
  <c r="AV258" i="1"/>
  <c r="AC258" i="1"/>
  <c r="O259" i="1" l="1"/>
  <c r="H260" i="1"/>
  <c r="J260" i="1"/>
  <c r="AV259" i="1"/>
  <c r="AC259" i="1"/>
  <c r="O260" i="1" l="1"/>
  <c r="J261" i="1"/>
  <c r="H261" i="1"/>
  <c r="AV260" i="1"/>
  <c r="AC260" i="1"/>
  <c r="AV261" i="1" l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AV262" i="1" l="1"/>
  <c r="H263" i="1"/>
  <c r="J263" i="1"/>
  <c r="O262" i="1"/>
  <c r="AC262" i="1"/>
  <c r="AV263" i="1" l="1"/>
  <c r="J264" i="1"/>
  <c r="H264" i="1"/>
  <c r="O263" i="1"/>
  <c r="AC263" i="1"/>
  <c r="AV264" i="1" l="1"/>
  <c r="J265" i="1"/>
  <c r="H265" i="1"/>
  <c r="O264" i="1"/>
  <c r="AC264" i="1"/>
  <c r="AV265" i="1" l="1"/>
  <c r="H266" i="1"/>
  <c r="J266" i="1"/>
  <c r="O265" i="1"/>
  <c r="AC265" i="1"/>
  <c r="AV266" i="1" l="1"/>
  <c r="J267" i="1"/>
  <c r="H267" i="1"/>
  <c r="O266" i="1"/>
  <c r="AC266" i="1"/>
  <c r="O267" i="1" l="1"/>
  <c r="J268" i="1"/>
  <c r="H268" i="1"/>
  <c r="AV267" i="1"/>
  <c r="AC267" i="1"/>
  <c r="O268" i="1" l="1"/>
  <c r="J269" i="1"/>
  <c r="H269" i="1"/>
  <c r="AV268" i="1"/>
  <c r="AC268" i="1"/>
  <c r="H270" i="1" l="1"/>
  <c r="J270" i="1"/>
  <c r="O269" i="1"/>
  <c r="H309" i="1"/>
  <c r="AV269" i="1"/>
  <c r="H310" i="1"/>
  <c r="AC269" i="1"/>
  <c r="AV270" i="1" l="1"/>
  <c r="H271" i="1"/>
  <c r="J271" i="1"/>
  <c r="O270" i="1"/>
  <c r="AC270" i="1"/>
  <c r="J272" i="1" l="1"/>
  <c r="H272" i="1"/>
  <c r="AV271" i="1"/>
  <c r="O271" i="1"/>
  <c r="AC271" i="1"/>
  <c r="J273" i="1" l="1"/>
  <c r="H273" i="1"/>
  <c r="O272" i="1"/>
  <c r="AV272" i="1"/>
  <c r="AC272" i="1"/>
  <c r="AA225" i="3"/>
  <c r="H274" i="1" l="1"/>
  <c r="I23" i="3" s="1"/>
  <c r="I25" i="3" s="1"/>
  <c r="I27" i="3" s="1"/>
  <c r="J274" i="1"/>
  <c r="AV273" i="1"/>
  <c r="O273" i="1"/>
  <c r="AC273" i="1"/>
  <c r="N27" i="3" l="1"/>
  <c r="N28" i="3" s="1"/>
  <c r="I34" i="3"/>
  <c r="AV274" i="1"/>
  <c r="J275" i="1"/>
  <c r="H275" i="1"/>
  <c r="O274" i="1"/>
  <c r="AC274" i="1"/>
  <c r="AA229" i="3"/>
  <c r="AA227" i="3"/>
  <c r="AA228" i="3"/>
  <c r="AA226" i="3"/>
  <c r="H276" i="1" l="1"/>
  <c r="J276" i="1"/>
  <c r="AC275" i="1"/>
  <c r="O275" i="1"/>
  <c r="AV275" i="1"/>
  <c r="AV276" i="1" l="1"/>
  <c r="J277" i="1"/>
  <c r="H277" i="1"/>
  <c r="O276" i="1"/>
  <c r="AC276" i="1"/>
  <c r="AV277" i="1" l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V278" i="1" l="1"/>
  <c r="H279" i="1"/>
  <c r="J279" i="1"/>
  <c r="O278" i="1"/>
  <c r="AC278" i="1"/>
  <c r="AV279" i="1" l="1"/>
  <c r="J280" i="1"/>
  <c r="H280" i="1"/>
  <c r="O279" i="1"/>
  <c r="AC279" i="1"/>
  <c r="AV280" i="1" l="1"/>
  <c r="H281" i="1"/>
  <c r="J281" i="1"/>
  <c r="O280" i="1"/>
  <c r="AC280" i="1"/>
  <c r="AV281" i="1" l="1"/>
  <c r="J282" i="1"/>
  <c r="H282" i="1"/>
  <c r="O281" i="1"/>
  <c r="AC281" i="1"/>
  <c r="O282" i="1" l="1"/>
  <c r="AV282" i="1"/>
  <c r="AC282" i="1"/>
  <c r="AF21" i="2" l="1"/>
  <c r="I32" i="3"/>
  <c r="L32" i="3" l="1"/>
  <c r="L35" i="3"/>
  <c r="I28" i="3"/>
  <c r="I36" i="3"/>
  <c r="L34" i="3"/>
  <c r="AA239" i="3" l="1"/>
  <c r="W240" i="3"/>
  <c r="AA240" i="3" s="1"/>
  <c r="L36" i="3"/>
  <c r="Y240" i="3" s="1"/>
  <c r="AA238" i="3"/>
  <c r="Y121" i="3" l="1"/>
  <c r="Y12" i="3"/>
  <c r="Y214" i="3"/>
</calcChain>
</file>

<file path=xl/sharedStrings.xml><?xml version="1.0" encoding="utf-8"?>
<sst xmlns="http://schemas.openxmlformats.org/spreadsheetml/2006/main" count="323" uniqueCount="175">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</sst>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  <xf numFmtId="9" fontId="0" fillId="13" borderId="0" xfId="2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4" borderId="0" xfId="0" applyNumberFormat="1" applyFill="1"/>
    <xf numFmtId="43" fontId="2" fillId="3" borderId="0" xfId="0" applyNumberFormat="1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" fontId="18" fillId="13" borderId="0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Table'!$BK$40:$BK$292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308</xdr:row>
      <xdr:rowOff>99060</xdr:rowOff>
    </xdr:from>
    <xdr:to>
      <xdr:col>22</xdr:col>
      <xdr:colOff>312420</xdr:colOff>
      <xdr:row>309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308</xdr:row>
      <xdr:rowOff>129540</xdr:rowOff>
    </xdr:from>
    <xdr:to>
      <xdr:col>23</xdr:col>
      <xdr:colOff>68580</xdr:colOff>
      <xdr:row>309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326</xdr:row>
      <xdr:rowOff>125730</xdr:rowOff>
    </xdr:from>
    <xdr:to>
      <xdr:col>54</xdr:col>
      <xdr:colOff>213360</xdr:colOff>
      <xdr:row>341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78"/>
  <sheetViews>
    <sheetView tabSelected="1" topLeftCell="C269" zoomScaleNormal="100" workbookViewId="0">
      <selection activeCell="I299" sqref="I29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1.554687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31" t="s">
        <v>5</v>
      </c>
      <c r="C1" s="631"/>
      <c r="D1" s="631"/>
    </row>
    <row r="2" spans="2:90" ht="15.6" x14ac:dyDescent="0.3">
      <c r="B2" s="631" t="s">
        <v>6</v>
      </c>
      <c r="C2" s="631"/>
      <c r="D2" s="63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34" t="s">
        <v>13</v>
      </c>
      <c r="C3" s="634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32" t="s">
        <v>11</v>
      </c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11"/>
      <c r="AE4" s="325"/>
      <c r="AF4" s="447"/>
      <c r="AG4" s="447"/>
      <c r="AH4" s="447"/>
      <c r="AI4" s="447"/>
      <c r="AJ4" s="12"/>
      <c r="AL4" s="613" t="s">
        <v>14</v>
      </c>
      <c r="AM4" s="614"/>
      <c r="AN4" s="614"/>
      <c r="AO4" s="614"/>
      <c r="AP4" s="614"/>
      <c r="AQ4" s="614"/>
      <c r="AR4" s="614"/>
      <c r="AS4" s="614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14"/>
      <c r="BJ4" s="614"/>
      <c r="BK4" s="614"/>
      <c r="BL4" s="614"/>
      <c r="BM4" s="614"/>
      <c r="BN4" s="614"/>
      <c r="BO4" s="614"/>
      <c r="BP4" s="614"/>
      <c r="BQ4" s="614"/>
      <c r="BR4" s="614"/>
      <c r="BS4" s="614"/>
      <c r="BT4" s="614"/>
      <c r="BU4" s="615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35" t="s">
        <v>12</v>
      </c>
      <c r="G6" s="635"/>
      <c r="H6" s="635"/>
      <c r="I6" s="635"/>
      <c r="J6" s="635"/>
      <c r="K6" s="635"/>
      <c r="L6" s="635"/>
      <c r="M6" s="335"/>
      <c r="N6" s="542"/>
      <c r="O6" s="335"/>
      <c r="P6" s="336"/>
      <c r="Q6" s="641" t="s">
        <v>124</v>
      </c>
      <c r="R6" s="635"/>
      <c r="S6" s="635"/>
      <c r="T6" s="635"/>
      <c r="U6" s="642"/>
      <c r="V6" s="3"/>
      <c r="W6" s="8" t="s">
        <v>7</v>
      </c>
      <c r="X6" s="30"/>
      <c r="Y6" s="636">
        <v>1.2500000000000001E-2</v>
      </c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7"/>
      <c r="AK6" s="3"/>
      <c r="AL6" s="622" t="s">
        <v>27</v>
      </c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4"/>
      <c r="AZ6" s="3"/>
      <c r="BA6" s="625" t="s">
        <v>7</v>
      </c>
      <c r="BB6" s="617"/>
      <c r="BC6" s="617"/>
      <c r="BD6" s="97"/>
      <c r="BE6" s="616" t="s">
        <v>26</v>
      </c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7"/>
      <c r="BS6" s="617"/>
      <c r="BT6" s="617"/>
      <c r="BU6" s="618"/>
      <c r="BV6" s="3"/>
    </row>
    <row r="7" spans="2:90" ht="16.2" x14ac:dyDescent="0.3">
      <c r="D7" s="619" t="s">
        <v>20</v>
      </c>
      <c r="E7" s="620"/>
      <c r="F7" s="620"/>
      <c r="G7" s="620"/>
      <c r="H7" s="620"/>
      <c r="I7" s="620"/>
      <c r="J7" s="620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38" t="s">
        <v>35</v>
      </c>
      <c r="X7" s="639"/>
      <c r="Y7" s="639"/>
      <c r="Z7" s="639"/>
      <c r="AA7" s="639"/>
      <c r="AB7" s="639"/>
      <c r="AC7" s="639"/>
      <c r="AD7" s="639"/>
      <c r="AE7" s="639"/>
      <c r="AF7" s="639"/>
      <c r="AG7" s="639"/>
      <c r="AH7" s="639"/>
      <c r="AI7" s="639"/>
      <c r="AJ7" s="640"/>
      <c r="AK7" s="3"/>
      <c r="AL7" s="619" t="s">
        <v>76</v>
      </c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1"/>
      <c r="BA7" s="619" t="s">
        <v>25</v>
      </c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  <c r="BS7" s="620"/>
      <c r="BT7" s="620"/>
      <c r="BU7" s="621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11" t="s">
        <v>1</v>
      </c>
      <c r="BB8" s="612"/>
      <c r="BC8" s="612"/>
      <c r="BD8" s="64"/>
      <c r="BE8" s="612" t="s">
        <v>24</v>
      </c>
      <c r="BF8" s="612"/>
      <c r="BG8" s="612"/>
      <c r="BH8" s="612"/>
      <c r="BI8" s="626"/>
      <c r="BJ8" s="627" t="s">
        <v>124</v>
      </c>
      <c r="BK8" s="628"/>
      <c r="BL8" s="628"/>
      <c r="BM8" s="629"/>
      <c r="BN8" s="611" t="s">
        <v>24</v>
      </c>
      <c r="BO8" s="612"/>
      <c r="BP8" s="612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>
        <f>SUM(BA83:BA112)</f>
        <v>16525460</v>
      </c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149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149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149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149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SUM(D102:D294)</f>
        <v>15606576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SUM(D109:D301)</f>
        <v>15543310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85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SUM(D116:D308)</f>
        <v>15199350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>SUM(D123:D318)</f>
        <v>345804480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>SUM(D124:D319)</f>
        <v>345742761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>SUM(D125:D320)</f>
        <v>345684412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>SUM(D126:D321)</f>
        <v>345618924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>SUM(D127:D322)</f>
        <v>345552876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>SUM(D128:D323)</f>
        <v>345480881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>SUM(D129:D324)</f>
        <v>422407493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>SUM(D130:D325)</f>
        <v>422332506.23262841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3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>SUM(D131:D326)</f>
        <v>422269247.23262841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>SUM(D132:D327)</f>
        <v>753203968.23262835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3"/>
        <v>335914</v>
      </c>
      <c r="O162" s="16">
        <f t="shared" si="114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>SUM(D133:D328)</f>
        <v>797495089.23262835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3"/>
        <v>325907</v>
      </c>
      <c r="O163" s="16">
        <f t="shared" si="114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>SUM(D134:D329)</f>
        <v>797427610.30462837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3"/>
        <v>315788</v>
      </c>
      <c r="O164" s="16">
        <f t="shared" si="114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>SUM(D135:D330)</f>
        <v>797355643.30462837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5891925</v>
      </c>
      <c r="I165" s="16"/>
      <c r="J165" s="479">
        <f t="shared" ref="J165:J182" si="116">+D165/H164</f>
        <v>7.4945760124320807E-3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37768.75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180189</v>
      </c>
      <c r="AB165" s="33"/>
      <c r="AC165" s="46">
        <f t="shared" ref="AC165:AC182" si="121">+AA165/H165</f>
        <v>3.0582364846803038E-2</v>
      </c>
      <c r="AD165" s="33"/>
      <c r="AE165" s="33">
        <f t="shared" ref="AE165:AE182" si="122">+AA165/BW165</f>
        <v>1155.0576923076924</v>
      </c>
      <c r="AF165" s="50"/>
      <c r="AG165" s="33">
        <f t="shared" ref="AG165:AG182" si="123">SUM(W159:W165)</f>
        <v>6994</v>
      </c>
      <c r="AH165" s="33">
        <f>SUM(D136:D331)</f>
        <v>797286200.34662843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0.5343041535661095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5924643</v>
      </c>
      <c r="I166" s="16"/>
      <c r="J166" s="479">
        <f t="shared" si="116"/>
        <v>5.5530238419531815E-3</v>
      </c>
      <c r="K166" s="16"/>
      <c r="L166" s="16"/>
      <c r="M166" s="16"/>
      <c r="N166" s="16">
        <f t="shared" si="117"/>
        <v>301969</v>
      </c>
      <c r="O166" s="16">
        <f t="shared" si="114"/>
        <v>37736.579617834395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180619</v>
      </c>
      <c r="AB166" s="33"/>
      <c r="AC166" s="46">
        <f t="shared" si="121"/>
        <v>3.0486056290649075E-2</v>
      </c>
      <c r="AD166" s="33"/>
      <c r="AE166" s="33">
        <f t="shared" si="122"/>
        <v>1150.43949044586</v>
      </c>
      <c r="AF166" s="50"/>
      <c r="AG166" s="33">
        <f t="shared" si="123"/>
        <v>6902</v>
      </c>
      <c r="AH166" s="33">
        <f>SUM(D137:D332)</f>
        <v>798209166.34662843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0.53455760963150012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5966127</v>
      </c>
      <c r="I167" s="16"/>
      <c r="J167" s="479">
        <f t="shared" si="116"/>
        <v>7.0019408764376186E-3</v>
      </c>
      <c r="K167" s="16"/>
      <c r="L167" s="16"/>
      <c r="M167" s="16"/>
      <c r="N167" s="16">
        <f t="shared" si="117"/>
        <v>302841</v>
      </c>
      <c r="O167" s="16">
        <f t="shared" si="114"/>
        <v>37760.297468354431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181129</v>
      </c>
      <c r="AB167" s="33"/>
      <c r="AC167" s="46">
        <f t="shared" si="121"/>
        <v>3.0359561571518676E-2</v>
      </c>
      <c r="AD167" s="33"/>
      <c r="AE167" s="33">
        <f t="shared" si="122"/>
        <v>1146.3860759493671</v>
      </c>
      <c r="AF167" s="50"/>
      <c r="AG167" s="33">
        <f t="shared" si="123"/>
        <v>6823</v>
      </c>
      <c r="AH167" s="33">
        <f>SUM(D138:D333)</f>
        <v>798141753.34662843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0.53937520941139871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6006225</v>
      </c>
      <c r="I168" s="16"/>
      <c r="J168" s="479">
        <f t="shared" si="116"/>
        <v>6.7209430841817484E-3</v>
      </c>
      <c r="K168" s="16"/>
      <c r="L168" s="16"/>
      <c r="M168" s="16"/>
      <c r="N168" s="16">
        <f t="shared" si="117"/>
        <v>298940</v>
      </c>
      <c r="O168" s="16">
        <f t="shared" si="114"/>
        <v>37775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182419</v>
      </c>
      <c r="AB168" s="33"/>
      <c r="AC168" s="46">
        <f t="shared" si="121"/>
        <v>3.0371656073490419E-2</v>
      </c>
      <c r="AD168" s="33"/>
      <c r="AE168" s="33">
        <f t="shared" si="122"/>
        <v>1147.2893081761006</v>
      </c>
      <c r="AF168" s="50"/>
      <c r="AG168" s="33">
        <f t="shared" si="123"/>
        <v>6755</v>
      </c>
      <c r="AH168" s="33">
        <f>SUM(D139:D334)</f>
        <v>798085623.34662843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0.54181819695399358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6050862</v>
      </c>
      <c r="I169" s="16"/>
      <c r="J169" s="479">
        <f t="shared" si="116"/>
        <v>7.4317895183746863E-3</v>
      </c>
      <c r="K169" s="16"/>
      <c r="L169" s="16"/>
      <c r="M169" s="16"/>
      <c r="N169" s="16">
        <f t="shared" si="117"/>
        <v>298604</v>
      </c>
      <c r="O169" s="16">
        <f t="shared" si="114"/>
        <v>37817.887499999997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183699</v>
      </c>
      <c r="AB169" s="33"/>
      <c r="AC169" s="46">
        <f t="shared" si="121"/>
        <v>3.0359145523398155E-2</v>
      </c>
      <c r="AD169" s="33"/>
      <c r="AE169" s="33">
        <f t="shared" si="122"/>
        <v>1148.1187500000001</v>
      </c>
      <c r="AF169" s="50"/>
      <c r="AG169" s="33">
        <f t="shared" si="123"/>
        <v>6751</v>
      </c>
      <c r="AH169" s="33">
        <f>SUM(D140:D335)</f>
        <v>798024052.34662843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0.54766758851879282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6096868</v>
      </c>
      <c r="I170" s="16"/>
      <c r="J170" s="479">
        <f t="shared" si="116"/>
        <v>7.6032142197260486E-3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37868.745341614907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184842</v>
      </c>
      <c r="AB170" s="33"/>
      <c r="AC170" s="46">
        <f t="shared" si="121"/>
        <v>3.0317533527050283E-2</v>
      </c>
      <c r="AD170" s="33"/>
      <c r="AE170" s="33">
        <f t="shared" si="122"/>
        <v>1148.0869565217392</v>
      </c>
      <c r="AF170" s="50"/>
      <c r="AG170" s="33">
        <f t="shared" si="123"/>
        <v>6797</v>
      </c>
      <c r="AH170" s="33">
        <f>SUM(D141:D336)</f>
        <v>797959323.34662843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0.54912456690878009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6146469</v>
      </c>
      <c r="I171" s="16"/>
      <c r="J171" s="479">
        <f t="shared" si="116"/>
        <v>8.1354885820063682E-3</v>
      </c>
      <c r="K171" s="16"/>
      <c r="L171" s="16"/>
      <c r="M171" s="16"/>
      <c r="N171" s="16">
        <f t="shared" si="117"/>
        <v>298373</v>
      </c>
      <c r="O171" s="16">
        <f t="shared" si="137"/>
        <v>37941.166666666664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185947</v>
      </c>
      <c r="AB171" s="33"/>
      <c r="AC171" s="46">
        <f t="shared" si="121"/>
        <v>3.0252654003461173E-2</v>
      </c>
      <c r="AD171" s="33"/>
      <c r="AE171" s="33">
        <f t="shared" si="122"/>
        <v>1147.820987654321</v>
      </c>
      <c r="AF171" s="50"/>
      <c r="AG171" s="33">
        <f t="shared" si="123"/>
        <v>6732</v>
      </c>
      <c r="AH171" s="33">
        <f>SUM(D142:D337)</f>
        <v>797892402.34662843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0.54923208756116726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6189129</v>
      </c>
      <c r="I172" s="16"/>
      <c r="J172" s="479">
        <f t="shared" si="116"/>
        <v>6.9405702688812064E-3</v>
      </c>
      <c r="K172" s="16"/>
      <c r="L172" s="16"/>
      <c r="M172" s="16"/>
      <c r="N172" s="16">
        <f t="shared" si="117"/>
        <v>297204</v>
      </c>
      <c r="O172" s="16">
        <f t="shared" si="137"/>
        <v>37970.116564417178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186901</v>
      </c>
      <c r="AB172" s="33"/>
      <c r="AC172" s="46">
        <f t="shared" si="121"/>
        <v>3.0198271840835761E-2</v>
      </c>
      <c r="AD172" s="33"/>
      <c r="AE172" s="33">
        <f t="shared" si="122"/>
        <v>1146.6319018404909</v>
      </c>
      <c r="AF172" s="50"/>
      <c r="AG172" s="33">
        <f t="shared" si="123"/>
        <v>6712</v>
      </c>
      <c r="AH172" s="33">
        <f>SUM(D143:D338)</f>
        <v>797823833.34662843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0.55077200685266048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6223110</v>
      </c>
      <c r="I173" s="16"/>
      <c r="J173" s="479">
        <f t="shared" si="116"/>
        <v>5.4904333065282692E-3</v>
      </c>
      <c r="K173" s="16"/>
      <c r="L173" s="16"/>
      <c r="M173" s="16"/>
      <c r="N173" s="16">
        <f t="shared" si="117"/>
        <v>298467</v>
      </c>
      <c r="O173" s="16">
        <f t="shared" si="137"/>
        <v>37945.792682926833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187270</v>
      </c>
      <c r="AB173" s="33"/>
      <c r="AC173" s="46">
        <f t="shared" si="121"/>
        <v>3.009267070644742E-2</v>
      </c>
      <c r="AD173" s="33"/>
      <c r="AE173" s="33">
        <f t="shared" si="122"/>
        <v>1141.8902439024391</v>
      </c>
      <c r="AF173" s="50"/>
      <c r="AG173" s="33">
        <f t="shared" si="123"/>
        <v>6651</v>
      </c>
      <c r="AH173" s="33">
        <f>SUM(D144:D339)</f>
        <v>797752750.34662843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0.55048408271748372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6261670</v>
      </c>
      <c r="I174" s="16"/>
      <c r="J174" s="479">
        <f t="shared" si="116"/>
        <v>6.1962587837913839E-3</v>
      </c>
      <c r="K174" s="16"/>
      <c r="L174" s="16"/>
      <c r="M174" s="16"/>
      <c r="N174" s="469">
        <f>SUM(D144:D174)</f>
        <v>1493931</v>
      </c>
      <c r="O174" s="16">
        <f t="shared" si="137"/>
        <v>37949.515151515152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187782</v>
      </c>
      <c r="AB174" s="33"/>
      <c r="AC174" s="46">
        <f t="shared" si="121"/>
        <v>2.9989124307093794E-2</v>
      </c>
      <c r="AD174" s="33"/>
      <c r="AE174" s="33">
        <f t="shared" si="122"/>
        <v>1138.0727272727272</v>
      </c>
      <c r="AF174" s="50"/>
      <c r="AG174" s="33">
        <f t="shared" si="123"/>
        <v>6653</v>
      </c>
      <c r="AH174" s="33">
        <f>SUM(D145:D340)</f>
        <v>797694209.34662843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0.55197143892923128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6303649</v>
      </c>
      <c r="I175" s="16"/>
      <c r="J175" s="479">
        <f t="shared" si="116"/>
        <v>6.7041220632834374E-3</v>
      </c>
      <c r="K175" s="16"/>
      <c r="L175" s="16"/>
      <c r="M175" s="16"/>
      <c r="N175" s="16">
        <f t="shared" si="117"/>
        <v>297424</v>
      </c>
      <c r="O175" s="16">
        <f t="shared" si="137"/>
        <v>37973.789156626503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188946</v>
      </c>
      <c r="AB175" s="33"/>
      <c r="AC175" s="46">
        <f t="shared" si="121"/>
        <v>2.9974067401278212E-2</v>
      </c>
      <c r="AD175" s="33"/>
      <c r="AE175" s="33">
        <f t="shared" si="122"/>
        <v>1138.2289156626507</v>
      </c>
      <c r="AF175" s="50"/>
      <c r="AG175" s="33">
        <f t="shared" si="123"/>
        <v>6527</v>
      </c>
      <c r="AH175" s="33">
        <f>SUM(D146:D341)</f>
        <v>797645171.34662843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0.55474424416714829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6344860</v>
      </c>
      <c r="I176" s="16"/>
      <c r="J176" s="479">
        <f t="shared" si="116"/>
        <v>6.537641927715201E-3</v>
      </c>
      <c r="K176" s="16"/>
      <c r="L176" s="16"/>
      <c r="M176" s="16"/>
      <c r="N176" s="16">
        <f t="shared" si="117"/>
        <v>293998</v>
      </c>
      <c r="O176" s="16">
        <f t="shared" si="137"/>
        <v>37993.173652694612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190036</v>
      </c>
      <c r="AB176" s="33"/>
      <c r="AC176" s="46">
        <f t="shared" si="121"/>
        <v>2.9951173075528852E-2</v>
      </c>
      <c r="AD176" s="33"/>
      <c r="AE176" s="33">
        <f t="shared" si="122"/>
        <v>1137.9401197604791</v>
      </c>
      <c r="AF176" s="50"/>
      <c r="AG176" s="33">
        <f t="shared" si="123"/>
        <v>6337</v>
      </c>
      <c r="AH176" s="33">
        <f>SUM(D147:D342)</f>
        <v>797596525.34662843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0.55904023099012434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6390324</v>
      </c>
      <c r="I177" s="16"/>
      <c r="J177" s="479">
        <f t="shared" si="116"/>
        <v>7.1654851328476913E-3</v>
      </c>
      <c r="K177" s="16"/>
      <c r="L177" s="16"/>
      <c r="M177" s="16"/>
      <c r="N177" s="16">
        <f t="shared" si="117"/>
        <v>293456</v>
      </c>
      <c r="O177" s="16">
        <f t="shared" si="137"/>
        <v>38037.642857142855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191150</v>
      </c>
      <c r="AB177" s="33"/>
      <c r="AC177" s="46">
        <f t="shared" si="121"/>
        <v>2.9912411326874819E-2</v>
      </c>
      <c r="AD177" s="33"/>
      <c r="AE177" s="33">
        <f t="shared" si="122"/>
        <v>1137.797619047619</v>
      </c>
      <c r="AF177" s="50"/>
      <c r="AG177" s="33">
        <f t="shared" si="123"/>
        <v>6308</v>
      </c>
      <c r="AH177" s="33">
        <f>SUM(D148:D343)</f>
        <v>797541961.34662843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0.55945457538616195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6443173</v>
      </c>
      <c r="I178" s="16"/>
      <c r="J178" s="479">
        <f t="shared" si="116"/>
        <v>8.2701596976929494E-3</v>
      </c>
      <c r="K178" s="16"/>
      <c r="L178" s="16"/>
      <c r="M178" s="16"/>
      <c r="N178" s="16">
        <f t="shared" si="117"/>
        <v>296704</v>
      </c>
      <c r="O178" s="16">
        <f t="shared" si="137"/>
        <v>38125.284023668639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192183</v>
      </c>
      <c r="AB178" s="33"/>
      <c r="AC178" s="46">
        <f t="shared" si="121"/>
        <v>2.9827384737302568E-2</v>
      </c>
      <c r="AD178" s="33"/>
      <c r="AE178" s="33">
        <f t="shared" si="122"/>
        <v>1137.1775147928995</v>
      </c>
      <c r="AF178" s="50"/>
      <c r="AG178" s="33">
        <f t="shared" si="123"/>
        <v>6236</v>
      </c>
      <c r="AH178" s="33">
        <f>SUM(D149:D344)</f>
        <v>797486813.34662843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0.5706146645449377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6485265</v>
      </c>
      <c r="I179" s="16"/>
      <c r="J179" s="479">
        <f t="shared" si="116"/>
        <v>6.5328061189727487E-3</v>
      </c>
      <c r="K179" s="16"/>
      <c r="L179" s="16"/>
      <c r="M179" s="16"/>
      <c r="N179" s="16">
        <f t="shared" si="117"/>
        <v>296136</v>
      </c>
      <c r="O179" s="16">
        <f t="shared" si="137"/>
        <v>38148.617647058825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192890</v>
      </c>
      <c r="AB179" s="33"/>
      <c r="AC179" s="46">
        <f t="shared" si="121"/>
        <v>2.9742809276105141E-2</v>
      </c>
      <c r="AD179" s="33"/>
      <c r="AE179" s="33">
        <f t="shared" si="122"/>
        <v>1134.6470588235295</v>
      </c>
      <c r="AF179" s="50"/>
      <c r="AG179" s="33">
        <f t="shared" si="123"/>
        <v>5989</v>
      </c>
      <c r="AH179" s="33">
        <f>SUM(D150:D345)</f>
        <v>797428103.34662843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0.57160347341242035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6516375</v>
      </c>
      <c r="I180" s="16"/>
      <c r="J180" s="479">
        <f t="shared" si="116"/>
        <v>4.7970283403993511E-3</v>
      </c>
      <c r="K180" s="16"/>
      <c r="L180" s="16"/>
      <c r="M180" s="16"/>
      <c r="N180" s="16">
        <f t="shared" si="117"/>
        <v>293265</v>
      </c>
      <c r="O180" s="16">
        <f t="shared" si="137"/>
        <v>38107.456140350878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193320</v>
      </c>
      <c r="AB180" s="33"/>
      <c r="AC180" s="46">
        <f t="shared" si="121"/>
        <v>2.9666800943776255E-2</v>
      </c>
      <c r="AD180" s="33"/>
      <c r="AE180" s="33">
        <f t="shared" si="122"/>
        <v>1130.5263157894738</v>
      </c>
      <c r="AF180" s="50"/>
      <c r="AG180" s="33">
        <f t="shared" si="123"/>
        <v>6050</v>
      </c>
      <c r="AH180" s="33">
        <f>SUM(D151:D346)</f>
        <v>797364857.34662843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0.57178569373309551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6541795</v>
      </c>
      <c r="I181" s="16"/>
      <c r="J181" s="479">
        <f t="shared" si="116"/>
        <v>3.9009418580115479E-3</v>
      </c>
      <c r="K181" s="16"/>
      <c r="L181" s="16"/>
      <c r="M181" s="16"/>
      <c r="N181" s="16">
        <f t="shared" si="117"/>
        <v>280125</v>
      </c>
      <c r="O181" s="16">
        <f t="shared" si="137"/>
        <v>38033.691860465115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193606</v>
      </c>
      <c r="AB181" s="33"/>
      <c r="AC181" s="46">
        <f t="shared" si="121"/>
        <v>2.9595241061512935E-2</v>
      </c>
      <c r="AD181" s="33"/>
      <c r="AE181" s="33">
        <f t="shared" si="122"/>
        <v>1125.6162790697674</v>
      </c>
      <c r="AF181" s="50"/>
      <c r="AG181" s="33">
        <f t="shared" si="123"/>
        <v>5824</v>
      </c>
      <c r="AH181" s="33">
        <f>SUM(D152:D347)</f>
        <v>797310658.34662843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0.57455621889710695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6570234</v>
      </c>
      <c r="I182" s="16"/>
      <c r="J182" s="479">
        <f t="shared" si="116"/>
        <v>4.3472777731494187E-3</v>
      </c>
      <c r="K182" s="16"/>
      <c r="L182" s="16"/>
      <c r="M182" s="16"/>
      <c r="N182" s="16">
        <f t="shared" si="117"/>
        <v>266585</v>
      </c>
      <c r="O182" s="16">
        <f t="shared" si="137"/>
        <v>37978.23121387283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194102</v>
      </c>
      <c r="AB182" s="33"/>
      <c r="AC182" s="46">
        <f t="shared" si="121"/>
        <v>2.9542631206133603E-2</v>
      </c>
      <c r="AD182" s="33"/>
      <c r="AE182" s="33">
        <f t="shared" si="122"/>
        <v>1121.9768786127167</v>
      </c>
      <c r="AF182" s="50"/>
      <c r="AG182" s="33">
        <f t="shared" si="123"/>
        <v>5156</v>
      </c>
      <c r="AH182" s="33">
        <f>SUM(D153:D348)</f>
        <v>797262809.34662843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0.57787287332536408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6605477</v>
      </c>
      <c r="I183" s="16"/>
      <c r="J183" s="479">
        <f t="shared" ref="J183:J212" si="139">+D183/H182</f>
        <v>5.3640403066313926E-3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195310</v>
      </c>
      <c r="AB183" s="33"/>
      <c r="AC183" s="46">
        <f t="shared" ref="AC183:AC212" si="143">+AA183/H183</f>
        <v>2.9567887375885192E-2</v>
      </c>
      <c r="AD183" s="33"/>
      <c r="AE183" s="33">
        <f t="shared" ref="AE183:AE212" si="144">+AA183/BW183</f>
        <v>1122.471264367816</v>
      </c>
      <c r="AF183" s="50"/>
      <c r="AG183" s="33">
        <f t="shared" ref="AG183:AG195" si="145">SUM(W177:W183)</f>
        <v>5274</v>
      </c>
      <c r="AH183" s="33">
        <f>SUM(D154:D349)</f>
        <v>797213009.34662843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0.58225848034895888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6644288</v>
      </c>
      <c r="I184" s="16"/>
      <c r="J184" s="479">
        <f t="shared" si="139"/>
        <v>5.8755787053682874E-3</v>
      </c>
      <c r="K184" s="16"/>
      <c r="L184" s="16"/>
      <c r="M184" s="16"/>
      <c r="N184" s="16">
        <f t="shared" si="140"/>
        <v>253964</v>
      </c>
      <c r="O184" s="16">
        <f t="shared" si="141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196399</v>
      </c>
      <c r="AB184" s="33"/>
      <c r="AC184" s="46">
        <f t="shared" si="143"/>
        <v>2.9559073899265053E-2</v>
      </c>
      <c r="AD184" s="33"/>
      <c r="AE184" s="33">
        <f t="shared" si="144"/>
        <v>1122.28</v>
      </c>
      <c r="AF184" s="50"/>
      <c r="AG184" s="33">
        <f t="shared" si="145"/>
        <v>5249</v>
      </c>
      <c r="AH184" s="33">
        <f>SUM(D155:D350)</f>
        <v>797158490.34662843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0.58395421751736232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6690888</v>
      </c>
      <c r="I185" s="16"/>
      <c r="J185" s="479">
        <f t="shared" si="139"/>
        <v>7.0135430613483341E-3</v>
      </c>
      <c r="K185" s="16"/>
      <c r="L185" s="16"/>
      <c r="M185" s="16"/>
      <c r="N185" s="16">
        <f t="shared" si="140"/>
        <v>247715</v>
      </c>
      <c r="O185" s="16">
        <f t="shared" si="141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197493</v>
      </c>
      <c r="AB185" s="33"/>
      <c r="AC185" s="46">
        <f t="shared" si="143"/>
        <v>2.9516709889629001E-2</v>
      </c>
      <c r="AD185" s="33"/>
      <c r="AE185" s="33">
        <f t="shared" si="144"/>
        <v>1122.1193181818182</v>
      </c>
      <c r="AF185" s="50"/>
      <c r="AG185" s="33">
        <f t="shared" si="145"/>
        <v>5310</v>
      </c>
      <c r="AH185" s="33">
        <f>SUM(D156:D351)</f>
        <v>797104145.34662843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0.58556681863453697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6730170</v>
      </c>
      <c r="I186" s="16"/>
      <c r="J186" s="479">
        <f t="shared" si="139"/>
        <v>5.8709695932737177E-3</v>
      </c>
      <c r="K186" s="16"/>
      <c r="L186" s="16"/>
      <c r="M186" s="16"/>
      <c r="N186" s="16">
        <f t="shared" si="140"/>
        <v>244905</v>
      </c>
      <c r="O186" s="16">
        <f t="shared" si="141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198200</v>
      </c>
      <c r="AB186" s="33"/>
      <c r="AC186" s="46">
        <f t="shared" si="143"/>
        <v>2.9449478987900752E-2</v>
      </c>
      <c r="AD186" s="33"/>
      <c r="AE186" s="33">
        <f t="shared" si="144"/>
        <v>1119.774011299435</v>
      </c>
      <c r="AF186" s="50"/>
      <c r="AG186" s="33">
        <f t="shared" si="145"/>
        <v>5310</v>
      </c>
      <c r="AH186" s="33">
        <f>SUM(D157:D352)</f>
        <v>797048781.34662843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0.58696199353062406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6762027</v>
      </c>
      <c r="I187" s="16"/>
      <c r="J187" s="479">
        <f t="shared" si="139"/>
        <v>4.7334614133075388E-3</v>
      </c>
      <c r="K187" s="16"/>
      <c r="L187" s="16"/>
      <c r="M187" s="16"/>
      <c r="N187" s="16">
        <f t="shared" si="140"/>
        <v>245652</v>
      </c>
      <c r="O187" s="16">
        <f t="shared" si="141"/>
        <v>37988.915730337081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198592</v>
      </c>
      <c r="AB187" s="33"/>
      <c r="AC187" s="46">
        <f t="shared" si="143"/>
        <v>2.9368708524825472E-2</v>
      </c>
      <c r="AD187" s="33"/>
      <c r="AE187" s="33">
        <f t="shared" si="144"/>
        <v>1115.685393258427</v>
      </c>
      <c r="AF187" s="50"/>
      <c r="AG187" s="33">
        <f t="shared" si="145"/>
        <v>5272</v>
      </c>
      <c r="AH187" s="33">
        <f>SUM(D158:D353)</f>
        <v>796988181.34662843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0.58783394387511323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4.9842337987343617E-2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93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6800099</v>
      </c>
      <c r="I188" s="16"/>
      <c r="J188" s="479">
        <f t="shared" si="139"/>
        <v>5.6302644162763617E-3</v>
      </c>
      <c r="K188" s="16"/>
      <c r="L188" s="16"/>
      <c r="M188" s="16"/>
      <c r="N188" s="16">
        <f t="shared" si="140"/>
        <v>258304</v>
      </c>
      <c r="O188" s="16">
        <f t="shared" si="141"/>
        <v>37989.379888268159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199072</v>
      </c>
      <c r="AB188" s="33"/>
      <c r="AC188" s="46">
        <f t="shared" si="143"/>
        <v>2.9274867910011309E-2</v>
      </c>
      <c r="AD188" s="33"/>
      <c r="AE188" s="33">
        <f t="shared" si="144"/>
        <v>1112.1340782122904</v>
      </c>
      <c r="AF188" s="50"/>
      <c r="AG188" s="33">
        <f t="shared" si="145"/>
        <v>5466</v>
      </c>
      <c r="AH188" s="33">
        <f>SUM(D159:D354)</f>
        <v>796934658.34662843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0.59231872947732089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5.3562571229029431E-2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6836546</v>
      </c>
      <c r="I189" s="16"/>
      <c r="J189" s="479">
        <f t="shared" si="139"/>
        <v>5.3597749091594104E-3</v>
      </c>
      <c r="K189" s="16"/>
      <c r="L189" s="16"/>
      <c r="M189" s="16"/>
      <c r="N189" s="16">
        <f t="shared" si="140"/>
        <v>266312</v>
      </c>
      <c r="O189" s="16">
        <f t="shared" si="141"/>
        <v>37980.811111111114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200269</v>
      </c>
      <c r="AB189" s="33"/>
      <c r="AC189" s="46">
        <f t="shared" si="143"/>
        <v>2.9293886123197298E-2</v>
      </c>
      <c r="AD189" s="33"/>
      <c r="AE189" s="33">
        <f t="shared" si="144"/>
        <v>1112.6055555555556</v>
      </c>
      <c r="AF189" s="50"/>
      <c r="AG189" s="33">
        <f t="shared" si="145"/>
        <v>6167</v>
      </c>
      <c r="AH189" s="33">
        <f>SUM(D160:D355)</f>
        <v>796897815.34662843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0.59504989800405061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5.3530222408755483E-2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6876700</v>
      </c>
      <c r="I190" s="16"/>
      <c r="J190" s="479">
        <f t="shared" si="139"/>
        <v>5.8734337485625053E-3</v>
      </c>
      <c r="K190" s="16"/>
      <c r="L190" s="16"/>
      <c r="M190" s="16"/>
      <c r="N190" s="16">
        <f t="shared" si="140"/>
        <v>271223</v>
      </c>
      <c r="O190" s="16">
        <f t="shared" si="141"/>
        <v>37992.817679558008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201420</v>
      </c>
      <c r="AB190" s="33"/>
      <c r="AC190" s="46">
        <f t="shared" si="143"/>
        <v>2.9290211874881848E-2</v>
      </c>
      <c r="AD190" s="33"/>
      <c r="AE190" s="33">
        <f t="shared" si="144"/>
        <v>1112.8176795580112</v>
      </c>
      <c r="AF190" s="50"/>
      <c r="AG190" s="33">
        <f t="shared" si="145"/>
        <v>6110</v>
      </c>
      <c r="AH190" s="33">
        <f>SUM(D161:D356)</f>
        <v>796857203.34662843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0.59900213765323485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5.3327421674618243E-2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2">+BW189+1</f>
        <v>181</v>
      </c>
    </row>
    <row r="191" spans="2:75" x14ac:dyDescent="0.3">
      <c r="B191" s="171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6922995</v>
      </c>
      <c r="I191" s="16"/>
      <c r="J191" s="479">
        <f t="shared" si="139"/>
        <v>6.7321535038608639E-3</v>
      </c>
      <c r="K191" s="16"/>
      <c r="L191" s="16"/>
      <c r="M191" s="16"/>
      <c r="N191" s="16">
        <f t="shared" si="140"/>
        <v>278707</v>
      </c>
      <c r="O191" s="16">
        <f t="shared" si="141"/>
        <v>38038.434065934067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202299</v>
      </c>
      <c r="AB191" s="33"/>
      <c r="AC191" s="46">
        <f t="shared" si="143"/>
        <v>2.9221312452197352E-2</v>
      </c>
      <c r="AD191" s="33"/>
      <c r="AE191" s="33">
        <f t="shared" si="144"/>
        <v>1111.532967032967</v>
      </c>
      <c r="AF191" s="50"/>
      <c r="AG191" s="33">
        <f t="shared" si="145"/>
        <v>5900</v>
      </c>
      <c r="AH191" s="33">
        <f>SUM(D162:D357)</f>
        <v>796813204.34662843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0.60017940212292509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5.3084691669874458E-2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2"/>
        <v>182</v>
      </c>
    </row>
    <row r="192" spans="2:75" x14ac:dyDescent="0.3">
      <c r="B192" s="171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6974340</v>
      </c>
      <c r="I192" s="16"/>
      <c r="J192" s="479">
        <f t="shared" si="139"/>
        <v>7.4165877629551952E-3</v>
      </c>
      <c r="K192" s="16"/>
      <c r="L192" s="16"/>
      <c r="M192" s="16"/>
      <c r="N192" s="16">
        <f t="shared" si="140"/>
        <v>283452</v>
      </c>
      <c r="O192" s="16">
        <f t="shared" si="141"/>
        <v>38111.147540983606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203257</v>
      </c>
      <c r="AB192" s="33"/>
      <c r="AC192" s="46">
        <f t="shared" si="143"/>
        <v>2.914354619935363E-2</v>
      </c>
      <c r="AD192" s="33"/>
      <c r="AE192" s="33">
        <f t="shared" si="144"/>
        <v>1110.6939890710382</v>
      </c>
      <c r="AF192" s="50"/>
      <c r="AG192" s="33">
        <f t="shared" si="145"/>
        <v>5764</v>
      </c>
      <c r="AH192" s="33">
        <f>SUM(D163:D358)</f>
        <v>796768231.34662843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0.60104526019666382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5.270823977663542E-2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2"/>
        <v>183</v>
      </c>
    </row>
    <row r="193" spans="2:75" x14ac:dyDescent="0.3">
      <c r="B193" s="171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7017953</v>
      </c>
      <c r="I193" s="16"/>
      <c r="J193" s="479">
        <f t="shared" si="139"/>
        <v>6.2533515716182465E-3</v>
      </c>
      <c r="K193" s="16"/>
      <c r="L193" s="16"/>
      <c r="M193" s="16"/>
      <c r="N193" s="16">
        <f t="shared" si="140"/>
        <v>287783</v>
      </c>
      <c r="O193" s="16">
        <f t="shared" si="141"/>
        <v>38141.04891304348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203915</v>
      </c>
      <c r="AB193" s="33"/>
      <c r="AC193" s="46">
        <f t="shared" si="143"/>
        <v>2.9056193451281305E-2</v>
      </c>
      <c r="AD193" s="33"/>
      <c r="AE193" s="33">
        <f t="shared" si="144"/>
        <v>1108.233695652174</v>
      </c>
      <c r="AF193" s="50"/>
      <c r="AG193" s="33">
        <f t="shared" si="145"/>
        <v>5715</v>
      </c>
      <c r="AH193" s="33">
        <f>SUM(D164:D359)</f>
        <v>796722874.34662843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0.60184116365555596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5.1327412793979607E-2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2"/>
        <v>184</v>
      </c>
    </row>
    <row r="194" spans="2:75" x14ac:dyDescent="0.3">
      <c r="B194" s="390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7051339</v>
      </c>
      <c r="I194" s="16"/>
      <c r="J194" s="479">
        <f t="shared" si="139"/>
        <v>4.7572276417354176E-3</v>
      </c>
      <c r="K194" s="16"/>
      <c r="L194" s="16"/>
      <c r="M194" s="16"/>
      <c r="N194" s="16">
        <f t="shared" si="140"/>
        <v>289312</v>
      </c>
      <c r="O194" s="16">
        <f t="shared" si="141"/>
        <v>38115.345945945948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204209</v>
      </c>
      <c r="AB194" s="33"/>
      <c r="AC194" s="46">
        <f t="shared" si="143"/>
        <v>2.8960315196872536E-2</v>
      </c>
      <c r="AD194" s="33"/>
      <c r="AE194" s="33">
        <f t="shared" si="144"/>
        <v>1103.8324324324324</v>
      </c>
      <c r="AF194" s="50"/>
      <c r="AG194" s="33">
        <f t="shared" si="145"/>
        <v>5617</v>
      </c>
      <c r="AH194" s="33">
        <f>SUM(D165:D360)</f>
        <v>796672393.34662843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0.60274225930706216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5.0200681611262253E-2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2"/>
        <v>185</v>
      </c>
    </row>
    <row r="195" spans="2:75" x14ac:dyDescent="0.3">
      <c r="B195" s="171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7088143</v>
      </c>
      <c r="I195" s="16"/>
      <c r="J195" s="479">
        <f t="shared" si="139"/>
        <v>5.2194342095877111E-3</v>
      </c>
      <c r="K195" s="16"/>
      <c r="L195" s="16"/>
      <c r="M195" s="16"/>
      <c r="N195" s="16">
        <f t="shared" si="140"/>
        <v>288044</v>
      </c>
      <c r="O195" s="16">
        <f t="shared" si="141"/>
        <v>38108.295698924732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204593</v>
      </c>
      <c r="AB195" s="33"/>
      <c r="AC195" s="46">
        <f t="shared" si="143"/>
        <v>2.8864118570971268E-2</v>
      </c>
      <c r="AD195" s="33"/>
      <c r="AE195" s="33">
        <f t="shared" si="144"/>
        <v>1099.9623655913979</v>
      </c>
      <c r="AF195" s="50"/>
      <c r="AG195" s="33">
        <f t="shared" si="145"/>
        <v>5521</v>
      </c>
      <c r="AH195" s="33">
        <f>SUM(D166:D361)</f>
        <v>796628564.34662843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0.60657988982445754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4.7852188562648466E-2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2"/>
        <v>186</v>
      </c>
    </row>
    <row r="196" spans="2:75" x14ac:dyDescent="0.3">
      <c r="B196" s="171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7123839</v>
      </c>
      <c r="I196" s="16"/>
      <c r="J196" s="479">
        <f t="shared" si="139"/>
        <v>5.0360157801556766E-3</v>
      </c>
      <c r="K196" s="16"/>
      <c r="L196" s="16"/>
      <c r="M196" s="16"/>
      <c r="N196" s="16">
        <f t="shared" si="140"/>
        <v>287293</v>
      </c>
      <c r="O196" s="16">
        <f t="shared" si="141"/>
        <v>38095.395721925132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205572</v>
      </c>
      <c r="AB196" s="33"/>
      <c r="AC196" s="46">
        <f t="shared" si="143"/>
        <v>2.8856912684298453E-2</v>
      </c>
      <c r="AD196" s="33"/>
      <c r="AE196" s="33">
        <f t="shared" si="144"/>
        <v>1099.3155080213903</v>
      </c>
      <c r="AF196" s="50"/>
      <c r="AG196" s="33">
        <f t="shared" ref="AG196:AG204" si="163">SUM(W190:W196)</f>
        <v>5303</v>
      </c>
      <c r="AH196" s="33">
        <f>SUM(D167:D362)</f>
        <v>796595846.34662843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0.61007976176890022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4.7486328546292859E-2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2"/>
        <v>187</v>
      </c>
    </row>
    <row r="197" spans="2:75" x14ac:dyDescent="0.3">
      <c r="B197" s="171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7165455</v>
      </c>
      <c r="I197" s="16"/>
      <c r="J197" s="479">
        <f t="shared" si="139"/>
        <v>5.8417940102239814E-3</v>
      </c>
      <c r="K197" s="16"/>
      <c r="L197" s="16"/>
      <c r="M197" s="16"/>
      <c r="N197" s="16">
        <f t="shared" si="140"/>
        <v>288755</v>
      </c>
      <c r="O197" s="16">
        <f t="shared" si="141"/>
        <v>38114.122340425529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206687</v>
      </c>
      <c r="AB197" s="33"/>
      <c r="AC197" s="46">
        <f t="shared" si="143"/>
        <v>2.8844923316104838E-2</v>
      </c>
      <c r="AD197" s="33"/>
      <c r="AE197" s="33">
        <f t="shared" si="144"/>
        <v>1099.3989361702127</v>
      </c>
      <c r="AF197" s="50"/>
      <c r="AG197" s="33">
        <f t="shared" si="163"/>
        <v>5267</v>
      </c>
      <c r="AH197" s="33">
        <f>SUM(D168:D363)</f>
        <v>796554362.34662843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0.61390476948079364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4.647576550094857E-2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2"/>
        <v>188</v>
      </c>
    </row>
    <row r="198" spans="2:75" x14ac:dyDescent="0.3">
      <c r="B198" s="171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7210810</v>
      </c>
      <c r="I198" s="16"/>
      <c r="J198" s="479">
        <f t="shared" si="139"/>
        <v>6.3296748078105298E-3</v>
      </c>
      <c r="K198" s="16"/>
      <c r="L198" s="16"/>
      <c r="M198" s="16"/>
      <c r="N198" s="16">
        <f t="shared" si="140"/>
        <v>287815</v>
      </c>
      <c r="O198" s="16">
        <f t="shared" si="141"/>
        <v>38152.433862433863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207629</v>
      </c>
      <c r="AB198" s="33"/>
      <c r="AC198" s="46">
        <f t="shared" si="143"/>
        <v>2.8794129924377427E-2</v>
      </c>
      <c r="AD198" s="33"/>
      <c r="AE198" s="33">
        <f t="shared" si="144"/>
        <v>1098.5661375661375</v>
      </c>
      <c r="AF198" s="50"/>
      <c r="AG198" s="33">
        <f t="shared" si="163"/>
        <v>5330</v>
      </c>
      <c r="AH198" s="33">
        <f>SUM(D169:D364)</f>
        <v>796514264.34662843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0.61540243051751464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4.5416967734330585E-2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2"/>
        <v>189</v>
      </c>
    </row>
    <row r="199" spans="2:75" x14ac:dyDescent="0.3">
      <c r="B199" s="171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7264439</v>
      </c>
      <c r="I199" s="16"/>
      <c r="J199" s="479">
        <f t="shared" si="139"/>
        <v>7.4373059337300524E-3</v>
      </c>
      <c r="K199" s="16"/>
      <c r="L199" s="16"/>
      <c r="M199" s="16"/>
      <c r="N199" s="16">
        <f t="shared" si="140"/>
        <v>290099</v>
      </c>
      <c r="O199" s="16">
        <f t="shared" si="141"/>
        <v>38233.889473684212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208524</v>
      </c>
      <c r="AB199" s="33"/>
      <c r="AC199" s="46">
        <f t="shared" si="143"/>
        <v>2.8704763024371187E-2</v>
      </c>
      <c r="AD199" s="33"/>
      <c r="AE199" s="33">
        <f t="shared" si="144"/>
        <v>1097.4947368421053</v>
      </c>
      <c r="AF199" s="50"/>
      <c r="AG199" s="33">
        <f t="shared" si="163"/>
        <v>5267</v>
      </c>
      <c r="AH199" s="33">
        <f>SUM(D170:D365)</f>
        <v>796469627.34662843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0.61680179295331683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4.5873476057631576E-2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2"/>
        <v>190</v>
      </c>
    </row>
    <row r="200" spans="2:75" x14ac:dyDescent="0.3">
      <c r="B200" s="171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7307645</v>
      </c>
      <c r="I200" s="16"/>
      <c r="J200" s="479">
        <f t="shared" si="139"/>
        <v>5.9476031115410291E-3</v>
      </c>
      <c r="K200" s="16"/>
      <c r="L200" s="16"/>
      <c r="M200" s="16"/>
      <c r="N200" s="16">
        <f t="shared" si="140"/>
        <v>289692</v>
      </c>
      <c r="O200" s="16">
        <f t="shared" si="141"/>
        <v>38259.921465968589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209261</v>
      </c>
      <c r="AB200" s="33"/>
      <c r="AC200" s="46">
        <f t="shared" si="143"/>
        <v>2.8635901169254938E-2</v>
      </c>
      <c r="AD200" s="33"/>
      <c r="AE200" s="33">
        <f t="shared" si="144"/>
        <v>1095.6073298429319</v>
      </c>
      <c r="AF200" s="50"/>
      <c r="AG200" s="33">
        <f t="shared" si="163"/>
        <v>5346</v>
      </c>
      <c r="AH200" s="33">
        <f>SUM(D171:D366)</f>
        <v>796423621.34662843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0.61909247096704889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4.6238187349157113E-2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2"/>
        <v>191</v>
      </c>
    </row>
    <row r="201" spans="2:75" x14ac:dyDescent="0.3">
      <c r="B201" s="390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7341427</v>
      </c>
      <c r="I201" s="16"/>
      <c r="J201" s="479">
        <f t="shared" si="139"/>
        <v>4.622829926741105E-3</v>
      </c>
      <c r="K201" s="16"/>
      <c r="L201" s="16"/>
      <c r="M201" s="16"/>
      <c r="N201" s="16">
        <f t="shared" si="140"/>
        <v>290088</v>
      </c>
      <c r="O201" s="16">
        <f t="shared" si="141"/>
        <v>38236.598958333336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209537</v>
      </c>
      <c r="AB201" s="33"/>
      <c r="AC201" s="46">
        <f t="shared" si="143"/>
        <v>2.8541726288363285E-2</v>
      </c>
      <c r="AD201" s="33"/>
      <c r="AE201" s="33">
        <f t="shared" si="144"/>
        <v>1091.3385416666667</v>
      </c>
      <c r="AF201" s="50"/>
      <c r="AG201" s="33">
        <f t="shared" si="163"/>
        <v>5328</v>
      </c>
      <c r="AH201" s="33">
        <f>SUM(D172:D367)</f>
        <v>796374020.34662843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0.62119476227169457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4.7026912146171072E-2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2"/>
        <v>192</v>
      </c>
    </row>
    <row r="202" spans="2:75" x14ac:dyDescent="0.3">
      <c r="B202" s="171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7378845</v>
      </c>
      <c r="I202" s="16"/>
      <c r="J202" s="479">
        <f t="shared" si="139"/>
        <v>5.0968292676614509E-3</v>
      </c>
      <c r="K202" s="16"/>
      <c r="L202" s="16"/>
      <c r="M202" s="16"/>
      <c r="N202" s="16">
        <f t="shared" si="140"/>
        <v>290702</v>
      </c>
      <c r="O202" s="16">
        <f t="shared" si="141"/>
        <v>38232.357512953371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209892</v>
      </c>
      <c r="AB202" s="33"/>
      <c r="AC202" s="46">
        <f t="shared" si="143"/>
        <v>2.844510218062583E-2</v>
      </c>
      <c r="AD202" s="33"/>
      <c r="AE202" s="33">
        <f t="shared" si="144"/>
        <v>1087.5233160621763</v>
      </c>
      <c r="AF202" s="50"/>
      <c r="AG202" s="33">
        <f t="shared" si="163"/>
        <v>5299</v>
      </c>
      <c r="AH202" s="33">
        <f>SUM(D173:D368)</f>
        <v>796331360.34662843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0.62470969372577956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4.4778972542992214E-2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2"/>
        <v>193</v>
      </c>
    </row>
    <row r="203" spans="2:75" x14ac:dyDescent="0.3">
      <c r="B203" s="171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7423072</v>
      </c>
      <c r="I203" s="16"/>
      <c r="J203" s="479">
        <f t="shared" si="139"/>
        <v>5.9937564754375516E-3</v>
      </c>
      <c r="K203" s="16"/>
      <c r="L203" s="16"/>
      <c r="M203" s="16"/>
      <c r="N203" s="16">
        <f t="shared" si="140"/>
        <v>299233</v>
      </c>
      <c r="O203" s="16">
        <f t="shared" si="141"/>
        <v>38263.257731958765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210869</v>
      </c>
      <c r="AB203" s="33"/>
      <c r="AC203" s="46">
        <f t="shared" si="143"/>
        <v>2.8407241637963366E-2</v>
      </c>
      <c r="AD203" s="33"/>
      <c r="AE203" s="33">
        <f t="shared" si="144"/>
        <v>1086.9536082474226</v>
      </c>
      <c r="AF203" s="50"/>
      <c r="AG203" s="33">
        <f t="shared" si="163"/>
        <v>5297</v>
      </c>
      <c r="AH203" s="33">
        <f>SUM(D174:D369)</f>
        <v>796297379.34662843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0.62624786611257444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4.6097908122150297E-2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2"/>
        <v>194</v>
      </c>
    </row>
    <row r="204" spans="2:75" x14ac:dyDescent="0.3">
      <c r="B204" s="171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7464001</v>
      </c>
      <c r="I204" s="16"/>
      <c r="J204" s="479">
        <f t="shared" si="139"/>
        <v>5.5137549521276363E-3</v>
      </c>
      <c r="K204" s="16"/>
      <c r="L204" s="16"/>
      <c r="M204" s="16"/>
      <c r="N204" s="469">
        <f>SUM(D175:D204)</f>
        <v>1202331</v>
      </c>
      <c r="O204" s="16">
        <f t="shared" si="141"/>
        <v>38276.928205128206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211824</v>
      </c>
      <c r="AB204" s="33"/>
      <c r="AC204" s="46">
        <f t="shared" si="143"/>
        <v>2.8379417419692202E-2</v>
      </c>
      <c r="AD204" s="33"/>
      <c r="AE204" s="33">
        <f t="shared" si="144"/>
        <v>1086.2769230769231</v>
      </c>
      <c r="AF204" s="50"/>
      <c r="AG204" s="33">
        <f t="shared" si="163"/>
        <v>5137</v>
      </c>
      <c r="AH204" s="33">
        <f>SUM(D175:D370)</f>
        <v>796258819.34662843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0.62964970127951481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4.2930716760603581E-2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2"/>
        <v>195</v>
      </c>
    </row>
    <row r="205" spans="2:75" x14ac:dyDescent="0.3">
      <c r="B205" s="171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7511390</v>
      </c>
      <c r="I205" s="16"/>
      <c r="J205" s="479">
        <f t="shared" si="139"/>
        <v>6.3490077238735629E-3</v>
      </c>
      <c r="K205" s="16"/>
      <c r="L205" s="16"/>
      <c r="M205" s="16"/>
      <c r="N205" s="16">
        <f t="shared" si="140"/>
        <v>300580</v>
      </c>
      <c r="O205" s="16">
        <f t="shared" si="141"/>
        <v>38323.418367346938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212744</v>
      </c>
      <c r="AB205" s="33"/>
      <c r="AC205" s="46">
        <f t="shared" si="143"/>
        <v>2.8322853692858446E-2</v>
      </c>
      <c r="AD205" s="33"/>
      <c r="AE205" s="33">
        <f t="shared" si="144"/>
        <v>1085.4285714285713</v>
      </c>
      <c r="AF205" s="50"/>
      <c r="AG205" s="33">
        <f t="shared" ref="AG205:AG212" si="164">SUM(W199:W205)</f>
        <v>5115</v>
      </c>
      <c r="AH205" s="33">
        <f>SUM(D176:D371)</f>
        <v>796216840.34662843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0.63059180790772418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4.3817802028027472E-2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2"/>
        <v>196</v>
      </c>
    </row>
    <row r="206" spans="2:75" x14ac:dyDescent="0.3">
      <c r="B206" s="171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7562793</v>
      </c>
      <c r="I206" s="16"/>
      <c r="J206" s="479">
        <f t="shared" si="139"/>
        <v>6.8433405801056795E-3</v>
      </c>
      <c r="K206" s="16"/>
      <c r="L206" s="16"/>
      <c r="M206" s="16"/>
      <c r="N206" s="16">
        <f t="shared" si="140"/>
        <v>298354</v>
      </c>
      <c r="O206" s="16">
        <f t="shared" si="141"/>
        <v>38389.812182741116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213608</v>
      </c>
      <c r="AB206" s="33"/>
      <c r="AC206" s="46">
        <f t="shared" si="143"/>
        <v>2.8244591647556664E-2</v>
      </c>
      <c r="AD206" s="33"/>
      <c r="AE206" s="33">
        <f t="shared" si="144"/>
        <v>1084.3045685279187</v>
      </c>
      <c r="AF206" s="50"/>
      <c r="AG206" s="33">
        <f t="shared" si="164"/>
        <v>5084</v>
      </c>
      <c r="AH206" s="33">
        <f>SUM(D177:D372)</f>
        <v>796175629.34662843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0.63162167733534424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4.2481864466799593E-2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2"/>
        <v>197</v>
      </c>
    </row>
    <row r="207" spans="2:75" x14ac:dyDescent="0.3">
      <c r="B207" s="171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7611718</v>
      </c>
      <c r="I207" s="16"/>
      <c r="J207" s="479">
        <f t="shared" si="139"/>
        <v>6.4691708473311382E-3</v>
      </c>
      <c r="K207" s="16"/>
      <c r="L207" s="16"/>
      <c r="M207" s="16"/>
      <c r="N207" s="16">
        <f t="shared" si="140"/>
        <v>304073</v>
      </c>
      <c r="O207" s="16">
        <f t="shared" si="141"/>
        <v>38443.020202020205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214363</v>
      </c>
      <c r="AB207" s="33"/>
      <c r="AC207" s="46">
        <f t="shared" si="143"/>
        <v>2.8162236173226596E-2</v>
      </c>
      <c r="AD207" s="33"/>
      <c r="AE207" s="33">
        <f t="shared" si="144"/>
        <v>1082.6414141414141</v>
      </c>
      <c r="AF207" s="50"/>
      <c r="AG207" s="33">
        <f t="shared" si="164"/>
        <v>5102</v>
      </c>
      <c r="AH207" s="33">
        <f>SUM(D178:D373)</f>
        <v>796130165.34662843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0.63303829700469727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4.3746726976618383E-2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2"/>
        <v>198</v>
      </c>
    </row>
    <row r="208" spans="2:75" x14ac:dyDescent="0.3">
      <c r="B208" s="390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7645784</v>
      </c>
      <c r="I208" s="16"/>
      <c r="J208" s="479">
        <f t="shared" si="139"/>
        <v>4.4754679561171337E-3</v>
      </c>
      <c r="K208" s="16"/>
      <c r="L208" s="16"/>
      <c r="M208" s="16"/>
      <c r="N208" s="16">
        <f t="shared" si="140"/>
        <v>304357</v>
      </c>
      <c r="O208" s="16">
        <f t="shared" si="141"/>
        <v>38421.025125628141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214695</v>
      </c>
      <c r="AB208" s="33"/>
      <c r="AC208" s="46">
        <f t="shared" si="143"/>
        <v>2.8080181182204466E-2</v>
      </c>
      <c r="AD208" s="33"/>
      <c r="AE208" s="33">
        <f t="shared" si="144"/>
        <v>1078.8693467336684</v>
      </c>
      <c r="AF208" s="50"/>
      <c r="AG208" s="33">
        <f t="shared" si="164"/>
        <v>5158</v>
      </c>
      <c r="AH208" s="33">
        <f>SUM(D179:D374)</f>
        <v>796077316.34662843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0.63421069703250832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4.2656280833467883E-2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2"/>
        <v>199</v>
      </c>
    </row>
    <row r="209" spans="2:75" x14ac:dyDescent="0.3">
      <c r="B209" s="171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7683501</v>
      </c>
      <c r="I209" s="16"/>
      <c r="J209" s="479">
        <f t="shared" si="139"/>
        <v>4.9330454535466868E-3</v>
      </c>
      <c r="K209" s="16"/>
      <c r="L209" s="16"/>
      <c r="M209" s="16"/>
      <c r="N209" s="16">
        <f t="shared" si="140"/>
        <v>304656</v>
      </c>
      <c r="O209" s="16">
        <f t="shared" si="141"/>
        <v>38417.504999999997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215043</v>
      </c>
      <c r="AB209" s="33"/>
      <c r="AC209" s="46">
        <f t="shared" si="143"/>
        <v>2.7987632200477359E-2</v>
      </c>
      <c r="AD209" s="33"/>
      <c r="AE209" s="33">
        <f t="shared" si="144"/>
        <v>1075.2149999999999</v>
      </c>
      <c r="AF209" s="50"/>
      <c r="AG209" s="33">
        <f t="shared" si="164"/>
        <v>5151</v>
      </c>
      <c r="AH209" s="33">
        <f>SUM(D180:D375)</f>
        <v>796035224.34662843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0.63614737604641425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4.3706677944723368E-2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2"/>
        <v>200</v>
      </c>
    </row>
    <row r="210" spans="2:75" x14ac:dyDescent="0.3">
      <c r="B210" s="171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7728169</v>
      </c>
      <c r="I210" s="16"/>
      <c r="J210" s="479">
        <f t="shared" si="139"/>
        <v>5.8134956968184165E-3</v>
      </c>
      <c r="K210" s="16"/>
      <c r="L210" s="16"/>
      <c r="M210" s="16"/>
      <c r="N210" s="16">
        <f t="shared" si="140"/>
        <v>305097</v>
      </c>
      <c r="O210" s="16">
        <f t="shared" si="141"/>
        <v>38448.601990049749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215851</v>
      </c>
      <c r="AB210" s="33"/>
      <c r="AC210" s="46">
        <f t="shared" si="143"/>
        <v>2.7930419223492653E-2</v>
      </c>
      <c r="AD210" s="33"/>
      <c r="AE210" s="33">
        <f t="shared" si="144"/>
        <v>1073.8855721393036</v>
      </c>
      <c r="AF210" s="50"/>
      <c r="AG210" s="33">
        <f t="shared" si="164"/>
        <v>4982</v>
      </c>
      <c r="AH210" s="33">
        <f>SUM(D181:D376)</f>
        <v>796004114.34662843</v>
      </c>
      <c r="AI210" s="231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0.63864351310122747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44668</v>
      </c>
      <c r="BF210" s="67"/>
      <c r="BG210" s="156">
        <f t="shared" si="153"/>
        <v>4.7160727407870397E-2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4.2694220732551032E-2</v>
      </c>
      <c r="BN210" s="66">
        <f t="shared" si="156"/>
        <v>563777.70149253728</v>
      </c>
      <c r="BO210" s="67"/>
      <c r="BP210" s="67">
        <f t="shared" si="157"/>
        <v>7385522</v>
      </c>
      <c r="BQ210" s="67"/>
      <c r="BR210" s="478">
        <f t="shared" si="158"/>
        <v>6.5174430364997427E-2</v>
      </c>
      <c r="BS210" s="67"/>
      <c r="BT210" s="86"/>
      <c r="BU210" s="183"/>
      <c r="BV210" s="1"/>
      <c r="BW210" s="61">
        <f t="shared" si="162"/>
        <v>201</v>
      </c>
    </row>
    <row r="211" spans="2:75" x14ac:dyDescent="0.3">
      <c r="B211" s="171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7777527</v>
      </c>
      <c r="I211" s="16"/>
      <c r="J211" s="479">
        <f t="shared" si="139"/>
        <v>6.3867650927405964E-3</v>
      </c>
      <c r="K211" s="16"/>
      <c r="L211" s="16"/>
      <c r="M211" s="16"/>
      <c r="N211" s="16">
        <f t="shared" si="140"/>
        <v>313526</v>
      </c>
      <c r="O211" s="16">
        <f t="shared" si="141"/>
        <v>38502.608910891089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216781</v>
      </c>
      <c r="AB211" s="33"/>
      <c r="AC211" s="46">
        <f t="shared" si="143"/>
        <v>2.7872741553966962E-2</v>
      </c>
      <c r="AD211" s="33"/>
      <c r="AE211" s="33">
        <f t="shared" si="144"/>
        <v>1073.1732673267327</v>
      </c>
      <c r="AF211" s="50"/>
      <c r="AG211" s="33">
        <f t="shared" si="164"/>
        <v>4957</v>
      </c>
      <c r="AH211" s="33">
        <f>SUM(D182:D377)</f>
        <v>795978694.34662843</v>
      </c>
      <c r="AI211" s="231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0.64074094503304202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49358</v>
      </c>
      <c r="BF211" s="67"/>
      <c r="BG211" s="156">
        <f t="shared" si="153"/>
        <v>5.8792349538015869E-2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4.7341657928941759E-2</v>
      </c>
      <c r="BN211" s="66">
        <f t="shared" si="156"/>
        <v>565142.81683168316</v>
      </c>
      <c r="BO211" s="67"/>
      <c r="BP211" s="67">
        <f t="shared" si="157"/>
        <v>7434880</v>
      </c>
      <c r="BQ211" s="67"/>
      <c r="BR211" s="478">
        <f t="shared" si="158"/>
        <v>6.5127496161072898E-2</v>
      </c>
      <c r="BS211" s="67"/>
      <c r="BT211" s="86"/>
      <c r="BU211" s="183"/>
      <c r="BV211" s="1"/>
      <c r="BW211" s="61">
        <f t="shared" si="162"/>
        <v>202</v>
      </c>
    </row>
    <row r="212" spans="2:75" x14ac:dyDescent="0.3">
      <c r="B212" s="171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7834845</v>
      </c>
      <c r="I212" s="16"/>
      <c r="J212" s="479">
        <f t="shared" si="139"/>
        <v>7.3696947628725685E-3</v>
      </c>
      <c r="K212" s="16"/>
      <c r="L212" s="16"/>
      <c r="M212" s="16"/>
      <c r="N212" s="16">
        <f t="shared" si="140"/>
        <v>323455</v>
      </c>
      <c r="O212" s="16">
        <f t="shared" si="141"/>
        <v>38595.295566502464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217738</v>
      </c>
      <c r="AB212" s="33"/>
      <c r="AC212" s="46">
        <f t="shared" si="143"/>
        <v>2.7790977358199173E-2</v>
      </c>
      <c r="AD212" s="33"/>
      <c r="AE212" s="33">
        <f t="shared" si="144"/>
        <v>1072.6009852216748</v>
      </c>
      <c r="AF212" s="50"/>
      <c r="AG212" s="33">
        <f t="shared" si="164"/>
        <v>4994</v>
      </c>
      <c r="AH212" s="33">
        <f>SUM(D183:D378)</f>
        <v>795950255.34662843</v>
      </c>
      <c r="AI212" s="231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0.6413902253331113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57318</v>
      </c>
      <c r="BF212" s="67"/>
      <c r="BG212" s="156">
        <f t="shared" si="153"/>
        <v>4.8371008113312956E-2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4.67971333310667E-2</v>
      </c>
      <c r="BN212" s="66">
        <f t="shared" si="156"/>
        <v>568196.13300492615</v>
      </c>
      <c r="BO212" s="67"/>
      <c r="BP212" s="67">
        <f t="shared" si="157"/>
        <v>7492198</v>
      </c>
      <c r="BQ212" s="67"/>
      <c r="BR212" s="478">
        <f t="shared" si="158"/>
        <v>6.4955351095331806E-2</v>
      </c>
      <c r="BS212" s="67"/>
      <c r="BT212" s="86"/>
      <c r="BU212" s="183"/>
      <c r="BV212" s="1"/>
      <c r="BW212" s="61">
        <f t="shared" si="162"/>
        <v>203</v>
      </c>
    </row>
    <row r="213" spans="2:75" x14ac:dyDescent="0.3">
      <c r="B213" s="171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7895828</v>
      </c>
      <c r="I213" s="16"/>
      <c r="J213" s="479">
        <f t="shared" ref="J213:J222" si="166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38705.039215686273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218647</v>
      </c>
      <c r="AB213" s="33"/>
      <c r="AC213" s="46">
        <f t="shared" ref="AC213:AC222" si="169">+AA213/H213</f>
        <v>2.7691459337766729E-2</v>
      </c>
      <c r="AD213" s="33"/>
      <c r="AE213" s="33">
        <f t="shared" ref="AE213:AE222" si="170">+AA213/BW213</f>
        <v>1071.7990196078431</v>
      </c>
      <c r="AF213" s="50"/>
      <c r="AG213" s="33">
        <f t="shared" ref="AG213:AG222" si="171">SUM(W207:W213)</f>
        <v>5039</v>
      </c>
      <c r="AH213" s="33">
        <f>SUM(D184:D379)</f>
        <v>795915012.34662843</v>
      </c>
      <c r="AI213" s="231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4">+AL213/AP212</f>
        <v>7.7821886641965795E-3</v>
      </c>
      <c r="AS213" s="25"/>
      <c r="AT213" s="25"/>
      <c r="AU213" s="24"/>
      <c r="AV213" s="341">
        <f t="shared" ref="AV213:AV222" si="175">+AP213/H213</f>
        <v>0.64138935143977305</v>
      </c>
      <c r="AW213" s="341"/>
      <c r="AX213" s="24">
        <f t="shared" ref="AX213:AX222" si="176">+AP213/BW213</f>
        <v>24825</v>
      </c>
      <c r="AY213" s="351"/>
      <c r="AZ213" s="10"/>
      <c r="BA213" s="66">
        <f t="shared" ref="BA213:BA222" si="177">+BC213-BC212</f>
        <v>1154320</v>
      </c>
      <c r="BB213" s="67"/>
      <c r="BC213" s="67">
        <v>116498135</v>
      </c>
      <c r="BD213" s="67"/>
      <c r="BE213" s="67">
        <f t="shared" ref="BE213:BE222" si="178">+D213</f>
        <v>60983</v>
      </c>
      <c r="BF213" s="67"/>
      <c r="BG213" s="156">
        <f t="shared" ref="BG213:BG222" si="179">+BE213/BA213</f>
        <v>5.2830237715711416E-2</v>
      </c>
      <c r="BH213" s="67"/>
      <c r="BI213" s="183"/>
      <c r="BJ213" s="67"/>
      <c r="BK213" s="67">
        <f t="shared" ref="BK213:BK222" si="180">SUM(BA207:BA213)</f>
        <v>6927689</v>
      </c>
      <c r="BL213" s="67"/>
      <c r="BM213" s="156">
        <f t="shared" ref="BM213:BM222" si="181">+Q213/BK213</f>
        <v>4.8073029837222774E-2</v>
      </c>
      <c r="BN213" s="66">
        <f t="shared" ref="BN213:BN222" si="182">+BC213/BW213</f>
        <v>571069.28921568627</v>
      </c>
      <c r="BO213" s="67"/>
      <c r="BP213" s="67">
        <f t="shared" ref="BP213:BP222" si="183">+BP212+BE213</f>
        <v>7553181</v>
      </c>
      <c r="BQ213" s="67"/>
      <c r="BR213" s="478">
        <f t="shared" ref="BR213:BR222" si="184">+BP213/BC213</f>
        <v>6.4835209593698651E-2</v>
      </c>
      <c r="BS213" s="67"/>
      <c r="BT213" s="86"/>
      <c r="BU213" s="183"/>
      <c r="BV213" s="1"/>
      <c r="BW213" s="61">
        <f t="shared" si="162"/>
        <v>204</v>
      </c>
    </row>
    <row r="214" spans="2:75" x14ac:dyDescent="0.3">
      <c r="B214" s="171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7950063</v>
      </c>
      <c r="I214" s="16"/>
      <c r="J214" s="479">
        <f t="shared" si="166"/>
        <v>6.8688173045309501E-3</v>
      </c>
      <c r="K214" s="16"/>
      <c r="L214" s="16"/>
      <c r="M214" s="16"/>
      <c r="N214" s="16">
        <f>SUM(D205:D214)</f>
        <v>486062</v>
      </c>
      <c r="O214" s="16">
        <f t="shared" si="167"/>
        <v>38780.795121951218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219370</v>
      </c>
      <c r="AB214" s="33"/>
      <c r="AC214" s="46">
        <f t="shared" si="169"/>
        <v>2.7593492026415388E-2</v>
      </c>
      <c r="AD214" s="33"/>
      <c r="AE214" s="33">
        <f t="shared" si="170"/>
        <v>1070.0975609756097</v>
      </c>
      <c r="AF214" s="50"/>
      <c r="AG214" s="33">
        <f t="shared" si="171"/>
        <v>5007</v>
      </c>
      <c r="AH214" s="33">
        <f>SUM(D185:D380)</f>
        <v>795876201.34662843</v>
      </c>
      <c r="AI214" s="231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4"/>
        <v>5.0435400746401283E-3</v>
      </c>
      <c r="AS214" s="25"/>
      <c r="AT214" s="25"/>
      <c r="AU214" s="24"/>
      <c r="AV214" s="341">
        <f t="shared" si="175"/>
        <v>0.6402266246192011</v>
      </c>
      <c r="AW214" s="341"/>
      <c r="AX214" s="24">
        <f t="shared" si="176"/>
        <v>24828.497560975611</v>
      </c>
      <c r="AY214" s="351"/>
      <c r="AZ214" s="10"/>
      <c r="BA214" s="66">
        <f t="shared" si="177"/>
        <v>1103287</v>
      </c>
      <c r="BB214" s="67"/>
      <c r="BC214" s="67">
        <v>117601422</v>
      </c>
      <c r="BD214" s="67"/>
      <c r="BE214" s="67">
        <f t="shared" si="178"/>
        <v>54235</v>
      </c>
      <c r="BF214" s="67"/>
      <c r="BG214" s="156">
        <f t="shared" si="179"/>
        <v>4.9157653448286799E-2</v>
      </c>
      <c r="BH214" s="67"/>
      <c r="BI214" s="183"/>
      <c r="BJ214" s="67"/>
      <c r="BK214" s="67">
        <f t="shared" si="180"/>
        <v>7075139</v>
      </c>
      <c r="BL214" s="67"/>
      <c r="BM214" s="156">
        <f t="shared" si="181"/>
        <v>4.7821675305601767E-2</v>
      </c>
      <c r="BN214" s="66">
        <f t="shared" si="182"/>
        <v>573665.47317073168</v>
      </c>
      <c r="BO214" s="67"/>
      <c r="BP214" s="67">
        <f t="shared" si="183"/>
        <v>7607416</v>
      </c>
      <c r="BQ214" s="67"/>
      <c r="BR214" s="478">
        <f t="shared" si="184"/>
        <v>6.4688129366326882E-2</v>
      </c>
      <c r="BS214" s="67"/>
      <c r="BT214" s="86"/>
      <c r="BU214" s="183"/>
      <c r="BV214" s="1"/>
      <c r="BW214" s="61">
        <f t="shared" si="162"/>
        <v>205</v>
      </c>
    </row>
    <row r="215" spans="2:75" x14ac:dyDescent="0.3">
      <c r="B215" s="390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7991998</v>
      </c>
      <c r="I215" s="16"/>
      <c r="J215" s="479">
        <f t="shared" si="166"/>
        <v>5.2748009669860482E-3</v>
      </c>
      <c r="K215" s="16"/>
      <c r="L215" s="16"/>
      <c r="M215" s="16"/>
      <c r="N215" s="469">
        <f t="shared" ref="N215:N222" si="185">SUM(D209:D215)</f>
        <v>346214</v>
      </c>
      <c r="O215" s="16">
        <f t="shared" si="167"/>
        <v>38796.106796116503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68"/>
        <v>219695</v>
      </c>
      <c r="AB215" s="33"/>
      <c r="AC215" s="46">
        <f t="shared" si="169"/>
        <v>2.7489371243586396E-2</v>
      </c>
      <c r="AD215" s="33"/>
      <c r="AE215" s="33">
        <f t="shared" si="170"/>
        <v>1066.4805825242718</v>
      </c>
      <c r="AF215" s="50"/>
      <c r="AG215" s="33">
        <f t="shared" si="171"/>
        <v>5000</v>
      </c>
      <c r="AH215" s="33">
        <f>SUM(D186:D381)</f>
        <v>795829601.34662843</v>
      </c>
      <c r="AI215" s="231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4"/>
        <v>7.5287209308265365E-3</v>
      </c>
      <c r="AS215" s="25"/>
      <c r="AT215" s="25"/>
      <c r="AU215" s="24"/>
      <c r="AV215" s="341">
        <f t="shared" si="175"/>
        <v>0.64166207248800611</v>
      </c>
      <c r="AW215" s="341"/>
      <c r="AX215" s="24">
        <f t="shared" si="176"/>
        <v>24893.990291262136</v>
      </c>
      <c r="AY215" s="351"/>
      <c r="AZ215" s="391"/>
      <c r="BA215" s="66">
        <f t="shared" si="177"/>
        <v>885476</v>
      </c>
      <c r="BB215" s="67"/>
      <c r="BC215" s="67">
        <v>118486898</v>
      </c>
      <c r="BD215" s="67"/>
      <c r="BE215" s="67">
        <f t="shared" si="178"/>
        <v>41935</v>
      </c>
      <c r="BF215" s="67"/>
      <c r="BG215" s="156">
        <f t="shared" si="179"/>
        <v>4.7358708762292825E-2</v>
      </c>
      <c r="BH215" s="67"/>
      <c r="BI215" s="183"/>
      <c r="BJ215" s="67"/>
      <c r="BK215" s="67">
        <f t="shared" si="180"/>
        <v>7016632</v>
      </c>
      <c r="BL215" s="67"/>
      <c r="BM215" s="156">
        <f t="shared" si="181"/>
        <v>4.9341906487328967E-2</v>
      </c>
      <c r="BN215" s="66">
        <f t="shared" si="182"/>
        <v>575179.11650485441</v>
      </c>
      <c r="BO215" s="67"/>
      <c r="BP215" s="67">
        <f t="shared" si="183"/>
        <v>7649351</v>
      </c>
      <c r="BQ215" s="67"/>
      <c r="BR215" s="478">
        <f t="shared" si="184"/>
        <v>6.4558623182117567E-2</v>
      </c>
      <c r="BS215" s="67"/>
      <c r="BT215" s="86"/>
      <c r="BU215" s="183"/>
      <c r="BV215" s="1"/>
      <c r="BW215" s="61">
        <f t="shared" si="162"/>
        <v>206</v>
      </c>
    </row>
    <row r="216" spans="2:75" x14ac:dyDescent="0.3">
      <c r="B216" s="171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8037789</v>
      </c>
      <c r="I216" s="16"/>
      <c r="J216" s="479">
        <f t="shared" si="166"/>
        <v>5.7296060384399499E-3</v>
      </c>
      <c r="K216" s="16"/>
      <c r="L216" s="16"/>
      <c r="M216" s="16"/>
      <c r="N216" s="16">
        <f t="shared" si="185"/>
        <v>354288</v>
      </c>
      <c r="O216" s="16">
        <f t="shared" si="167"/>
        <v>38829.89855072464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220011</v>
      </c>
      <c r="AB216" s="33"/>
      <c r="AC216" s="46">
        <f t="shared" si="169"/>
        <v>2.7372079560685159E-2</v>
      </c>
      <c r="AD216" s="33"/>
      <c r="AE216" s="33">
        <f t="shared" si="170"/>
        <v>1062.855072463768</v>
      </c>
      <c r="AF216" s="50"/>
      <c r="AG216" s="33">
        <f t="shared" si="171"/>
        <v>4968</v>
      </c>
      <c r="AH216" s="33">
        <f>SUM(D187:D382)</f>
        <v>795790319.34662843</v>
      </c>
      <c r="AI216" s="231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4"/>
        <v>1.1008427580875954E-2</v>
      </c>
      <c r="AS216" s="25"/>
      <c r="AT216" s="25"/>
      <c r="AU216" s="24"/>
      <c r="AV216" s="341">
        <f t="shared" si="175"/>
        <v>0.64502999518897552</v>
      </c>
      <c r="AW216" s="341"/>
      <c r="AX216" s="24">
        <f t="shared" si="176"/>
        <v>25046.44927536232</v>
      </c>
      <c r="AY216" s="351"/>
      <c r="AZ216" s="10"/>
      <c r="BA216" s="66">
        <f t="shared" si="177"/>
        <v>1010726</v>
      </c>
      <c r="BB216" s="67"/>
      <c r="BC216" s="67">
        <v>119497624</v>
      </c>
      <c r="BD216" s="67"/>
      <c r="BE216" s="67">
        <f t="shared" si="178"/>
        <v>45791</v>
      </c>
      <c r="BF216" s="67"/>
      <c r="BG216" s="156">
        <f t="shared" si="179"/>
        <v>4.5305057948444978E-2</v>
      </c>
      <c r="BH216" s="67"/>
      <c r="BI216" s="183"/>
      <c r="BJ216" s="67"/>
      <c r="BK216" s="67">
        <f t="shared" si="180"/>
        <v>7125450</v>
      </c>
      <c r="BL216" s="67"/>
      <c r="BM216" s="156">
        <f t="shared" si="181"/>
        <v>4.9721491274235315E-2</v>
      </c>
      <c r="BN216" s="66">
        <f t="shared" si="182"/>
        <v>577283.20772946859</v>
      </c>
      <c r="BO216" s="67"/>
      <c r="BP216" s="67">
        <f t="shared" si="183"/>
        <v>7695142</v>
      </c>
      <c r="BQ216" s="67"/>
      <c r="BR216" s="478">
        <f t="shared" si="184"/>
        <v>6.4395774095056479E-2</v>
      </c>
      <c r="BS216" s="67"/>
      <c r="BT216" s="86"/>
      <c r="BU216" s="183"/>
      <c r="BV216" s="1"/>
      <c r="BW216" s="61">
        <f t="shared" ref="BW216:BW293" si="186">+BW215+1</f>
        <v>207</v>
      </c>
    </row>
    <row r="217" spans="2:75" x14ac:dyDescent="0.3">
      <c r="B217" s="171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8089323</v>
      </c>
      <c r="I217" s="16"/>
      <c r="J217" s="479">
        <f t="shared" si="166"/>
        <v>6.4114646453147751E-3</v>
      </c>
      <c r="K217" s="16"/>
      <c r="L217" s="16"/>
      <c r="M217" s="16"/>
      <c r="N217" s="16">
        <f t="shared" si="185"/>
        <v>361154</v>
      </c>
      <c r="O217" s="16">
        <f t="shared" si="167"/>
        <v>38890.975961538461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220854</v>
      </c>
      <c r="AB217" s="33"/>
      <c r="AC217" s="46">
        <f t="shared" si="169"/>
        <v>2.7301913893165101E-2</v>
      </c>
      <c r="AD217" s="33"/>
      <c r="AE217" s="33">
        <f t="shared" si="170"/>
        <v>1061.7980769230769</v>
      </c>
      <c r="AF217" s="50"/>
      <c r="AG217" s="33">
        <f t="shared" si="171"/>
        <v>5003</v>
      </c>
      <c r="AH217" s="33">
        <f>SUM(D188:D383)</f>
        <v>795758462.34662843</v>
      </c>
      <c r="AI217" s="231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4"/>
        <v>8.0646296783849908E-3</v>
      </c>
      <c r="AS217" s="25"/>
      <c r="AT217" s="25"/>
      <c r="AU217" s="24"/>
      <c r="AV217" s="341">
        <f t="shared" si="175"/>
        <v>0.64608954296917065</v>
      </c>
      <c r="AW217" s="341"/>
      <c r="AX217" s="24">
        <f t="shared" si="176"/>
        <v>25127.052884615383</v>
      </c>
      <c r="AY217" s="351"/>
      <c r="AZ217" s="10"/>
      <c r="BA217" s="66">
        <f t="shared" si="177"/>
        <v>1025948</v>
      </c>
      <c r="BB217" s="67"/>
      <c r="BC217" s="67">
        <v>120523572</v>
      </c>
      <c r="BD217" s="67"/>
      <c r="BE217" s="67">
        <f t="shared" si="178"/>
        <v>51534</v>
      </c>
      <c r="BF217" s="67"/>
      <c r="BG217" s="156">
        <f t="shared" si="179"/>
        <v>5.0230615976638193E-2</v>
      </c>
      <c r="BH217" s="67"/>
      <c r="BI217" s="183"/>
      <c r="BJ217" s="67"/>
      <c r="BK217" s="67">
        <f t="shared" si="180"/>
        <v>7204254</v>
      </c>
      <c r="BL217" s="67"/>
      <c r="BM217" s="156">
        <f t="shared" si="181"/>
        <v>5.0130658913469739E-2</v>
      </c>
      <c r="BN217" s="66">
        <f t="shared" si="182"/>
        <v>579440.25</v>
      </c>
      <c r="BO217" s="67"/>
      <c r="BP217" s="67">
        <f t="shared" si="183"/>
        <v>7746676</v>
      </c>
      <c r="BQ217" s="67"/>
      <c r="BR217" s="478">
        <f t="shared" si="184"/>
        <v>6.4275194233373703E-2</v>
      </c>
      <c r="BS217" s="67"/>
      <c r="BT217" s="86"/>
      <c r="BU217" s="183"/>
      <c r="BV217" s="1"/>
      <c r="BW217" s="61">
        <f t="shared" si="186"/>
        <v>208</v>
      </c>
    </row>
    <row r="218" spans="2:75" x14ac:dyDescent="0.3">
      <c r="B218" s="171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8149016</v>
      </c>
      <c r="I218" s="16"/>
      <c r="J218" s="479">
        <f t="shared" si="166"/>
        <v>7.3792330952788011E-3</v>
      </c>
      <c r="K218" s="16"/>
      <c r="L218" s="16"/>
      <c r="M218" s="16"/>
      <c r="N218" s="16">
        <f t="shared" si="185"/>
        <v>371489</v>
      </c>
      <c r="O218" s="16">
        <f t="shared" si="167"/>
        <v>38990.507177033491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221824</v>
      </c>
      <c r="AB218" s="33"/>
      <c r="AC218" s="46">
        <f t="shared" si="169"/>
        <v>2.722095526625546E-2</v>
      </c>
      <c r="AD218" s="33"/>
      <c r="AE218" s="33">
        <f t="shared" si="170"/>
        <v>1061.3588516746411</v>
      </c>
      <c r="AF218" s="50"/>
      <c r="AG218" s="33">
        <f t="shared" si="171"/>
        <v>5043</v>
      </c>
      <c r="AH218" s="33">
        <f>SUM(D189:D384)</f>
        <v>795720390.34662843</v>
      </c>
      <c r="AI218" s="231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4"/>
        <v>1.0011811128329162E-2</v>
      </c>
      <c r="AS218" s="25"/>
      <c r="AT218" s="25"/>
      <c r="AU218" s="24"/>
      <c r="AV218" s="341">
        <f t="shared" si="175"/>
        <v>0.64777796484876216</v>
      </c>
      <c r="AW218" s="341"/>
      <c r="AX218" s="24">
        <f t="shared" si="176"/>
        <v>25257.191387559807</v>
      </c>
      <c r="AY218" s="351"/>
      <c r="AZ218" s="10"/>
      <c r="BA218" s="66">
        <f t="shared" si="177"/>
        <v>1043566</v>
      </c>
      <c r="BB218" s="67"/>
      <c r="BC218" s="67">
        <v>121567138</v>
      </c>
      <c r="BD218" s="67"/>
      <c r="BE218" s="67">
        <f t="shared" si="178"/>
        <v>59693</v>
      </c>
      <c r="BF218" s="67"/>
      <c r="BG218" s="156">
        <f t="shared" si="179"/>
        <v>5.7200982017428702E-2</v>
      </c>
      <c r="BH218" s="67"/>
      <c r="BI218" s="183"/>
      <c r="BJ218" s="67"/>
      <c r="BK218" s="67">
        <f t="shared" si="180"/>
        <v>7408289</v>
      </c>
      <c r="BL218" s="67"/>
      <c r="BM218" s="156">
        <f t="shared" si="181"/>
        <v>5.0145046987232815E-2</v>
      </c>
      <c r="BN218" s="66">
        <f t="shared" si="182"/>
        <v>581660.94736842101</v>
      </c>
      <c r="BO218" s="67"/>
      <c r="BP218" s="67">
        <f t="shared" si="183"/>
        <v>7806369</v>
      </c>
      <c r="BQ218" s="67"/>
      <c r="BR218" s="478">
        <f t="shared" si="184"/>
        <v>6.4214467235380671E-2</v>
      </c>
      <c r="BS218" s="67"/>
      <c r="BT218" s="86"/>
      <c r="BU218" s="183"/>
      <c r="BV218" s="1"/>
      <c r="BW218" s="61">
        <f t="shared" si="186"/>
        <v>209</v>
      </c>
    </row>
    <row r="219" spans="2:75" x14ac:dyDescent="0.3">
      <c r="B219" s="171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8215145</v>
      </c>
      <c r="I219" s="16"/>
      <c r="J219" s="479">
        <f t="shared" si="166"/>
        <v>8.1149675003705964E-3</v>
      </c>
      <c r="K219" s="16"/>
      <c r="L219" s="16"/>
      <c r="M219" s="16"/>
      <c r="N219" s="16">
        <f t="shared" si="185"/>
        <v>380300</v>
      </c>
      <c r="O219" s="16">
        <f t="shared" si="167"/>
        <v>39119.738095238092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222698</v>
      </c>
      <c r="AB219" s="33"/>
      <c r="AC219" s="46">
        <f t="shared" si="169"/>
        <v>2.7108225113494651E-2</v>
      </c>
      <c r="AD219" s="33"/>
      <c r="AE219" s="33">
        <f t="shared" si="170"/>
        <v>1060.4666666666667</v>
      </c>
      <c r="AF219" s="50"/>
      <c r="AG219" s="33">
        <f t="shared" si="171"/>
        <v>4960</v>
      </c>
      <c r="AH219" s="33">
        <f>SUM(D190:D385)</f>
        <v>795683943.34662843</v>
      </c>
      <c r="AI219" s="231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4"/>
        <v>7.8401092076102064E-3</v>
      </c>
      <c r="AS219" s="25"/>
      <c r="AT219" s="25"/>
      <c r="AU219" s="24"/>
      <c r="AV219" s="341">
        <f t="shared" si="175"/>
        <v>0.64760135091955162</v>
      </c>
      <c r="AW219" s="341"/>
      <c r="AX219" s="24">
        <f t="shared" si="176"/>
        <v>25333.995238095238</v>
      </c>
      <c r="AY219" s="351"/>
      <c r="AZ219" s="10"/>
      <c r="BA219" s="66">
        <f t="shared" si="177"/>
        <v>1128210</v>
      </c>
      <c r="BB219" s="67"/>
      <c r="BC219" s="67">
        <v>122695348</v>
      </c>
      <c r="BD219" s="67"/>
      <c r="BE219" s="67">
        <f t="shared" si="178"/>
        <v>66129</v>
      </c>
      <c r="BF219" s="67"/>
      <c r="BG219" s="156">
        <f t="shared" si="179"/>
        <v>5.8614087802802667E-2</v>
      </c>
      <c r="BH219" s="67"/>
      <c r="BI219" s="183"/>
      <c r="BJ219" s="67"/>
      <c r="BK219" s="67">
        <f t="shared" si="180"/>
        <v>7351533</v>
      </c>
      <c r="BL219" s="67"/>
      <c r="BM219" s="156">
        <f t="shared" si="181"/>
        <v>5.1730707051168785E-2</v>
      </c>
      <c r="BN219" s="66">
        <f t="shared" si="182"/>
        <v>584263.56190476194</v>
      </c>
      <c r="BO219" s="67"/>
      <c r="BP219" s="67">
        <f t="shared" si="183"/>
        <v>7872498</v>
      </c>
      <c r="BQ219" s="67"/>
      <c r="BR219" s="478">
        <f t="shared" si="184"/>
        <v>6.4162970547179995E-2</v>
      </c>
      <c r="BS219" s="67"/>
      <c r="BT219" s="86"/>
      <c r="BU219" s="183"/>
      <c r="BV219" s="1"/>
      <c r="BW219" s="61">
        <f t="shared" si="186"/>
        <v>210</v>
      </c>
    </row>
    <row r="220" spans="2:75" x14ac:dyDescent="0.3">
      <c r="B220" s="171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8286832</v>
      </c>
      <c r="I220" s="16"/>
      <c r="J220" s="479">
        <f t="shared" si="166"/>
        <v>8.726200207056601E-3</v>
      </c>
      <c r="K220" s="16"/>
      <c r="L220" s="16"/>
      <c r="M220" s="16"/>
      <c r="N220" s="16">
        <f t="shared" si="185"/>
        <v>391004</v>
      </c>
      <c r="O220" s="16">
        <f t="shared" si="167"/>
        <v>39274.08530805687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223626</v>
      </c>
      <c r="AB220" s="33"/>
      <c r="AC220" s="46">
        <f t="shared" si="169"/>
        <v>2.6985704549096688E-2</v>
      </c>
      <c r="AD220" s="33"/>
      <c r="AE220" s="33">
        <f t="shared" si="170"/>
        <v>1059.8388625592418</v>
      </c>
      <c r="AF220" s="50"/>
      <c r="AG220" s="33">
        <f t="shared" si="171"/>
        <v>4979</v>
      </c>
      <c r="AH220" s="33">
        <f>SUM(D191:D386)</f>
        <v>795643789.34662843</v>
      </c>
      <c r="AI220" s="231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4"/>
        <v>1.4146622860793675E-2</v>
      </c>
      <c r="AS220" s="25"/>
      <c r="AT220" s="25"/>
      <c r="AU220" s="24"/>
      <c r="AV220" s="341">
        <f t="shared" si="175"/>
        <v>0.6510812575903554</v>
      </c>
      <c r="AW220" s="341"/>
      <c r="AX220" s="24">
        <f t="shared" si="176"/>
        <v>25570.620853080567</v>
      </c>
      <c r="AY220" s="351"/>
      <c r="AZ220" s="10"/>
      <c r="BA220" s="66">
        <f t="shared" si="177"/>
        <v>1041099</v>
      </c>
      <c r="BB220" s="67"/>
      <c r="BC220" s="67">
        <v>123736447</v>
      </c>
      <c r="BD220" s="67"/>
      <c r="BE220" s="67">
        <f t="shared" si="178"/>
        <v>71687</v>
      </c>
      <c r="BF220" s="67"/>
      <c r="BG220" s="156">
        <f t="shared" si="179"/>
        <v>6.885704433488074E-2</v>
      </c>
      <c r="BH220" s="67"/>
      <c r="BI220" s="183"/>
      <c r="BJ220" s="67"/>
      <c r="BK220" s="67">
        <f t="shared" si="180"/>
        <v>7238312</v>
      </c>
      <c r="BL220" s="67"/>
      <c r="BM220" s="156">
        <f t="shared" si="181"/>
        <v>5.40186717566195E-2</v>
      </c>
      <c r="BN220" s="66">
        <f t="shared" si="182"/>
        <v>586428.65876777249</v>
      </c>
      <c r="BO220" s="67"/>
      <c r="BP220" s="67">
        <f t="shared" si="183"/>
        <v>7944185</v>
      </c>
      <c r="BQ220" s="67"/>
      <c r="BR220" s="478">
        <f t="shared" si="184"/>
        <v>6.4202465745602025E-2</v>
      </c>
      <c r="BS220" s="67"/>
      <c r="BT220" s="86"/>
      <c r="BU220" s="183"/>
      <c r="BV220" s="1"/>
      <c r="BW220" s="61">
        <f t="shared" si="186"/>
        <v>211</v>
      </c>
    </row>
    <row r="221" spans="2:75" x14ac:dyDescent="0.3">
      <c r="B221" s="171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8341064</v>
      </c>
      <c r="I221" s="16"/>
      <c r="J221" s="479">
        <f t="shared" si="166"/>
        <v>6.5443585679062881E-3</v>
      </c>
      <c r="K221" s="16"/>
      <c r="L221" s="16"/>
      <c r="M221" s="16"/>
      <c r="N221" s="16">
        <f t="shared" si="185"/>
        <v>391001</v>
      </c>
      <c r="O221" s="16">
        <f t="shared" si="167"/>
        <v>39344.641509433961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224264</v>
      </c>
      <c r="AB221" s="33"/>
      <c r="AC221" s="46">
        <f t="shared" si="169"/>
        <v>2.6886737711160111E-2</v>
      </c>
      <c r="AD221" s="33"/>
      <c r="AE221" s="33">
        <f t="shared" si="170"/>
        <v>1057.8490566037735</v>
      </c>
      <c r="AF221" s="50"/>
      <c r="AG221" s="33">
        <f t="shared" si="171"/>
        <v>4894</v>
      </c>
      <c r="AH221" s="33">
        <f>SUM(D192:D387)</f>
        <v>795597494.34662843</v>
      </c>
      <c r="AI221" s="231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4"/>
        <v>6.8189556253557427E-3</v>
      </c>
      <c r="AS221" s="25"/>
      <c r="AT221" s="25"/>
      <c r="AU221" s="24"/>
      <c r="AV221" s="341">
        <f t="shared" si="175"/>
        <v>0.65125888016205125</v>
      </c>
      <c r="AW221" s="341"/>
      <c r="AX221" s="24">
        <f t="shared" si="176"/>
        <v>25623.547169811322</v>
      </c>
      <c r="AY221" s="351"/>
      <c r="AZ221" s="10"/>
      <c r="BA221" s="66">
        <f t="shared" si="177"/>
        <v>1056221</v>
      </c>
      <c r="BB221" s="67"/>
      <c r="BC221" s="67">
        <v>124792668</v>
      </c>
      <c r="BD221" s="67"/>
      <c r="BE221" s="67">
        <f t="shared" si="178"/>
        <v>54232</v>
      </c>
      <c r="BF221" s="67"/>
      <c r="BG221" s="156">
        <f t="shared" si="179"/>
        <v>5.1345315042969228E-2</v>
      </c>
      <c r="BH221" s="67"/>
      <c r="BI221" s="183"/>
      <c r="BJ221" s="67"/>
      <c r="BK221" s="67">
        <f t="shared" si="180"/>
        <v>7191246</v>
      </c>
      <c r="BL221" s="67"/>
      <c r="BM221" s="156">
        <f t="shared" si="181"/>
        <v>5.4371801493093133E-2</v>
      </c>
      <c r="BN221" s="66">
        <f t="shared" si="182"/>
        <v>588644.66037735844</v>
      </c>
      <c r="BO221" s="67"/>
      <c r="BP221" s="67">
        <f t="shared" si="183"/>
        <v>7998417</v>
      </c>
      <c r="BQ221" s="67"/>
      <c r="BR221" s="478">
        <f t="shared" si="184"/>
        <v>6.4093645309354227E-2</v>
      </c>
      <c r="BS221" s="67"/>
      <c r="BT221" s="86"/>
      <c r="BU221" s="183"/>
      <c r="BV221" s="1"/>
      <c r="BW221" s="61">
        <f t="shared" si="186"/>
        <v>212</v>
      </c>
    </row>
    <row r="222" spans="2:75" x14ac:dyDescent="0.3">
      <c r="B222" s="390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8386005</v>
      </c>
      <c r="I222" s="16"/>
      <c r="J222" s="479">
        <f t="shared" si="166"/>
        <v>5.3879217327669465E-3</v>
      </c>
      <c r="K222" s="16"/>
      <c r="L222" s="16"/>
      <c r="M222" s="16"/>
      <c r="N222" s="16">
        <f t="shared" si="185"/>
        <v>394007</v>
      </c>
      <c r="O222" s="16">
        <f t="shared" si="167"/>
        <v>39370.915492957749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68"/>
        <v>224712</v>
      </c>
      <c r="AB222" s="33"/>
      <c r="AC222" s="46">
        <f t="shared" si="169"/>
        <v>2.6796072742622978E-2</v>
      </c>
      <c r="AD222" s="33"/>
      <c r="AE222" s="33">
        <f t="shared" si="170"/>
        <v>1054.9859154929577</v>
      </c>
      <c r="AF222" s="50"/>
      <c r="AG222" s="33">
        <f t="shared" si="171"/>
        <v>5017</v>
      </c>
      <c r="AH222" s="33">
        <f>SUM(D193:D388)</f>
        <v>795546149.34662843</v>
      </c>
      <c r="AI222" s="231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4"/>
        <v>4.6927649096350057E-3</v>
      </c>
      <c r="AS222" s="25"/>
      <c r="AT222" s="25"/>
      <c r="AU222" s="24"/>
      <c r="AV222" s="341">
        <f t="shared" si="175"/>
        <v>0.65080857929371616</v>
      </c>
      <c r="AW222" s="341"/>
      <c r="AX222" s="24">
        <f t="shared" si="176"/>
        <v>25622.929577464787</v>
      </c>
      <c r="AY222" s="351"/>
      <c r="AZ222" s="391"/>
      <c r="BA222" s="66">
        <f t="shared" si="177"/>
        <v>891213</v>
      </c>
      <c r="BB222" s="67"/>
      <c r="BC222" s="67">
        <v>125683881</v>
      </c>
      <c r="BD222" s="67"/>
      <c r="BE222" s="67">
        <f t="shared" si="178"/>
        <v>44941</v>
      </c>
      <c r="BF222" s="67"/>
      <c r="BG222" s="156">
        <f t="shared" si="179"/>
        <v>5.0426777885870154E-2</v>
      </c>
      <c r="BH222" s="67"/>
      <c r="BI222" s="183"/>
      <c r="BJ222" s="67"/>
      <c r="BK222" s="67">
        <f t="shared" si="180"/>
        <v>7196983</v>
      </c>
      <c r="BL222" s="67"/>
      <c r="BM222" s="156">
        <f t="shared" si="181"/>
        <v>5.4746134595565946E-2</v>
      </c>
      <c r="BN222" s="66">
        <f t="shared" si="182"/>
        <v>590065.1690140845</v>
      </c>
      <c r="BO222" s="67"/>
      <c r="BP222" s="67">
        <f t="shared" si="183"/>
        <v>8043358</v>
      </c>
      <c r="BQ222" s="67"/>
      <c r="BR222" s="478">
        <f t="shared" si="184"/>
        <v>6.39967347921091E-2</v>
      </c>
      <c r="BS222" s="67"/>
      <c r="BT222" s="86"/>
      <c r="BU222" s="183"/>
      <c r="BV222" s="1"/>
      <c r="BW222" s="61">
        <f t="shared" si="186"/>
        <v>213</v>
      </c>
    </row>
    <row r="223" spans="2:75" x14ac:dyDescent="0.3">
      <c r="B223" s="171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8443332</v>
      </c>
      <c r="I223" s="16"/>
      <c r="J223" s="479">
        <f t="shared" ref="J223:J229" si="188">+D223/H222</f>
        <v>6.8360321750344771E-3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39454.82242990654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225154</v>
      </c>
      <c r="AB223" s="33"/>
      <c r="AC223" s="46">
        <f t="shared" ref="AC223:AC229" si="192">+AA223/H223</f>
        <v>2.6666486642950911E-2</v>
      </c>
      <c r="AD223" s="33"/>
      <c r="AE223" s="33">
        <f t="shared" ref="AE223:AE229" si="193">+AA223/BW223</f>
        <v>1052.1214953271028</v>
      </c>
      <c r="AF223" s="50"/>
      <c r="AG223" s="33">
        <f t="shared" ref="AG223:AG229" si="194">SUM(W217:W223)</f>
        <v>5143</v>
      </c>
      <c r="AH223" s="33">
        <f>SUM(D194:D389)</f>
        <v>795502536.34662843</v>
      </c>
      <c r="AI223" s="231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197">+AL223/AP222</f>
        <v>8.3522607758162622E-3</v>
      </c>
      <c r="AS223" s="25"/>
      <c r="AT223" s="25"/>
      <c r="AU223" s="24"/>
      <c r="AV223" s="341">
        <f t="shared" ref="AV223:AV229" si="198">+AP223/H223</f>
        <v>0.65178865405268915</v>
      </c>
      <c r="AW223" s="341"/>
      <c r="AX223" s="24">
        <f t="shared" ref="AX223:AX229" si="199">+AP223/BW223</f>
        <v>25716.205607476637</v>
      </c>
      <c r="AY223" s="351"/>
      <c r="AZ223" s="10"/>
      <c r="BA223" s="66">
        <f t="shared" ref="BA223:BA229" si="200">+BC223-BC222</f>
        <v>1373226</v>
      </c>
      <c r="BB223" s="67"/>
      <c r="BC223" s="67">
        <v>127057107</v>
      </c>
      <c r="BD223" s="67"/>
      <c r="BE223" s="67">
        <f t="shared" ref="BE223:BE229" si="201">+D223</f>
        <v>57327</v>
      </c>
      <c r="BF223" s="67"/>
      <c r="BG223" s="156">
        <f t="shared" ref="BG223:BG229" si="202">+BE223/BA223</f>
        <v>4.1746223855359567E-2</v>
      </c>
      <c r="BH223" s="67"/>
      <c r="BI223" s="183"/>
      <c r="BJ223" s="67"/>
      <c r="BK223" s="67">
        <f t="shared" ref="BK223:BK229" si="203">SUM(BA217:BA223)</f>
        <v>7559483</v>
      </c>
      <c r="BL223" s="67"/>
      <c r="BM223" s="156">
        <f t="shared" ref="BM223:BM229" si="204">+Q223/BK223</f>
        <v>5.3646922679765272E-2</v>
      </c>
      <c r="BN223" s="66">
        <f t="shared" ref="BN223:BN229" si="205">+BC223/BW223</f>
        <v>593724.79906542052</v>
      </c>
      <c r="BO223" s="67"/>
      <c r="BP223" s="67">
        <f t="shared" ref="BP223:BP229" si="206">+BP222+BE223</f>
        <v>8100685</v>
      </c>
      <c r="BQ223" s="67"/>
      <c r="BR223" s="478">
        <f t="shared" ref="BR223:BR229" si="207">+BP223/BC223</f>
        <v>6.3756252532965352E-2</v>
      </c>
      <c r="BS223" s="67"/>
      <c r="BT223" s="86"/>
      <c r="BU223" s="183"/>
      <c r="BV223" s="1"/>
      <c r="BW223" s="61">
        <f t="shared" si="186"/>
        <v>214</v>
      </c>
    </row>
    <row r="224" spans="2:75" x14ac:dyDescent="0.3">
      <c r="B224" s="171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8505404</v>
      </c>
      <c r="I224" s="16"/>
      <c r="J224" s="479">
        <f t="shared" si="188"/>
        <v>7.3516000555231041E-3</v>
      </c>
      <c r="K224" s="16"/>
      <c r="L224" s="16"/>
      <c r="M224" s="16"/>
      <c r="N224" s="16">
        <f t="shared" si="189"/>
        <v>416081</v>
      </c>
      <c r="O224" s="16">
        <f t="shared" si="190"/>
        <v>39560.018604651166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226106</v>
      </c>
      <c r="AB224" s="33"/>
      <c r="AC224" s="46">
        <f t="shared" si="192"/>
        <v>2.6583804837489202E-2</v>
      </c>
      <c r="AD224" s="33"/>
      <c r="AE224" s="33">
        <f t="shared" si="193"/>
        <v>1051.6558139534884</v>
      </c>
      <c r="AF224" s="50"/>
      <c r="AG224" s="33">
        <f t="shared" si="194"/>
        <v>5252</v>
      </c>
      <c r="AH224" s="33">
        <f>SUM(D195:D390)</f>
        <v>795469150.34662843</v>
      </c>
      <c r="AI224" s="231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197"/>
        <v>7.6956092270992439E-3</v>
      </c>
      <c r="AS224" s="25"/>
      <c r="AT224" s="25"/>
      <c r="AU224" s="24"/>
      <c r="AV224" s="341">
        <f t="shared" si="198"/>
        <v>0.65201123897230517</v>
      </c>
      <c r="AW224" s="341"/>
      <c r="AX224" s="24">
        <f t="shared" si="199"/>
        <v>25793.576744186048</v>
      </c>
      <c r="AY224" s="351"/>
      <c r="AZ224" s="10"/>
      <c r="BA224" s="66">
        <f t="shared" si="200"/>
        <v>777769</v>
      </c>
      <c r="BB224" s="67"/>
      <c r="BC224" s="67">
        <v>127834876</v>
      </c>
      <c r="BD224" s="67"/>
      <c r="BE224" s="67">
        <f t="shared" si="201"/>
        <v>62072</v>
      </c>
      <c r="BF224" s="67"/>
      <c r="BG224" s="156">
        <f t="shared" si="202"/>
        <v>7.9807757830409803E-2</v>
      </c>
      <c r="BH224" s="67"/>
      <c r="BI224" s="183"/>
      <c r="BJ224" s="67"/>
      <c r="BK224" s="67">
        <f t="shared" si="203"/>
        <v>7311304</v>
      </c>
      <c r="BL224" s="67"/>
      <c r="BM224" s="156">
        <f t="shared" si="204"/>
        <v>5.6909273639832239E-2</v>
      </c>
      <c r="BN224" s="66">
        <f t="shared" si="205"/>
        <v>594580.81860465114</v>
      </c>
      <c r="BO224" s="67"/>
      <c r="BP224" s="67">
        <f t="shared" si="206"/>
        <v>8162757</v>
      </c>
      <c r="BQ224" s="67"/>
      <c r="BR224" s="478">
        <f t="shared" si="207"/>
        <v>6.3853912605195476E-2</v>
      </c>
      <c r="BS224" s="67"/>
      <c r="BT224" s="86"/>
      <c r="BU224" s="183"/>
      <c r="BV224" s="1"/>
      <c r="BW224" s="61">
        <f t="shared" si="186"/>
        <v>215</v>
      </c>
    </row>
    <row r="225" spans="2:75" x14ac:dyDescent="0.3">
      <c r="B225" s="171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8569067</v>
      </c>
      <c r="I225" s="16"/>
      <c r="J225" s="479">
        <f t="shared" si="188"/>
        <v>7.4850060032421737E-3</v>
      </c>
      <c r="K225" s="16"/>
      <c r="L225" s="16"/>
      <c r="M225" s="16"/>
      <c r="N225" s="16">
        <f t="shared" si="189"/>
        <v>420051</v>
      </c>
      <c r="O225" s="16">
        <f t="shared" si="190"/>
        <v>39671.606481481482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227331</v>
      </c>
      <c r="AB225" s="33"/>
      <c r="AC225" s="46">
        <f t="shared" si="192"/>
        <v>2.6529259253078544E-2</v>
      </c>
      <c r="AD225" s="33"/>
      <c r="AE225" s="33">
        <f t="shared" si="193"/>
        <v>1052.4583333333333</v>
      </c>
      <c r="AF225" s="50"/>
      <c r="AG225" s="33">
        <f t="shared" si="194"/>
        <v>5507</v>
      </c>
      <c r="AH225" s="33">
        <f>SUM(D196:D391)</f>
        <v>795432346.34662843</v>
      </c>
      <c r="AI225" s="231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197"/>
        <v>1.0187681483347486E-2</v>
      </c>
      <c r="AS225" s="25"/>
      <c r="AT225" s="25"/>
      <c r="AU225" s="24"/>
      <c r="AV225" s="341">
        <f t="shared" si="198"/>
        <v>0.65376032186467903</v>
      </c>
      <c r="AW225" s="341"/>
      <c r="AX225" s="24">
        <f t="shared" si="199"/>
        <v>25935.722222222223</v>
      </c>
      <c r="AY225" s="351"/>
      <c r="AZ225" s="10"/>
      <c r="BA225" s="66">
        <f t="shared" si="200"/>
        <v>815281</v>
      </c>
      <c r="BB225" s="67"/>
      <c r="BC225" s="67">
        <v>128650157</v>
      </c>
      <c r="BD225" s="67"/>
      <c r="BE225" s="67">
        <f t="shared" si="201"/>
        <v>63663</v>
      </c>
      <c r="BF225" s="67"/>
      <c r="BG225" s="156">
        <f t="shared" si="202"/>
        <v>7.8087187117079876E-2</v>
      </c>
      <c r="BH225" s="67"/>
      <c r="BI225" s="183"/>
      <c r="BJ225" s="67"/>
      <c r="BK225" s="67">
        <f t="shared" si="203"/>
        <v>7083019</v>
      </c>
      <c r="BL225" s="67"/>
      <c r="BM225" s="156">
        <f t="shared" si="204"/>
        <v>5.9303949347022787E-2</v>
      </c>
      <c r="BN225" s="66">
        <f t="shared" si="205"/>
        <v>595602.57870370371</v>
      </c>
      <c r="BO225" s="67"/>
      <c r="BP225" s="67">
        <f t="shared" si="206"/>
        <v>8226420</v>
      </c>
      <c r="BQ225" s="67"/>
      <c r="BR225" s="478">
        <f t="shared" si="207"/>
        <v>6.3944111626696262E-2</v>
      </c>
      <c r="BS225" s="67"/>
      <c r="BT225" s="86"/>
      <c r="BU225" s="183"/>
      <c r="BV225" s="1"/>
      <c r="BW225" s="61">
        <f t="shared" si="186"/>
        <v>216</v>
      </c>
    </row>
    <row r="226" spans="2:75" x14ac:dyDescent="0.3">
      <c r="B226" s="171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8643368</v>
      </c>
      <c r="I226" s="16"/>
      <c r="J226" s="479">
        <f t="shared" si="188"/>
        <v>8.6708389606476415E-3</v>
      </c>
      <c r="K226" s="16"/>
      <c r="L226" s="16"/>
      <c r="M226" s="16"/>
      <c r="N226" s="16">
        <f t="shared" si="189"/>
        <v>428223</v>
      </c>
      <c r="O226" s="16">
        <f t="shared" si="190"/>
        <v>39831.188940092165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228304</v>
      </c>
      <c r="AB226" s="33"/>
      <c r="AC226" s="46">
        <f t="shared" si="192"/>
        <v>2.6413777592253392E-2</v>
      </c>
      <c r="AD226" s="33"/>
      <c r="AE226" s="33">
        <f t="shared" si="193"/>
        <v>1052.0921658986176</v>
      </c>
      <c r="AF226" s="50"/>
      <c r="AG226" s="33">
        <f t="shared" si="194"/>
        <v>5606</v>
      </c>
      <c r="AH226" s="33">
        <f>SUM(D197:D392)</f>
        <v>795396650.34662843</v>
      </c>
      <c r="AI226" s="231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197"/>
        <v>9.4937341533092145E-3</v>
      </c>
      <c r="AS226" s="25"/>
      <c r="AT226" s="25"/>
      <c r="AU226" s="24"/>
      <c r="AV226" s="341">
        <f t="shared" si="198"/>
        <v>0.65429367348468792</v>
      </c>
      <c r="AW226" s="341"/>
      <c r="AX226" s="24">
        <f t="shared" si="199"/>
        <v>26061.294930875578</v>
      </c>
      <c r="AY226" s="351"/>
      <c r="AZ226" s="10"/>
      <c r="BA226" s="66">
        <f t="shared" si="200"/>
        <v>1154411</v>
      </c>
      <c r="BB226" s="67"/>
      <c r="BC226" s="67">
        <v>129804568</v>
      </c>
      <c r="BD226" s="67"/>
      <c r="BE226" s="67">
        <f t="shared" si="201"/>
        <v>74301</v>
      </c>
      <c r="BF226" s="67"/>
      <c r="BG226" s="156">
        <f t="shared" si="202"/>
        <v>6.4362692316687897E-2</v>
      </c>
      <c r="BH226" s="67"/>
      <c r="BI226" s="183"/>
      <c r="BJ226" s="67"/>
      <c r="BK226" s="67">
        <f t="shared" si="203"/>
        <v>7109220</v>
      </c>
      <c r="BL226" s="67"/>
      <c r="BM226" s="156">
        <f t="shared" si="204"/>
        <v>6.0234878087891498E-2</v>
      </c>
      <c r="BN226" s="66">
        <f t="shared" si="205"/>
        <v>598177.73271889403</v>
      </c>
      <c r="BO226" s="67"/>
      <c r="BP226" s="67">
        <f t="shared" si="206"/>
        <v>8300721</v>
      </c>
      <c r="BQ226" s="67"/>
      <c r="BR226" s="478">
        <f t="shared" si="207"/>
        <v>6.3947834254954719E-2</v>
      </c>
      <c r="BS226" s="67"/>
      <c r="BT226" s="86"/>
      <c r="BU226" s="183"/>
      <c r="BV226" s="1"/>
      <c r="BW226" s="61">
        <f t="shared" si="186"/>
        <v>217</v>
      </c>
    </row>
    <row r="227" spans="2:75" x14ac:dyDescent="0.3">
      <c r="B227" s="171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8724782</v>
      </c>
      <c r="I227" s="16"/>
      <c r="J227" s="479">
        <f t="shared" si="188"/>
        <v>9.4192449054581497E-3</v>
      </c>
      <c r="K227" s="16"/>
      <c r="L227" s="16"/>
      <c r="M227" s="16"/>
      <c r="N227" s="16">
        <f t="shared" si="189"/>
        <v>437950</v>
      </c>
      <c r="O227" s="16">
        <f t="shared" si="190"/>
        <v>40021.935779816515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229207</v>
      </c>
      <c r="AB227" s="33"/>
      <c r="AC227" s="46">
        <f t="shared" si="192"/>
        <v>2.627079966009466E-2</v>
      </c>
      <c r="AD227" s="33"/>
      <c r="AE227" s="33">
        <f t="shared" si="193"/>
        <v>1051.4082568807339</v>
      </c>
      <c r="AF227" s="50"/>
      <c r="AG227" s="33">
        <f t="shared" si="194"/>
        <v>5581</v>
      </c>
      <c r="AH227" s="33">
        <f>SUM(D198:D393)</f>
        <v>795355034.34662843</v>
      </c>
      <c r="AI227" s="231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197"/>
        <v>7.5787301153378041E-3</v>
      </c>
      <c r="AS227" s="25"/>
      <c r="AT227" s="25"/>
      <c r="AU227" s="24"/>
      <c r="AV227" s="341">
        <f t="shared" si="198"/>
        <v>0.65310067346095291</v>
      </c>
      <c r="AW227" s="341"/>
      <c r="AX227" s="24">
        <f t="shared" si="199"/>
        <v>26138.353211009173</v>
      </c>
      <c r="AY227" s="351"/>
      <c r="AZ227" s="10"/>
      <c r="BA227" s="66">
        <f t="shared" si="200"/>
        <v>1252145</v>
      </c>
      <c r="BB227" s="67"/>
      <c r="BC227" s="67">
        <v>131056713</v>
      </c>
      <c r="BD227" s="67"/>
      <c r="BE227" s="67">
        <f t="shared" si="201"/>
        <v>81414</v>
      </c>
      <c r="BF227" s="67"/>
      <c r="BG227" s="156">
        <f t="shared" si="202"/>
        <v>6.501962632123276E-2</v>
      </c>
      <c r="BH227" s="67"/>
      <c r="BI227" s="183"/>
      <c r="BJ227" s="67"/>
      <c r="BK227" s="67">
        <f t="shared" si="203"/>
        <v>7320266</v>
      </c>
      <c r="BL227" s="67"/>
      <c r="BM227" s="156">
        <f t="shared" si="204"/>
        <v>5.9827060929206671E-2</v>
      </c>
      <c r="BN227" s="66">
        <f t="shared" si="205"/>
        <v>601177.58256880729</v>
      </c>
      <c r="BO227" s="67"/>
      <c r="BP227" s="67">
        <f t="shared" si="206"/>
        <v>8382135</v>
      </c>
      <c r="BQ227" s="67"/>
      <c r="BR227" s="478">
        <f t="shared" si="207"/>
        <v>6.3958074394861411E-2</v>
      </c>
      <c r="BS227" s="67"/>
      <c r="BT227" s="86"/>
      <c r="BU227" s="183"/>
      <c r="BV227" s="1"/>
      <c r="BW227" s="61">
        <f t="shared" si="186"/>
        <v>218</v>
      </c>
    </row>
    <row r="228" spans="2:75" x14ac:dyDescent="0.3">
      <c r="B228" s="171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8804231</v>
      </c>
      <c r="I228" s="16"/>
      <c r="J228" s="479">
        <f t="shared" si="188"/>
        <v>9.1061301015887847E-3</v>
      </c>
      <c r="K228" s="16"/>
      <c r="L228" s="16"/>
      <c r="M228" s="16"/>
      <c r="N228" s="16">
        <f t="shared" si="189"/>
        <v>463167</v>
      </c>
      <c r="O228" s="16">
        <f t="shared" si="190"/>
        <v>40201.968036529681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229991</v>
      </c>
      <c r="AB228" s="33"/>
      <c r="AC228" s="46">
        <f t="shared" si="192"/>
        <v>2.6122781194632443E-2</v>
      </c>
      <c r="AD228" s="33"/>
      <c r="AE228" s="33">
        <f t="shared" si="193"/>
        <v>1050.1872146118722</v>
      </c>
      <c r="AF228" s="50"/>
      <c r="AG228" s="33">
        <f t="shared" si="194"/>
        <v>5727</v>
      </c>
      <c r="AH228" s="33">
        <f>SUM(D199:D394)</f>
        <v>795309679.34662843</v>
      </c>
      <c r="AI228" s="231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197"/>
        <v>7.625267169530661E-3</v>
      </c>
      <c r="AS228" s="25"/>
      <c r="AT228" s="25"/>
      <c r="AU228" s="24"/>
      <c r="AV228" s="341">
        <f t="shared" si="198"/>
        <v>0.65214224842578528</v>
      </c>
      <c r="AW228" s="341"/>
      <c r="AX228" s="24">
        <f t="shared" si="199"/>
        <v>26217.40182648402</v>
      </c>
      <c r="AY228" s="351"/>
      <c r="AZ228" s="10"/>
      <c r="BA228" s="66">
        <f t="shared" si="200"/>
        <v>1151780</v>
      </c>
      <c r="BB228" s="67"/>
      <c r="BC228" s="67">
        <v>132208493</v>
      </c>
      <c r="BD228" s="67"/>
      <c r="BE228" s="67">
        <f t="shared" si="201"/>
        <v>79449</v>
      </c>
      <c r="BF228" s="67"/>
      <c r="BG228" s="156">
        <f t="shared" si="202"/>
        <v>6.8979318967163875E-2</v>
      </c>
      <c r="BH228" s="67"/>
      <c r="BI228" s="183"/>
      <c r="BJ228" s="67"/>
      <c r="BK228" s="67">
        <f t="shared" si="203"/>
        <v>7415825</v>
      </c>
      <c r="BL228" s="67"/>
      <c r="BM228" s="156">
        <f t="shared" si="204"/>
        <v>6.2456570914227343E-2</v>
      </c>
      <c r="BN228" s="66">
        <f t="shared" si="205"/>
        <v>603691.74885844754</v>
      </c>
      <c r="BO228" s="67"/>
      <c r="BP228" s="67">
        <f t="shared" si="206"/>
        <v>8461584</v>
      </c>
      <c r="BQ228" s="67"/>
      <c r="BR228" s="478">
        <f t="shared" si="207"/>
        <v>6.4001818703129765E-2</v>
      </c>
      <c r="BS228" s="67"/>
      <c r="BT228" s="86"/>
      <c r="BU228" s="183"/>
      <c r="BV228" s="1"/>
      <c r="BW228" s="61">
        <f t="shared" si="186"/>
        <v>219</v>
      </c>
    </row>
    <row r="229" spans="2:75" x14ac:dyDescent="0.3">
      <c r="B229" s="390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8865120</v>
      </c>
      <c r="I229" s="16"/>
      <c r="J229" s="479">
        <f t="shared" si="188"/>
        <v>6.9158794220642323E-3</v>
      </c>
      <c r="K229" s="16"/>
      <c r="L229" s="16"/>
      <c r="M229" s="16"/>
      <c r="N229" s="16">
        <f t="shared" si="189"/>
        <v>479115</v>
      </c>
      <c r="O229" s="16">
        <f t="shared" si="190"/>
        <v>40296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1"/>
        <v>230433</v>
      </c>
      <c r="AB229" s="33"/>
      <c r="AC229" s="46">
        <f t="shared" si="192"/>
        <v>2.5993218365910443E-2</v>
      </c>
      <c r="AD229" s="33"/>
      <c r="AE229" s="33">
        <f t="shared" si="193"/>
        <v>1047.4227272727273</v>
      </c>
      <c r="AF229" s="50"/>
      <c r="AG229" s="33">
        <f t="shared" si="194"/>
        <v>5721</v>
      </c>
      <c r="AH229" s="33">
        <f>SUM(D200:D395)</f>
        <v>795256050.34662843</v>
      </c>
      <c r="AI229" s="231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197"/>
        <v>5.379500631442987E-3</v>
      </c>
      <c r="AS229" s="25"/>
      <c r="AT229" s="25"/>
      <c r="AU229" s="24"/>
      <c r="AV229" s="341">
        <f t="shared" si="198"/>
        <v>0.6511471925929937</v>
      </c>
      <c r="AW229" s="341"/>
      <c r="AX229" s="24">
        <f t="shared" si="199"/>
        <v>26238.627272727274</v>
      </c>
      <c r="AY229" s="351"/>
      <c r="AZ229" s="391"/>
      <c r="BA229" s="66">
        <f t="shared" si="200"/>
        <v>1020835</v>
      </c>
      <c r="BB229" s="67"/>
      <c r="BC229" s="67">
        <v>133229328</v>
      </c>
      <c r="BD229" s="67"/>
      <c r="BE229" s="67">
        <f t="shared" si="201"/>
        <v>60889</v>
      </c>
      <c r="BF229" s="67"/>
      <c r="BG229" s="156">
        <f t="shared" si="202"/>
        <v>5.964626996527353E-2</v>
      </c>
      <c r="BH229" s="67"/>
      <c r="BI229" s="183"/>
      <c r="BJ229" s="67"/>
      <c r="BK229" s="67">
        <f t="shared" si="203"/>
        <v>7545447</v>
      </c>
      <c r="BL229" s="67"/>
      <c r="BM229" s="156">
        <f t="shared" si="204"/>
        <v>6.349723217193097E-2</v>
      </c>
      <c r="BN229" s="66">
        <f t="shared" si="205"/>
        <v>605587.85454545449</v>
      </c>
      <c r="BO229" s="67"/>
      <c r="BP229" s="67">
        <f t="shared" si="206"/>
        <v>8522473</v>
      </c>
      <c r="BQ229" s="67"/>
      <c r="BR229" s="478">
        <f t="shared" si="207"/>
        <v>6.3968445446185837E-2</v>
      </c>
      <c r="BS229" s="67"/>
      <c r="BT229" s="86"/>
      <c r="BU229" s="183"/>
      <c r="BV229" s="1"/>
      <c r="BW229" s="61">
        <f t="shared" si="186"/>
        <v>220</v>
      </c>
    </row>
    <row r="230" spans="2:75" x14ac:dyDescent="0.3">
      <c r="B230" s="171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" si="208">+H229+D230</f>
        <v>8934961</v>
      </c>
      <c r="I230" s="16"/>
      <c r="J230" s="479">
        <f t="shared" ref="J230" si="209">+D230/H229</f>
        <v>7.8781787499774391E-3</v>
      </c>
      <c r="K230" s="16"/>
      <c r="L230" s="16"/>
      <c r="M230" s="16"/>
      <c r="N230" s="16">
        <f t="shared" ref="N230" si="210">SUM(D224:D230)</f>
        <v>491629</v>
      </c>
      <c r="O230" s="16">
        <f t="shared" ref="O230" si="211">+H230/BW230</f>
        <v>40429.687782805428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2">+AA229+W230</f>
        <v>230962</v>
      </c>
      <c r="AB230" s="33"/>
      <c r="AC230" s="46">
        <f t="shared" ref="AC230" si="213">+AA230/H230</f>
        <v>2.5849245452778138E-2</v>
      </c>
      <c r="AD230" s="33"/>
      <c r="AE230" s="33">
        <f t="shared" ref="AE230" si="214">+AA230/BW230</f>
        <v>1045.0769230769231</v>
      </c>
      <c r="AF230" s="50"/>
      <c r="AG230" s="33">
        <f t="shared" ref="AG230" si="215">SUM(W224:W230)</f>
        <v>5808</v>
      </c>
      <c r="AH230" s="33">
        <f>SUM(D201:D396)</f>
        <v>795212844.34662843</v>
      </c>
      <c r="AI230" s="231">
        <f t="shared" ref="AI230" si="216">+(AG230-AG223)/AG223</f>
        <v>0.12930196383433792</v>
      </c>
      <c r="AJ230" s="50"/>
      <c r="AK230" s="10"/>
      <c r="AL230" s="23">
        <f t="shared" ref="AL230" si="217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18">+AL230/AP229</f>
        <v>1.0623823516266269E-2</v>
      </c>
      <c r="AS230" s="25"/>
      <c r="AT230" s="25"/>
      <c r="AU230" s="24"/>
      <c r="AV230" s="341">
        <f t="shared" ref="AV230" si="219">+AP230/H230</f>
        <v>0.65292103681258373</v>
      </c>
      <c r="AW230" s="341"/>
      <c r="AX230" s="24">
        <f t="shared" ref="AX230" si="220">+AP230/BW230</f>
        <v>26397.393665158372</v>
      </c>
      <c r="AY230" s="351"/>
      <c r="AZ230" s="10"/>
      <c r="BA230" s="66">
        <f t="shared" ref="BA230" si="221">+BC230-BC229</f>
        <v>1246764</v>
      </c>
      <c r="BB230" s="67"/>
      <c r="BC230" s="67">
        <v>134476092</v>
      </c>
      <c r="BD230" s="67"/>
      <c r="BE230" s="67">
        <f t="shared" ref="BE230" si="222">+D230</f>
        <v>69841</v>
      </c>
      <c r="BF230" s="67"/>
      <c r="BG230" s="156">
        <f t="shared" ref="BG230" si="223">+BE230/BA230</f>
        <v>5.6017818929645066E-2</v>
      </c>
      <c r="BH230" s="67"/>
      <c r="BI230" s="183"/>
      <c r="BJ230" s="67"/>
      <c r="BK230" s="67">
        <f t="shared" ref="BK230" si="224">SUM(BA224:BA230)</f>
        <v>7418985</v>
      </c>
      <c r="BL230" s="67"/>
      <c r="BM230" s="156">
        <f t="shared" ref="BM230" si="225">+Q230/BK230</f>
        <v>6.6266342363544339E-2</v>
      </c>
      <c r="BN230" s="66">
        <f t="shared" ref="BN230" si="226">+BC230/BW230</f>
        <v>608489.10407239816</v>
      </c>
      <c r="BO230" s="67"/>
      <c r="BP230" s="67">
        <f t="shared" ref="BP230" si="227">+BP229+BE230</f>
        <v>8592314</v>
      </c>
      <c r="BQ230" s="67"/>
      <c r="BR230" s="478">
        <f t="shared" ref="BR230" si="228">+BP230/BC230</f>
        <v>6.3894733050392338E-2</v>
      </c>
      <c r="BS230" s="67"/>
      <c r="BT230" s="86"/>
      <c r="BU230" s="183"/>
      <c r="BV230" s="1"/>
      <c r="BW230" s="61">
        <f t="shared" si="186"/>
        <v>221</v>
      </c>
    </row>
    <row r="231" spans="2:75" x14ac:dyDescent="0.3">
      <c r="B231" s="171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ref="H231" si="229">+H230+D231</f>
        <v>9010033</v>
      </c>
      <c r="I231" s="16"/>
      <c r="J231" s="479">
        <f t="shared" ref="J231" si="230">+D231/H230</f>
        <v>8.4020512232789828E-3</v>
      </c>
      <c r="K231" s="16"/>
      <c r="L231" s="16"/>
      <c r="M231" s="16"/>
      <c r="N231" s="16">
        <f t="shared" ref="N231" si="231">SUM(D225:D231)</f>
        <v>504629</v>
      </c>
      <c r="O231" s="16">
        <f t="shared" ref="O231" si="232">+H231/BW231</f>
        <v>40585.734234234231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3">+AA230+W231</f>
        <v>232001</v>
      </c>
      <c r="AB231" s="33"/>
      <c r="AC231" s="46">
        <f t="shared" ref="AC231" si="234">+AA231/H231</f>
        <v>2.5749184270468267E-2</v>
      </c>
      <c r="AD231" s="33"/>
      <c r="AE231" s="33">
        <f t="shared" ref="AE231" si="235">+AA231/BW231</f>
        <v>1045.0495495495495</v>
      </c>
      <c r="AF231" s="50"/>
      <c r="AG231" s="33">
        <f t="shared" ref="AG231" si="236">SUM(W225:W231)</f>
        <v>5895</v>
      </c>
      <c r="AH231" s="33">
        <f>SUM(D202:D397)</f>
        <v>795179062.34662843</v>
      </c>
      <c r="AI231" s="231">
        <f t="shared" ref="AI231" si="237">+(AG231-AG224)/AG224</f>
        <v>0.12242955064737243</v>
      </c>
      <c r="AJ231" s="50"/>
      <c r="AK231" s="10"/>
      <c r="AL231" s="23">
        <f t="shared" ref="AL231" si="238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39">+AL231/AP230</f>
        <v>7.5662207156060928E-3</v>
      </c>
      <c r="AS231" s="25"/>
      <c r="AT231" s="25"/>
      <c r="AU231" s="24"/>
      <c r="AV231" s="341">
        <f t="shared" ref="AV231" si="240">+AP231/H231</f>
        <v>0.65237985254881969</v>
      </c>
      <c r="AW231" s="341"/>
      <c r="AX231" s="24">
        <f t="shared" ref="AX231" si="241">+AP231/BW231</f>
        <v>26477.315315315314</v>
      </c>
      <c r="AY231" s="351"/>
      <c r="AZ231" s="10"/>
      <c r="BA231" s="66">
        <f t="shared" ref="BA231" si="242">+BC231-BC230</f>
        <v>948841</v>
      </c>
      <c r="BB231" s="67"/>
      <c r="BC231" s="67">
        <v>135424933</v>
      </c>
      <c r="BD231" s="67"/>
      <c r="BE231" s="67">
        <f t="shared" ref="BE231" si="243">+D231</f>
        <v>75072</v>
      </c>
      <c r="BF231" s="67"/>
      <c r="BG231" s="156">
        <f t="shared" ref="BG231" si="244">+BE231/BA231</f>
        <v>7.9119683909105953E-2</v>
      </c>
      <c r="BH231" s="67"/>
      <c r="BI231" s="183"/>
      <c r="BJ231" s="67"/>
      <c r="BK231" s="67">
        <f t="shared" ref="BK231" si="245">SUM(BA225:BA231)</f>
        <v>7590057</v>
      </c>
      <c r="BL231" s="67"/>
      <c r="BM231" s="156">
        <f t="shared" ref="BM231" si="246">+Q231/BK231</f>
        <v>6.6485534957115608E-2</v>
      </c>
      <c r="BN231" s="66">
        <f t="shared" ref="BN231" si="247">+BC231/BW231</f>
        <v>610022.22072072071</v>
      </c>
      <c r="BO231" s="67"/>
      <c r="BP231" s="67">
        <f t="shared" ref="BP231" si="248">+BP230+BE231</f>
        <v>8667386</v>
      </c>
      <c r="BQ231" s="67"/>
      <c r="BR231" s="478">
        <f t="shared" ref="BR231" si="249">+BP231/BC231</f>
        <v>6.4001405117918728E-2</v>
      </c>
      <c r="BS231" s="67"/>
      <c r="BT231" s="86"/>
      <c r="BU231" s="183"/>
      <c r="BV231" s="1"/>
      <c r="BW231" s="61">
        <f t="shared" si="186"/>
        <v>222</v>
      </c>
    </row>
    <row r="232" spans="2:75" x14ac:dyDescent="0.3">
      <c r="B232" s="171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ref="H232" si="250">+H231+D232</f>
        <v>9091614</v>
      </c>
      <c r="I232" s="16"/>
      <c r="J232" s="479">
        <f t="shared" ref="J232" si="251">+D232/H231</f>
        <v>9.0544618427035733E-3</v>
      </c>
      <c r="K232" s="16"/>
      <c r="L232" s="16"/>
      <c r="M232" s="16"/>
      <c r="N232" s="16">
        <f t="shared" ref="N232" si="252">SUM(D226:D232)</f>
        <v>522547</v>
      </c>
      <c r="O232" s="16">
        <f t="shared" ref="O232" si="253">+H232/BW232</f>
        <v>40769.569506726461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4">+AA231+W232</f>
        <v>233031</v>
      </c>
      <c r="AB232" s="33"/>
      <c r="AC232" s="46">
        <f t="shared" ref="AC232" si="255">+AA232/H232</f>
        <v>2.5631422539496289E-2</v>
      </c>
      <c r="AD232" s="33"/>
      <c r="AE232" s="33">
        <f t="shared" ref="AE232" si="256">+AA232/BW232</f>
        <v>1044.982062780269</v>
      </c>
      <c r="AF232" s="50"/>
      <c r="AG232" s="33">
        <f t="shared" ref="AG232" si="257">SUM(W226:W232)</f>
        <v>5700</v>
      </c>
      <c r="AH232" s="33">
        <f>SUM(D203:D398)</f>
        <v>795141644.34662843</v>
      </c>
      <c r="AI232" s="231">
        <f t="shared" ref="AI232" si="258">+(AG232-AG225)/AG225</f>
        <v>3.5046304703105137E-2</v>
      </c>
      <c r="AJ232" s="50"/>
      <c r="AK232" s="10"/>
      <c r="AL232" s="23">
        <f t="shared" ref="AL232" si="259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0">+AL232/AP231</f>
        <v>9.3991729108922756E-3</v>
      </c>
      <c r="AS232" s="25"/>
      <c r="AT232" s="25"/>
      <c r="AU232" s="24"/>
      <c r="AV232" s="341">
        <f t="shared" ref="AV232" si="261">+AP232/H232</f>
        <v>0.65260271718530949</v>
      </c>
      <c r="AW232" s="341"/>
      <c r="AX232" s="24">
        <f t="shared" ref="AX232" si="262">+AP232/BW232</f>
        <v>26606.331838565024</v>
      </c>
      <c r="AY232" s="351"/>
      <c r="AZ232" s="10"/>
      <c r="BA232" s="66">
        <f t="shared" ref="BA232" si="263">+BC232-BC231</f>
        <v>4769881</v>
      </c>
      <c r="BB232" s="67"/>
      <c r="BC232" s="67">
        <v>140194814</v>
      </c>
      <c r="BD232" s="67"/>
      <c r="BE232" s="67">
        <f t="shared" ref="BE232" si="264">+D232</f>
        <v>81581</v>
      </c>
      <c r="BF232" s="67"/>
      <c r="BG232" s="156">
        <f t="shared" ref="BG232" si="265">+BE232/BA232</f>
        <v>1.710336169812203E-2</v>
      </c>
      <c r="BH232" s="67"/>
      <c r="BI232" s="183"/>
      <c r="BJ232" s="67"/>
      <c r="BK232" s="67">
        <f t="shared" ref="BK232" si="266">SUM(BA226:BA232)</f>
        <v>11544657</v>
      </c>
      <c r="BL232" s="67"/>
      <c r="BM232" s="156">
        <f t="shared" ref="BM232" si="267">+Q232/BK232</f>
        <v>4.5263103096090253E-2</v>
      </c>
      <c r="BN232" s="66">
        <f t="shared" ref="BN232" si="268">+BC232/BW232</f>
        <v>628676.29596412554</v>
      </c>
      <c r="BO232" s="67"/>
      <c r="BP232" s="67">
        <f t="shared" ref="BP232" si="269">+BP231+BE232</f>
        <v>8748967</v>
      </c>
      <c r="BQ232" s="67"/>
      <c r="BR232" s="478">
        <f t="shared" ref="BR232" si="270">+BP232/BC232</f>
        <v>6.2405781999896229E-2</v>
      </c>
      <c r="BS232" s="67"/>
      <c r="BT232" s="86"/>
      <c r="BU232" s="183"/>
      <c r="BV232" s="1"/>
      <c r="BW232" s="61">
        <f t="shared" si="186"/>
        <v>223</v>
      </c>
    </row>
    <row r="233" spans="2:75" x14ac:dyDescent="0.3">
      <c r="B233" s="171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ref="H233" si="271">+H232+D233</f>
        <v>9183144</v>
      </c>
      <c r="I233" s="16"/>
      <c r="J233" s="479">
        <f t="shared" ref="J233" si="272">+D233/H232</f>
        <v>1.0067519364548473E-2</v>
      </c>
      <c r="K233" s="16"/>
      <c r="L233" s="16"/>
      <c r="M233" s="16"/>
      <c r="N233" s="16">
        <f t="shared" ref="N233" si="273">SUM(D227:D233)</f>
        <v>539776</v>
      </c>
      <c r="O233" s="16">
        <f t="shared" ref="O233" si="274">+H233/BW233</f>
        <v>40996.178571428572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5">+AA232+W233</f>
        <v>234078</v>
      </c>
      <c r="AB233" s="33"/>
      <c r="AC233" s="46">
        <f t="shared" ref="AC233" si="276">+AA233/H233</f>
        <v>2.5489962914661907E-2</v>
      </c>
      <c r="AD233" s="33"/>
      <c r="AE233" s="33">
        <f t="shared" ref="AE233" si="277">+AA233/BW233</f>
        <v>1044.9910714285713</v>
      </c>
      <c r="AF233" s="50"/>
      <c r="AG233" s="33">
        <f t="shared" ref="AG233" si="278">SUM(W227:W233)</f>
        <v>5774</v>
      </c>
      <c r="AH233" s="33">
        <f t="shared" ref="AH233" si="279">SUM(D204:D399)</f>
        <v>795097417.34662843</v>
      </c>
      <c r="AI233" s="231">
        <f t="shared" ref="AI233" si="280">+(AG233-AG226)/AG226</f>
        <v>2.9967891544773455E-2</v>
      </c>
      <c r="AJ233" s="50"/>
      <c r="AK233" s="10"/>
      <c r="AL233" s="23">
        <f t="shared" ref="AL233" si="281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2">+AL233/AP232</f>
        <v>8.449554811120856E-3</v>
      </c>
      <c r="AS233" s="25"/>
      <c r="AT233" s="25"/>
      <c r="AU233" s="24"/>
      <c r="AV233" s="341">
        <f t="shared" ref="AV233" si="283">+AP233/H233</f>
        <v>0.65155735334216691</v>
      </c>
      <c r="AW233" s="341"/>
      <c r="AX233" s="24">
        <f t="shared" ref="AX233" si="284">+AP233/BW233</f>
        <v>26711.361607142859</v>
      </c>
      <c r="AY233" s="351"/>
      <c r="AZ233" s="10"/>
      <c r="BA233" s="66">
        <f t="shared" ref="BA233" si="285">+BC233-BC232</f>
        <v>1474514</v>
      </c>
      <c r="BB233" s="67"/>
      <c r="BC233" s="67">
        <v>141669328</v>
      </c>
      <c r="BD233" s="67"/>
      <c r="BE233" s="67">
        <f t="shared" ref="BE233" si="286">+D233</f>
        <v>91530</v>
      </c>
      <c r="BF233" s="67"/>
      <c r="BG233" s="156">
        <f t="shared" ref="BG233" si="287">+BE233/BA233</f>
        <v>6.2074690372556654E-2</v>
      </c>
      <c r="BH233" s="67"/>
      <c r="BI233" s="183"/>
      <c r="BJ233" s="67"/>
      <c r="BK233" s="67">
        <f t="shared" ref="BK233" si="288">SUM(BA227:BA233)</f>
        <v>11864760</v>
      </c>
      <c r="BL233" s="67"/>
      <c r="BM233" s="156">
        <f t="shared" ref="BM233" si="289">+Q233/BK233</f>
        <v>4.5494051291387269E-2</v>
      </c>
      <c r="BN233" s="66">
        <f t="shared" ref="BN233" si="290">+BC233/BW233</f>
        <v>632452.35714285716</v>
      </c>
      <c r="BO233" s="67"/>
      <c r="BP233" s="67">
        <f t="shared" ref="BP233" si="291">+BP232+BE233</f>
        <v>8840497</v>
      </c>
      <c r="BQ233" s="67"/>
      <c r="BR233" s="478">
        <f t="shared" ref="BR233" si="292">+BP233/BC233</f>
        <v>6.2402335952352367E-2</v>
      </c>
      <c r="BS233" s="67"/>
      <c r="BT233" s="86"/>
      <c r="BU233" s="183"/>
      <c r="BV233" s="1"/>
      <c r="BW233" s="61">
        <f t="shared" si="186"/>
        <v>224</v>
      </c>
    </row>
    <row r="234" spans="2:75" x14ac:dyDescent="0.3">
      <c r="B234" s="171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ref="H234" si="293">+H233+D234</f>
        <v>9284605</v>
      </c>
      <c r="I234" s="16"/>
      <c r="J234" s="479">
        <f t="shared" ref="J234" si="294">+D234/H233</f>
        <v>1.1048612544897477E-2</v>
      </c>
      <c r="K234" s="16"/>
      <c r="L234" s="16"/>
      <c r="M234" s="16"/>
      <c r="N234" s="16">
        <f t="shared" ref="N234" si="295">SUM(D228:D234)</f>
        <v>559823</v>
      </c>
      <c r="O234" s="16">
        <f t="shared" ref="O234" si="296">+H234/BW234</f>
        <v>41264.911111111112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297">+AA233+W234</f>
        <v>235066</v>
      </c>
      <c r="AB234" s="33"/>
      <c r="AC234" s="46">
        <f t="shared" ref="AC234" si="298">+AA234/H234</f>
        <v>2.5317824506266018E-2</v>
      </c>
      <c r="AD234" s="33"/>
      <c r="AE234" s="33">
        <f t="shared" ref="AE234" si="299">+AA234/BW234</f>
        <v>1044.7377777777779</v>
      </c>
      <c r="AF234" s="50"/>
      <c r="AG234" s="33">
        <f t="shared" ref="AG234" si="300">SUM(W228:W234)</f>
        <v>5859</v>
      </c>
      <c r="AH234" s="33">
        <f t="shared" ref="AH234" si="301">SUM(D205:D400)</f>
        <v>795056488.34662843</v>
      </c>
      <c r="AI234" s="231">
        <f t="shared" ref="AI234" si="302">+(AG234-AG227)/AG227</f>
        <v>4.9811861673535206E-2</v>
      </c>
      <c r="AJ234" s="50"/>
      <c r="AK234" s="10"/>
      <c r="AL234" s="23">
        <f t="shared" ref="AL234" si="303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4">+AL234/AP233</f>
        <v>6.8802651359732726E-3</v>
      </c>
      <c r="AS234" s="25"/>
      <c r="AT234" s="25"/>
      <c r="AU234" s="24"/>
      <c r="AV234" s="341">
        <f t="shared" ref="AV234" si="305">+AP234/H234</f>
        <v>0.64887111514167806</v>
      </c>
      <c r="AW234" s="341"/>
      <c r="AX234" s="24">
        <f t="shared" ref="AX234" si="306">+AP234/BW234</f>
        <v>26775.608888888888</v>
      </c>
      <c r="AY234" s="351"/>
      <c r="AZ234" s="10"/>
      <c r="BA234" s="66">
        <f t="shared" ref="BA234" si="307">+BC234-BC233</f>
        <v>1281025</v>
      </c>
      <c r="BB234" s="67"/>
      <c r="BC234" s="67">
        <v>142950353</v>
      </c>
      <c r="BD234" s="67"/>
      <c r="BE234" s="67">
        <f t="shared" ref="BE234" si="308">+D234</f>
        <v>101461</v>
      </c>
      <c r="BF234" s="67"/>
      <c r="BG234" s="156">
        <f t="shared" ref="BG234" si="309">+BE234/BA234</f>
        <v>7.9202981987080659E-2</v>
      </c>
      <c r="BH234" s="67"/>
      <c r="BI234" s="183"/>
      <c r="BJ234" s="67"/>
      <c r="BK234" s="67">
        <f t="shared" ref="BK234" si="310">SUM(BA228:BA234)</f>
        <v>11893640</v>
      </c>
      <c r="BL234" s="67"/>
      <c r="BM234" s="156">
        <f t="shared" ref="BM234" si="311">+Q234/BK234</f>
        <v>4.7069105841441305E-2</v>
      </c>
      <c r="BN234" s="66">
        <f t="shared" ref="BN234" si="312">+BC234/BW234</f>
        <v>635334.90222222218</v>
      </c>
      <c r="BO234" s="67"/>
      <c r="BP234" s="67">
        <f t="shared" ref="BP234" si="313">+BP233+BE234</f>
        <v>8941958</v>
      </c>
      <c r="BQ234" s="67"/>
      <c r="BR234" s="478">
        <f t="shared" ref="BR234" si="314">+BP234/BC234</f>
        <v>6.2552892051969955E-2</v>
      </c>
      <c r="BS234" s="67"/>
      <c r="BT234" s="86"/>
      <c r="BU234" s="183"/>
      <c r="BV234" s="1"/>
      <c r="BW234" s="61">
        <f t="shared" si="186"/>
        <v>225</v>
      </c>
    </row>
    <row r="235" spans="2:75" x14ac:dyDescent="0.3">
      <c r="B235" s="171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ref="H235" si="315">+H234+D235</f>
        <v>9370898</v>
      </c>
      <c r="I235" s="16"/>
      <c r="J235" s="479">
        <f t="shared" ref="J235" si="316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17">+H235/BW235</f>
        <v>41464.150442477876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18">+AA234+W235</f>
        <v>235980</v>
      </c>
      <c r="AB235" s="33"/>
      <c r="AC235" s="46">
        <f t="shared" ref="AC235" si="319">+AA235/H235</f>
        <v>2.5182218395718318E-2</v>
      </c>
      <c r="AD235" s="33"/>
      <c r="AE235" s="33">
        <f t="shared" ref="AE235" si="320">+AA235/BW235</f>
        <v>1044.1592920353983</v>
      </c>
      <c r="AF235" s="50"/>
      <c r="AG235" s="33">
        <f t="shared" ref="AG235" si="321">SUM(W229:W235)</f>
        <v>5989</v>
      </c>
      <c r="AH235" s="33">
        <f t="shared" ref="AH235" si="322">SUM(D206:D401)</f>
        <v>795009099.34662843</v>
      </c>
      <c r="AI235" s="231">
        <f t="shared" ref="AI235" si="323">+(AG235-AG228)/AG228</f>
        <v>4.5748210232233279E-2</v>
      </c>
      <c r="AJ235" s="50"/>
      <c r="AK235" s="10"/>
      <c r="AL235" s="23">
        <f t="shared" ref="AL235" si="324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5">+AL235/AP234</f>
        <v>6.2952816759266148E-3</v>
      </c>
      <c r="AS235" s="25"/>
      <c r="AT235" s="25"/>
      <c r="AU235" s="24"/>
      <c r="AV235" s="341">
        <f t="shared" ref="AV235" si="326">+AP235/H235</f>
        <v>0.6469431211395108</v>
      </c>
      <c r="AW235" s="341"/>
      <c r="AX235" s="24">
        <f t="shared" ref="AX235" si="327">+AP235/BW235</f>
        <v>26824.946902654869</v>
      </c>
      <c r="AY235" s="351"/>
      <c r="AZ235" s="10"/>
      <c r="BA235" s="66">
        <f t="shared" ref="BA235" si="328">+BC235-BC234</f>
        <v>1235921</v>
      </c>
      <c r="BB235" s="67"/>
      <c r="BC235" s="67">
        <v>144186274</v>
      </c>
      <c r="BD235" s="67"/>
      <c r="BE235" s="67">
        <f t="shared" ref="BE235" si="329">+D235</f>
        <v>86293</v>
      </c>
      <c r="BF235" s="67"/>
      <c r="BG235" s="156">
        <f t="shared" ref="BG235" si="330">+BE235/BA235</f>
        <v>6.9820805698746116E-2</v>
      </c>
      <c r="BH235" s="67"/>
      <c r="BI235" s="183"/>
      <c r="BJ235" s="67"/>
      <c r="BK235" s="67">
        <f t="shared" ref="BK235" si="331">SUM(BA229:BA235)</f>
        <v>11977781</v>
      </c>
      <c r="BL235" s="67"/>
      <c r="BM235" s="156">
        <f t="shared" ref="BM235" si="332">+Q235/BK235</f>
        <v>4.7309848126293179E-2</v>
      </c>
      <c r="BN235" s="66">
        <f t="shared" ref="BN235" si="333">+BC235/BW235</f>
        <v>637992.36283185845</v>
      </c>
      <c r="BO235" s="67"/>
      <c r="BP235" s="67">
        <f t="shared" ref="BP235" si="334">+BP234+BE235</f>
        <v>9028251</v>
      </c>
      <c r="BQ235" s="67"/>
      <c r="BR235" s="478">
        <f t="shared" ref="BR235" si="335">+BP235/BC235</f>
        <v>6.2615190402936685E-2</v>
      </c>
      <c r="BS235" s="67"/>
      <c r="BT235" s="86"/>
      <c r="BU235" s="183"/>
      <c r="BV235" s="1"/>
      <c r="BW235" s="61">
        <f t="shared" si="186"/>
        <v>226</v>
      </c>
    </row>
    <row r="236" spans="2:75" x14ac:dyDescent="0.3">
      <c r="B236" s="390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ref="H236" si="336">+H235+D236</f>
        <v>9442219</v>
      </c>
      <c r="I236" s="16"/>
      <c r="J236" s="479">
        <f t="shared" ref="J236" si="337">+D236/H235</f>
        <v>7.6109034587720408E-3</v>
      </c>
      <c r="K236" s="16"/>
      <c r="L236" s="16"/>
      <c r="M236" s="16"/>
      <c r="N236" s="16">
        <f t="shared" ref="N236" si="338">SUM(D230:D236)</f>
        <v>577099</v>
      </c>
      <c r="O236" s="16">
        <f t="shared" ref="O236" si="339">+H236/BW236</f>
        <v>41595.678414096918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0">+AA235+W236</f>
        <v>236379</v>
      </c>
      <c r="AB236" s="33"/>
      <c r="AC236" s="46">
        <f t="shared" ref="AC236" si="341">+AA236/H236</f>
        <v>2.5034263661963357E-2</v>
      </c>
      <c r="AD236" s="33"/>
      <c r="AE236" s="33">
        <f t="shared" ref="AE236" si="342">+AA236/BW236</f>
        <v>1041.3171806167402</v>
      </c>
      <c r="AF236" s="50"/>
      <c r="AG236" s="33">
        <f t="shared" ref="AG236" si="343">SUM(W230:W236)</f>
        <v>5946</v>
      </c>
      <c r="AH236" s="33">
        <f t="shared" ref="AH236" si="344">SUM(D207:D402)</f>
        <v>794957696.34662843</v>
      </c>
      <c r="AI236" s="231">
        <f t="shared" ref="AI236" si="345">+(AG236-AG229)/AG229</f>
        <v>3.9328788673308863E-2</v>
      </c>
      <c r="AJ236" s="50"/>
      <c r="AK236" s="391"/>
      <c r="AL236" s="23">
        <f t="shared" ref="AL236" si="346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47">+AL236/AP235</f>
        <v>6.7905024348290238E-3</v>
      </c>
      <c r="AS236" s="25"/>
      <c r="AT236" s="25"/>
      <c r="AU236" s="24"/>
      <c r="AV236" s="341">
        <f t="shared" ref="AV236" si="348">+AP236/H236</f>
        <v>0.64641637733672563</v>
      </c>
      <c r="AW236" s="341"/>
      <c r="AX236" s="24">
        <f t="shared" ref="AX236" si="349">+AP236/BW236</f>
        <v>26888.127753303965</v>
      </c>
      <c r="AY236" s="351"/>
      <c r="AZ236" s="391"/>
      <c r="BA236" s="66">
        <f t="shared" ref="BA236" si="350">+BC236-BC235</f>
        <v>851151</v>
      </c>
      <c r="BB236" s="67"/>
      <c r="BC236" s="67">
        <v>145037425</v>
      </c>
      <c r="BD236" s="67"/>
      <c r="BE236" s="67">
        <f t="shared" ref="BE236" si="351">+D236</f>
        <v>71321</v>
      </c>
      <c r="BF236" s="67"/>
      <c r="BG236" s="156">
        <f t="shared" ref="BG236" si="352">+BE236/BA236</f>
        <v>8.3793592441294196E-2</v>
      </c>
      <c r="BH236" s="67"/>
      <c r="BI236" s="183"/>
      <c r="BJ236" s="67"/>
      <c r="BK236" s="67">
        <f t="shared" ref="BK236" si="353">SUM(BA230:BA236)</f>
        <v>11808097</v>
      </c>
      <c r="BL236" s="67"/>
      <c r="BM236" s="156">
        <f t="shared" ref="BM236" si="354">+Q236/BK236</f>
        <v>4.8873158816361346E-2</v>
      </c>
      <c r="BN236" s="66">
        <f t="shared" ref="BN236" si="355">+BC236/BW236</f>
        <v>638931.38766519818</v>
      </c>
      <c r="BO236" s="67"/>
      <c r="BP236" s="67">
        <f t="shared" ref="BP236" si="356">+BP235+BE236</f>
        <v>9099572</v>
      </c>
      <c r="BQ236" s="67"/>
      <c r="BR236" s="478">
        <f t="shared" ref="BR236" si="357">+BP236/BC236</f>
        <v>6.2739475690498508E-2</v>
      </c>
      <c r="BS236" s="67"/>
      <c r="BT236" s="86"/>
      <c r="BU236" s="183"/>
      <c r="BV236" s="1"/>
      <c r="BW236" s="61">
        <f t="shared" si="186"/>
        <v>227</v>
      </c>
    </row>
    <row r="237" spans="2:75" x14ac:dyDescent="0.3">
      <c r="B237" s="171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ref="H237" si="358">+H236+D237</f>
        <v>9531124</v>
      </c>
      <c r="I237" s="16"/>
      <c r="J237" s="479">
        <f t="shared" ref="J237" si="359">+D237/H236</f>
        <v>9.4156892569426734E-3</v>
      </c>
      <c r="K237" s="16"/>
      <c r="L237" s="16"/>
      <c r="M237" s="16"/>
      <c r="N237" s="16">
        <f t="shared" ref="N237" si="360">SUM(D231:D237)</f>
        <v>596163</v>
      </c>
      <c r="O237" s="16">
        <f t="shared" ref="O237" si="361">+H237/BW237</f>
        <v>41803.175438596489</v>
      </c>
      <c r="P237" s="41"/>
      <c r="Q237" s="17">
        <f t="shared" ref="Q237" si="362">SUM(D231:D237)</f>
        <v>596163</v>
      </c>
      <c r="R237" s="16"/>
      <c r="S237" s="60">
        <f t="shared" ref="S237" si="363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4">+AA236+W237</f>
        <v>236901</v>
      </c>
      <c r="AB237" s="33"/>
      <c r="AC237" s="46">
        <f t="shared" ref="AC237" si="365">+AA237/H237</f>
        <v>2.4855515467011025E-2</v>
      </c>
      <c r="AD237" s="33"/>
      <c r="AE237" s="33">
        <f t="shared" ref="AE237" si="366">+AA237/BW237</f>
        <v>1039.0394736842106</v>
      </c>
      <c r="AF237" s="50"/>
      <c r="AG237" s="33">
        <f t="shared" ref="AG237" si="367">SUM(W231:W237)</f>
        <v>5939</v>
      </c>
      <c r="AH237" s="33">
        <f t="shared" ref="AH237" si="368">SUM(D208:D403)</f>
        <v>794908771.34662843</v>
      </c>
      <c r="AI237" s="231">
        <f t="shared" ref="AI237" si="369">+(AG237-AG230)/AG230</f>
        <v>2.2555096418732781E-2</v>
      </c>
      <c r="AJ237" s="50"/>
      <c r="AK237" s="10"/>
      <c r="AL237" s="23">
        <f t="shared" ref="AL237" si="370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1">+AL237/AP236</f>
        <v>1.1107697827759168E-2</v>
      </c>
      <c r="AS237" s="25"/>
      <c r="AT237" s="25"/>
      <c r="AU237" s="24"/>
      <c r="AV237" s="341">
        <f t="shared" ref="AV237" si="372">+AP237/H237</f>
        <v>0.6474999171136584</v>
      </c>
      <c r="AW237" s="341"/>
      <c r="AX237" s="24">
        <f t="shared" ref="AX237" si="373">+AP237/BW237</f>
        <v>27067.552631578947</v>
      </c>
      <c r="AY237" s="351"/>
      <c r="AZ237" s="10"/>
      <c r="BA237" s="66">
        <f t="shared" ref="BA237" si="374">+BC237-BC236</f>
        <v>4657343</v>
      </c>
      <c r="BB237" s="67"/>
      <c r="BC237" s="67">
        <v>149694768</v>
      </c>
      <c r="BD237" s="67"/>
      <c r="BE237" s="67">
        <f t="shared" ref="BE237" si="375">+D237</f>
        <v>88905</v>
      </c>
      <c r="BF237" s="67"/>
      <c r="BG237" s="156">
        <f t="shared" ref="BG237" si="376">+BE237/BA237</f>
        <v>1.9089210307250293E-2</v>
      </c>
      <c r="BH237" s="67"/>
      <c r="BI237" s="183"/>
      <c r="BJ237" s="67"/>
      <c r="BK237" s="67">
        <f t="shared" ref="BK237" si="377">SUM(BA231:BA237)</f>
        <v>15218676</v>
      </c>
      <c r="BL237" s="67"/>
      <c r="BM237" s="156">
        <f t="shared" ref="BM237" si="378">+Q237/BK237</f>
        <v>3.9173118607689655E-2</v>
      </c>
      <c r="BN237" s="66">
        <f t="shared" ref="BN237" si="379">+BC237/BW237</f>
        <v>656556</v>
      </c>
      <c r="BO237" s="67"/>
      <c r="BP237" s="67">
        <f t="shared" ref="BP237" si="380">+BP236+BE237</f>
        <v>9188477</v>
      </c>
      <c r="BQ237" s="67"/>
      <c r="BR237" s="478">
        <f t="shared" ref="BR237" si="381">+BP237/BC237</f>
        <v>6.1381417151466507E-2</v>
      </c>
      <c r="BS237" s="67"/>
      <c r="BT237" s="86"/>
      <c r="BU237" s="183"/>
      <c r="BV237" s="1"/>
      <c r="BW237" s="61">
        <f t="shared" si="186"/>
        <v>228</v>
      </c>
    </row>
    <row r="238" spans="2:75" x14ac:dyDescent="0.3">
      <c r="B238" s="171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ref="H238" si="382">+H237+D238</f>
        <v>9625591</v>
      </c>
      <c r="I238" s="16"/>
      <c r="J238" s="479">
        <f t="shared" ref="J238" si="383">+D238/H237</f>
        <v>9.9114228290388424E-3</v>
      </c>
      <c r="K238" s="16"/>
      <c r="L238" s="16"/>
      <c r="M238" s="16"/>
      <c r="N238" s="16">
        <f t="shared" ref="N238" si="384">SUM(D232:D238)</f>
        <v>615558</v>
      </c>
      <c r="O238" s="16">
        <f t="shared" ref="O238" si="385">+H238/BW238</f>
        <v>42033.148471615721</v>
      </c>
      <c r="P238" s="41"/>
      <c r="Q238" s="17">
        <f t="shared" ref="Q238" si="386">SUM(D232:D238)</f>
        <v>615558</v>
      </c>
      <c r="R238" s="16"/>
      <c r="S238" s="60">
        <f t="shared" ref="S238" si="387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88">+AA237+W238</f>
        <v>238088</v>
      </c>
      <c r="AB238" s="33"/>
      <c r="AC238" s="46">
        <f t="shared" ref="AC238" si="389">+AA238/H238</f>
        <v>2.4734896797505731E-2</v>
      </c>
      <c r="AD238" s="33"/>
      <c r="AE238" s="33">
        <f t="shared" ref="AE238" si="390">+AA238/BW238</f>
        <v>1039.6855895196506</v>
      </c>
      <c r="AF238" s="50"/>
      <c r="AG238" s="33">
        <f t="shared" ref="AG238" si="391">SUM(W232:W238)</f>
        <v>6087</v>
      </c>
      <c r="AH238" s="33">
        <f t="shared" ref="AH238" si="392">SUM(D209:D404)</f>
        <v>794874705.34662843</v>
      </c>
      <c r="AI238" s="231">
        <f t="shared" ref="AI238" si="393">+(AG238-AG231)/AG231</f>
        <v>3.2569974554707379E-2</v>
      </c>
      <c r="AJ238" s="50"/>
      <c r="AK238" s="10"/>
      <c r="AL238" s="23">
        <f t="shared" ref="AL238" si="394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5">+AL238/AP237</f>
        <v>1.0494860001017597E-2</v>
      </c>
      <c r="AS238" s="25"/>
      <c r="AT238" s="25"/>
      <c r="AU238" s="24"/>
      <c r="AV238" s="341">
        <f t="shared" ref="AV238" si="396">+AP238/H238</f>
        <v>0.64787398508829219</v>
      </c>
      <c r="AW238" s="341"/>
      <c r="AX238" s="24">
        <f t="shared" ref="AX238" si="397">+AP238/BW238</f>
        <v>27232.183406113538</v>
      </c>
      <c r="AY238" s="351"/>
      <c r="AZ238" s="10"/>
      <c r="BA238" s="66">
        <f t="shared" ref="BA238" si="398">+BC238-BC237</f>
        <v>1154241</v>
      </c>
      <c r="BB238" s="67"/>
      <c r="BC238" s="67">
        <v>150849009</v>
      </c>
      <c r="BD238" s="67"/>
      <c r="BE238" s="67">
        <f t="shared" ref="BE238" si="399">+D238</f>
        <v>94467</v>
      </c>
      <c r="BF238" s="67"/>
      <c r="BG238" s="156">
        <f t="shared" ref="BG238" si="400">+BE238/BA238</f>
        <v>8.1843393190850086E-2</v>
      </c>
      <c r="BH238" s="67"/>
      <c r="BI238" s="183"/>
      <c r="BJ238" s="67"/>
      <c r="BK238" s="67">
        <f t="shared" ref="BK238" si="401">SUM(BA232:BA238)</f>
        <v>15424076</v>
      </c>
      <c r="BL238" s="67"/>
      <c r="BM238" s="156">
        <f t="shared" ref="BM238" si="402">+Q238/BK238</f>
        <v>3.9908906050514795E-2</v>
      </c>
      <c r="BN238" s="66">
        <f t="shared" ref="BN238" si="403">+BC238/BW238</f>
        <v>658729.29694323149</v>
      </c>
      <c r="BO238" s="67"/>
      <c r="BP238" s="67">
        <f t="shared" ref="BP238" si="404">+BP237+BE238</f>
        <v>9282944</v>
      </c>
      <c r="BQ238" s="67"/>
      <c r="BR238" s="478">
        <f t="shared" ref="BR238" si="405">+BP238/BC238</f>
        <v>6.1537984647946874E-2</v>
      </c>
      <c r="BS238" s="67"/>
      <c r="BT238" s="86"/>
      <c r="BU238" s="183"/>
      <c r="BV238" s="1"/>
      <c r="BW238" s="61">
        <f t="shared" si="186"/>
        <v>229</v>
      </c>
    </row>
    <row r="239" spans="2:75" x14ac:dyDescent="0.3">
      <c r="B239" s="171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ref="H239" si="406">+H238+D239</f>
        <v>9733980</v>
      </c>
      <c r="I239" s="16"/>
      <c r="J239" s="479">
        <f t="shared" ref="J239" si="407">+D239/H238</f>
        <v>1.1260503381039148E-2</v>
      </c>
      <c r="K239" s="16"/>
      <c r="L239" s="16"/>
      <c r="M239" s="16"/>
      <c r="N239" s="16">
        <f t="shared" ref="N239" si="408">SUM(D233:D239)</f>
        <v>642366</v>
      </c>
      <c r="O239" s="16">
        <f t="shared" ref="O239" si="409">+H239/BW239</f>
        <v>42321.65217391304</v>
      </c>
      <c r="P239" s="41"/>
      <c r="Q239" s="17">
        <f t="shared" ref="Q239" si="410">SUM(D233:D239)</f>
        <v>642366</v>
      </c>
      <c r="R239" s="16"/>
      <c r="S239" s="60">
        <f t="shared" ref="S239" si="411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2">+AA238+W239</f>
        <v>239289</v>
      </c>
      <c r="AB239" s="33"/>
      <c r="AC239" s="46">
        <f t="shared" ref="AC239" si="413">+AA239/H239</f>
        <v>2.4582853057022923E-2</v>
      </c>
      <c r="AD239" s="33"/>
      <c r="AE239" s="33">
        <f t="shared" ref="AE239" si="414">+AA239/BW239</f>
        <v>1040.3869565217392</v>
      </c>
      <c r="AF239" s="50"/>
      <c r="AG239" s="33">
        <f t="shared" ref="AG239" si="415">SUM(W233:W239)</f>
        <v>6258</v>
      </c>
      <c r="AH239" s="33">
        <f t="shared" ref="AH239" si="416">SUM(D210:D405)</f>
        <v>794836988.34662843</v>
      </c>
      <c r="AI239" s="231">
        <f t="shared" ref="AI239" si="417">+(AG239-AG232)/AG232</f>
        <v>9.7894736842105257E-2</v>
      </c>
      <c r="AJ239" s="50"/>
      <c r="AK239" s="10"/>
      <c r="AL239" s="23">
        <f t="shared" ref="AL239" si="418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19">+AL239/AP238</f>
        <v>8.9556570779821595E-3</v>
      </c>
      <c r="AS239" s="25"/>
      <c r="AT239" s="25"/>
      <c r="AU239" s="24"/>
      <c r="AV239" s="341">
        <f t="shared" ref="AV239" si="420">+AP239/H239</f>
        <v>0.64639736264097525</v>
      </c>
      <c r="AW239" s="341"/>
      <c r="AX239" s="24">
        <f t="shared" ref="AX239" si="421">+AP239/BW239</f>
        <v>27356.604347826087</v>
      </c>
      <c r="AY239" s="351"/>
      <c r="AZ239" s="10"/>
      <c r="BA239" s="66">
        <f t="shared" ref="BA239" si="422">+BC239-BC238</f>
        <v>1201405</v>
      </c>
      <c r="BB239" s="67"/>
      <c r="BC239" s="67">
        <v>152050414</v>
      </c>
      <c r="BD239" s="67"/>
      <c r="BE239" s="67">
        <f t="shared" ref="BE239" si="423">+D239</f>
        <v>108389</v>
      </c>
      <c r="BF239" s="67"/>
      <c r="BG239" s="156">
        <f t="shared" ref="BG239" si="424">+BE239/BA239</f>
        <v>9.0218535797670224E-2</v>
      </c>
      <c r="BH239" s="67"/>
      <c r="BI239" s="183"/>
      <c r="BJ239" s="67"/>
      <c r="BK239" s="67">
        <f t="shared" ref="BK239" si="425">SUM(BA233:BA239)</f>
        <v>11855600</v>
      </c>
      <c r="BL239" s="67"/>
      <c r="BM239" s="156">
        <f t="shared" ref="BM239" si="426">+Q239/BK239</f>
        <v>5.4182496035628733E-2</v>
      </c>
      <c r="BN239" s="66">
        <f t="shared" ref="BN239" si="427">+BC239/BW239</f>
        <v>661088.75652173918</v>
      </c>
      <c r="BO239" s="67"/>
      <c r="BP239" s="67">
        <f t="shared" ref="BP239" si="428">+BP238+BE239</f>
        <v>9391333</v>
      </c>
      <c r="BQ239" s="67"/>
      <c r="BR239" s="478">
        <f t="shared" ref="BR239" si="429">+BP239/BC239</f>
        <v>6.176459999641961E-2</v>
      </c>
      <c r="BS239" s="67"/>
      <c r="BT239" s="86"/>
      <c r="BU239" s="183"/>
      <c r="BV239" s="1"/>
      <c r="BW239" s="61">
        <f t="shared" si="186"/>
        <v>230</v>
      </c>
    </row>
    <row r="240" spans="2:75" x14ac:dyDescent="0.3">
      <c r="B240" s="171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ref="H240" si="430">+H239+D240</f>
        <v>9852299</v>
      </c>
      <c r="I240" s="16"/>
      <c r="J240" s="479">
        <f t="shared" ref="J240" si="431">+D240/H239</f>
        <v>1.2155254068736529E-2</v>
      </c>
      <c r="K240" s="16"/>
      <c r="L240" s="16"/>
      <c r="M240" s="16"/>
      <c r="N240" s="16">
        <f t="shared" ref="N240" si="432">SUM(D234:D240)</f>
        <v>669155</v>
      </c>
      <c r="O240" s="16">
        <f t="shared" ref="O240" si="433">+H240/BW240</f>
        <v>42650.645021645025</v>
      </c>
      <c r="P240" s="41"/>
      <c r="Q240" s="17">
        <f t="shared" ref="Q240" si="434">SUM(D234:D240)</f>
        <v>669155</v>
      </c>
      <c r="R240" s="16"/>
      <c r="S240" s="60">
        <f t="shared" ref="S240" si="435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6">+AA239+W240</f>
        <v>240416</v>
      </c>
      <c r="AB240" s="33"/>
      <c r="AC240" s="46">
        <f t="shared" ref="AC240" si="437">+AA240/H240</f>
        <v>2.4402020279733695E-2</v>
      </c>
      <c r="AD240" s="33"/>
      <c r="AE240" s="33">
        <f t="shared" ref="AE240" si="438">+AA240/BW240</f>
        <v>1040.7619047619048</v>
      </c>
      <c r="AF240" s="50"/>
      <c r="AG240" s="33">
        <f t="shared" ref="AG240" si="439">SUM(W234:W240)</f>
        <v>6338</v>
      </c>
      <c r="AH240" s="33">
        <f t="shared" ref="AH240" si="440">SUM(D211:D406)</f>
        <v>794792320.34662843</v>
      </c>
      <c r="AI240" s="231">
        <f t="shared" ref="AI240" si="441">+(AG240-AG233)/AG233</f>
        <v>9.767925181849671E-2</v>
      </c>
      <c r="AJ240" s="50"/>
      <c r="AK240" s="10"/>
      <c r="AL240" s="23">
        <f t="shared" ref="AL240" si="442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3">+AL240/AP239</f>
        <v>7.7029328741696429E-3</v>
      </c>
      <c r="AS240" s="25"/>
      <c r="AT240" s="25"/>
      <c r="AU240" s="24"/>
      <c r="AV240" s="341">
        <f t="shared" ref="AV240" si="444">+AP240/H240</f>
        <v>0.64355395628979595</v>
      </c>
      <c r="AW240" s="341"/>
      <c r="AX240" s="24">
        <f t="shared" ref="AX240" si="445">+AP240/BW240</f>
        <v>27447.991341991343</v>
      </c>
      <c r="AY240" s="351"/>
      <c r="AZ240" s="10"/>
      <c r="BA240" s="66">
        <f t="shared" ref="BA240" si="446">+BC240-BC239</f>
        <v>1544407</v>
      </c>
      <c r="BB240" s="67"/>
      <c r="BC240" s="67">
        <v>153594821</v>
      </c>
      <c r="BD240" s="67"/>
      <c r="BE240" s="67">
        <f t="shared" ref="BE240" si="447">+D240</f>
        <v>118319</v>
      </c>
      <c r="BF240" s="67"/>
      <c r="BG240" s="156">
        <f t="shared" ref="BG240" si="448">+BE240/BA240</f>
        <v>7.6611281870646794E-2</v>
      </c>
      <c r="BH240" s="67"/>
      <c r="BI240" s="183"/>
      <c r="BJ240" s="67"/>
      <c r="BK240" s="67">
        <f t="shared" ref="BK240" si="449">SUM(BA234:BA240)</f>
        <v>11925493</v>
      </c>
      <c r="BL240" s="67"/>
      <c r="BM240" s="156">
        <f t="shared" ref="BM240" si="450">+Q240/BK240</f>
        <v>5.6111307096486492E-2</v>
      </c>
      <c r="BN240" s="66">
        <f t="shared" ref="BN240" si="451">+BC240/BW240</f>
        <v>664912.645021645</v>
      </c>
      <c r="BO240" s="67"/>
      <c r="BP240" s="67">
        <f t="shared" ref="BP240" si="452">+BP239+BE240</f>
        <v>9509652</v>
      </c>
      <c r="BQ240" s="67"/>
      <c r="BR240" s="478">
        <f t="shared" ref="BR240" si="453">+BP240/BC240</f>
        <v>6.1913884453174368E-2</v>
      </c>
      <c r="BS240" s="67"/>
      <c r="BT240" s="86"/>
      <c r="BU240" s="183"/>
      <c r="BV240" s="1"/>
      <c r="BW240" s="61">
        <f t="shared" si="186"/>
        <v>231</v>
      </c>
    </row>
    <row r="241" spans="2:75" x14ac:dyDescent="0.3">
      <c r="B241" s="171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ref="H241" si="454">+H240+D241</f>
        <v>9984840</v>
      </c>
      <c r="I241" s="16"/>
      <c r="J241" s="479">
        <f t="shared" ref="J241" si="455">+D241/H240</f>
        <v>1.3452799189305968E-2</v>
      </c>
      <c r="K241" s="16"/>
      <c r="L241" s="16"/>
      <c r="M241" s="16"/>
      <c r="N241" s="16">
        <f t="shared" ref="N241" si="456">SUM(D235:D241)</f>
        <v>700235</v>
      </c>
      <c r="O241" s="16">
        <f t="shared" ref="O241" si="457">+H241/BW241</f>
        <v>43038.103448275862</v>
      </c>
      <c r="P241" s="41"/>
      <c r="Q241" s="17">
        <f t="shared" ref="Q241" si="458">SUM(D235:D241)</f>
        <v>700235</v>
      </c>
      <c r="R241" s="16"/>
      <c r="S241" s="60">
        <f t="shared" ref="S241" si="459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0">+AA240+W241</f>
        <v>241660</v>
      </c>
      <c r="AB241" s="33"/>
      <c r="AC241" s="46">
        <f t="shared" ref="AC241" si="461">+AA241/H241</f>
        <v>2.420269127998045E-2</v>
      </c>
      <c r="AD241" s="33"/>
      <c r="AE241" s="33">
        <f t="shared" ref="AE241" si="462">+AA241/BW241</f>
        <v>1041.6379310344828</v>
      </c>
      <c r="AF241" s="50"/>
      <c r="AG241" s="33">
        <f t="shared" ref="AG241" si="463">SUM(W235:W241)</f>
        <v>6594</v>
      </c>
      <c r="AH241" s="33">
        <f t="shared" ref="AH241" si="464">SUM(D212:D407)</f>
        <v>794742962.34662843</v>
      </c>
      <c r="AI241" s="231">
        <f t="shared" ref="AI241" si="465">+(AG241-AG234)/AG234</f>
        <v>0.12544802867383512</v>
      </c>
      <c r="AJ241" s="50"/>
      <c r="AK241" s="10"/>
      <c r="AL241" s="23">
        <f t="shared" ref="AL241" si="466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67">+AL241/AP240</f>
        <v>7.999702231027717E-3</v>
      </c>
      <c r="AS241" s="25"/>
      <c r="AT241" s="25"/>
      <c r="AU241" s="24"/>
      <c r="AV241" s="341">
        <f t="shared" ref="AV241" si="468">+AP241/H241</f>
        <v>0.64009117822619088</v>
      </c>
      <c r="AW241" s="341"/>
      <c r="AX241" s="24">
        <f t="shared" ref="AX241" si="469">+AP241/BW241</f>
        <v>27548.310344827587</v>
      </c>
      <c r="AY241" s="351"/>
      <c r="AZ241" s="10"/>
      <c r="BA241" s="66">
        <f t="shared" ref="BA241" si="470">+BC241-BC240</f>
        <v>1425131</v>
      </c>
      <c r="BB241" s="67"/>
      <c r="BC241" s="67">
        <v>155019952</v>
      </c>
      <c r="BD241" s="67"/>
      <c r="BE241" s="67">
        <f t="shared" ref="BE241" si="471">+D241</f>
        <v>132541</v>
      </c>
      <c r="BF241" s="67"/>
      <c r="BG241" s="156">
        <f t="shared" ref="BG241" si="472">+BE241/BA241</f>
        <v>9.3002678350270956E-2</v>
      </c>
      <c r="BH241" s="67"/>
      <c r="BI241" s="183"/>
      <c r="BJ241" s="67"/>
      <c r="BK241" s="67">
        <f t="shared" ref="BK241" si="473">SUM(BA235:BA241)</f>
        <v>12069599</v>
      </c>
      <c r="BL241" s="67"/>
      <c r="BM241" s="156">
        <f t="shared" ref="BM241" si="474">+Q241/BK241</f>
        <v>5.8016426229239262E-2</v>
      </c>
      <c r="BN241" s="66">
        <f t="shared" ref="BN241" si="475">+BC241/BW241</f>
        <v>668189.44827586203</v>
      </c>
      <c r="BO241" s="67"/>
      <c r="BP241" s="67">
        <f t="shared" ref="BP241" si="476">+BP240+BE241</f>
        <v>9642193</v>
      </c>
      <c r="BQ241" s="67"/>
      <c r="BR241" s="478">
        <f t="shared" ref="BR241" si="477">+BP241/BC241</f>
        <v>6.219969026954672E-2</v>
      </c>
      <c r="BS241" s="67"/>
      <c r="BT241" s="86"/>
      <c r="BU241" s="183"/>
      <c r="BV241" s="1"/>
      <c r="BW241" s="61">
        <f t="shared" si="186"/>
        <v>232</v>
      </c>
    </row>
    <row r="242" spans="2:75" x14ac:dyDescent="0.3">
      <c r="B242" s="171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ref="H242" si="478">+H241+D242</f>
        <v>10109230</v>
      </c>
      <c r="I242" s="16"/>
      <c r="J242" s="479">
        <f t="shared" ref="J242" si="479">+D242/H241</f>
        <v>1.2457886155411603E-2</v>
      </c>
      <c r="K242" s="16"/>
      <c r="L242" s="16"/>
      <c r="M242" s="16"/>
      <c r="N242" s="16">
        <f t="shared" ref="N242" si="480">SUM(D236:D242)</f>
        <v>738332</v>
      </c>
      <c r="O242" s="16">
        <f t="shared" ref="O242" si="481">+H242/BW242</f>
        <v>43387.253218884121</v>
      </c>
      <c r="P242" s="41"/>
      <c r="Q242" s="17">
        <f t="shared" ref="Q242" si="482">SUM(D236:D242)</f>
        <v>738332</v>
      </c>
      <c r="R242" s="16"/>
      <c r="S242" s="60">
        <f t="shared" ref="S242" si="483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4">+AA241+W242</f>
        <v>242691</v>
      </c>
      <c r="AB242" s="33"/>
      <c r="AC242" s="46">
        <f t="shared" ref="AC242" si="485">+AA242/H242</f>
        <v>2.400687292701818E-2</v>
      </c>
      <c r="AD242" s="33"/>
      <c r="AE242" s="33">
        <f t="shared" ref="AE242" si="486">+AA242/BW242</f>
        <v>1041.5922746781116</v>
      </c>
      <c r="AF242" s="50"/>
      <c r="AG242" s="33">
        <f t="shared" ref="AG242" si="487">SUM(W236:W242)</f>
        <v>6711</v>
      </c>
      <c r="AH242" s="33">
        <f t="shared" ref="AH242" si="488">SUM(D213:D408)</f>
        <v>794685644.34662843</v>
      </c>
      <c r="AI242" s="231">
        <f t="shared" ref="AI242" si="489">+(AG242-AG235)/AG235</f>
        <v>0.12055434964100852</v>
      </c>
      <c r="AJ242" s="50"/>
      <c r="AK242" s="10"/>
      <c r="AL242" s="23">
        <f t="shared" ref="AL242" si="490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1">+AL242/AP241</f>
        <v>7.9077382554283947E-3</v>
      </c>
      <c r="AS242" s="25"/>
      <c r="AT242" s="25"/>
      <c r="AU242" s="24"/>
      <c r="AV242" s="341">
        <f t="shared" ref="AV242" si="492">+AP242/H242</f>
        <v>0.63721450595149187</v>
      </c>
      <c r="AW242" s="341"/>
      <c r="AX242" s="24">
        <f t="shared" ref="AX242" si="493">+AP242/BW242</f>
        <v>27646.987124463518</v>
      </c>
      <c r="AY242" s="351"/>
      <c r="AZ242" s="10"/>
      <c r="BA242" s="66">
        <f t="shared" ref="BA242" si="494">+BC242-BC241</f>
        <v>1534974</v>
      </c>
      <c r="BB242" s="67"/>
      <c r="BC242" s="67">
        <v>156554926</v>
      </c>
      <c r="BD242" s="67"/>
      <c r="BE242" s="67">
        <f t="shared" ref="BE242" si="495">+D242</f>
        <v>124390</v>
      </c>
      <c r="BF242" s="67"/>
      <c r="BG242" s="156">
        <f t="shared" ref="BG242" si="496">+BE242/BA242</f>
        <v>8.1037203236015723E-2</v>
      </c>
      <c r="BH242" s="67"/>
      <c r="BI242" s="183"/>
      <c r="BJ242" s="67"/>
      <c r="BK242" s="67">
        <f t="shared" ref="BK242" si="497">SUM(BA236:BA242)</f>
        <v>12368652</v>
      </c>
      <c r="BL242" s="67"/>
      <c r="BM242" s="156">
        <f t="shared" ref="BM242" si="498">+Q242/BK242</f>
        <v>5.9693813036376157E-2</v>
      </c>
      <c r="BN242" s="66">
        <f t="shared" ref="BN242" si="499">+BC242/BW242</f>
        <v>671909.55364806869</v>
      </c>
      <c r="BO242" s="67"/>
      <c r="BP242" s="67">
        <f t="shared" ref="BP242" si="500">+BP241+BE242</f>
        <v>9766583</v>
      </c>
      <c r="BQ242" s="67"/>
      <c r="BR242" s="478">
        <f t="shared" ref="BR242" si="501">+BP242/BC242</f>
        <v>6.2384386422947816E-2</v>
      </c>
      <c r="BS242" s="67"/>
      <c r="BT242" s="86"/>
      <c r="BU242" s="183"/>
      <c r="BV242" s="1"/>
      <c r="BW242" s="61">
        <f t="shared" si="186"/>
        <v>233</v>
      </c>
    </row>
    <row r="243" spans="2:75" x14ac:dyDescent="0.3">
      <c r="B243" s="390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ref="H243" si="502">+H242+D243</f>
        <v>10211956</v>
      </c>
      <c r="I243" s="16"/>
      <c r="J243" s="479">
        <f t="shared" ref="J243" si="503">+D243/H242</f>
        <v>1.0161604790869335E-2</v>
      </c>
      <c r="K243" s="16"/>
      <c r="L243" s="16"/>
      <c r="M243" s="16"/>
      <c r="N243" s="16">
        <f t="shared" ref="N243" si="504">SUM(D237:D243)</f>
        <v>769737</v>
      </c>
      <c r="O243" s="16">
        <f t="shared" ref="O243" si="505">+H243/BW243</f>
        <v>43640.837606837609</v>
      </c>
      <c r="P243" s="41"/>
      <c r="Q243" s="17">
        <f t="shared" ref="Q243" si="506">SUM(D237:D243)</f>
        <v>769737</v>
      </c>
      <c r="R243" s="16"/>
      <c r="S243" s="60">
        <f t="shared" ref="S243" si="507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08">+AA242+W243</f>
        <v>243203</v>
      </c>
      <c r="AB243" s="33"/>
      <c r="AC243" s="46">
        <f t="shared" ref="AC243" si="509">+AA243/H243</f>
        <v>2.3815515852203047E-2</v>
      </c>
      <c r="AD243" s="33"/>
      <c r="AE243" s="33">
        <f t="shared" ref="AE243" si="510">+AA243/BW243</f>
        <v>1039.3290598290598</v>
      </c>
      <c r="AF243" s="50"/>
      <c r="AG243" s="33">
        <f t="shared" ref="AG243" si="511">SUM(W237:W243)</f>
        <v>6824</v>
      </c>
      <c r="AH243" s="33">
        <f t="shared" ref="AH243" si="512">SUM(D214:D409)</f>
        <v>794624661.34662843</v>
      </c>
      <c r="AI243" s="231">
        <f t="shared" ref="AI243" si="513">+(AG243-AG236)/AG236</f>
        <v>0.14766229397914565</v>
      </c>
      <c r="AJ243" s="50"/>
      <c r="AK243" s="391"/>
      <c r="AL243" s="23">
        <f t="shared" ref="AL243" si="514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5">+AL243/AP242</f>
        <v>6.4690515679905513E-3</v>
      </c>
      <c r="AS243" s="25"/>
      <c r="AT243" s="25"/>
      <c r="AU243" s="24"/>
      <c r="AV243" s="341">
        <f t="shared" ref="AV243" si="516">+AP243/H243</f>
        <v>0.63488522668918668</v>
      </c>
      <c r="AW243" s="341"/>
      <c r="AX243" s="24">
        <f t="shared" ref="AX243" si="517">+AP243/BW243</f>
        <v>27706.923076923078</v>
      </c>
      <c r="AY243" s="351"/>
      <c r="AZ243" s="391"/>
      <c r="BA243" s="66">
        <f t="shared" ref="BA243" si="518">+BC243-BC242</f>
        <v>1047931</v>
      </c>
      <c r="BB243" s="67"/>
      <c r="BC243" s="67">
        <v>157602857</v>
      </c>
      <c r="BD243" s="67"/>
      <c r="BE243" s="67">
        <f t="shared" ref="BE243" si="519">+D243</f>
        <v>102726</v>
      </c>
      <c r="BF243" s="67"/>
      <c r="BG243" s="156">
        <f t="shared" ref="BG243" si="520">+BE243/BA243</f>
        <v>9.8027446463555323E-2</v>
      </c>
      <c r="BH243" s="67"/>
      <c r="BI243" s="183"/>
      <c r="BJ243" s="67"/>
      <c r="BK243" s="67">
        <f t="shared" ref="BK243" si="521">SUM(BA237:BA243)</f>
        <v>12565432</v>
      </c>
      <c r="BL243" s="67"/>
      <c r="BM243" s="156">
        <f t="shared" ref="BM243" si="522">+Q243/BK243</f>
        <v>6.1258299754437411E-2</v>
      </c>
      <c r="BN243" s="66">
        <f t="shared" ref="BN243" si="523">+BC243/BW243</f>
        <v>673516.48290598288</v>
      </c>
      <c r="BO243" s="67"/>
      <c r="BP243" s="67">
        <f t="shared" ref="BP243" si="524">+BP242+BE243</f>
        <v>9869309</v>
      </c>
      <c r="BQ243" s="67"/>
      <c r="BR243" s="478">
        <f t="shared" ref="BR243" si="525">+BP243/BC243</f>
        <v>6.2621383824279273E-2</v>
      </c>
      <c r="BS243" s="67"/>
      <c r="BT243" s="86"/>
      <c r="BU243" s="183"/>
      <c r="BV243" s="1"/>
      <c r="BW243" s="61">
        <f t="shared" si="186"/>
        <v>234</v>
      </c>
    </row>
    <row r="244" spans="2:75" x14ac:dyDescent="0.3">
      <c r="B244" s="171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ref="H244" si="526">+H243+D244</f>
        <v>10337645</v>
      </c>
      <c r="I244" s="16"/>
      <c r="J244" s="479">
        <f t="shared" ref="J244" si="527">+D244/H243</f>
        <v>1.2308024045540345E-2</v>
      </c>
      <c r="K244" s="16"/>
      <c r="L244" s="16"/>
      <c r="M244" s="16"/>
      <c r="N244" s="16">
        <f t="shared" ref="N244" si="528">SUM(D238:D244)</f>
        <v>806521</v>
      </c>
      <c r="O244" s="16">
        <f t="shared" ref="O244" si="529">+H244/BW244</f>
        <v>43989.978723404252</v>
      </c>
      <c r="P244" s="41"/>
      <c r="Q244" s="17">
        <f t="shared" ref="Q244" si="530">SUM(D238:D244)</f>
        <v>806521</v>
      </c>
      <c r="R244" s="16"/>
      <c r="S244" s="60">
        <f t="shared" ref="S244" si="531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2">+AA243+W244</f>
        <v>243844</v>
      </c>
      <c r="AB244" s="33"/>
      <c r="AC244" s="46">
        <f t="shared" ref="AC244" si="533">+AA244/H244</f>
        <v>2.3587964183331891E-2</v>
      </c>
      <c r="AD244" s="33"/>
      <c r="AE244" s="33">
        <f t="shared" ref="AE244" si="534">+AA244/BW244</f>
        <v>1037.6340425531914</v>
      </c>
      <c r="AF244" s="50"/>
      <c r="AG244" s="33">
        <f t="shared" ref="AG244" si="535">SUM(W238:W244)</f>
        <v>6943</v>
      </c>
      <c r="AH244" s="33">
        <f t="shared" ref="AH244" si="536">SUM(D215:D410)</f>
        <v>794570426.34662843</v>
      </c>
      <c r="AI244" s="231">
        <f t="shared" ref="AI244" si="537">+(AG244-AG237)/AG237</f>
        <v>0.16905202896110455</v>
      </c>
      <c r="AJ244" s="50"/>
      <c r="AK244" s="10"/>
      <c r="AL244" s="23">
        <f t="shared" ref="AL244" si="538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39">+AL244/AP243</f>
        <v>1.0671836777503231E-2</v>
      </c>
      <c r="AS244" s="25"/>
      <c r="AT244" s="25"/>
      <c r="AU244" s="24"/>
      <c r="AV244" s="341">
        <f t="shared" ref="AV244" si="540">+AP244/H244</f>
        <v>0.63385906558021676</v>
      </c>
      <c r="AW244" s="341"/>
      <c r="AX244" s="24">
        <f t="shared" ref="AX244" si="541">+AP244/BW244</f>
        <v>27883.446808510638</v>
      </c>
      <c r="AY244" s="351"/>
      <c r="AZ244" s="10"/>
      <c r="BA244" s="66">
        <f t="shared" ref="BA244" si="542">+BC244-BC243</f>
        <v>1681256</v>
      </c>
      <c r="BB244" s="67"/>
      <c r="BC244" s="67">
        <v>159284113</v>
      </c>
      <c r="BD244" s="67"/>
      <c r="BE244" s="67">
        <f t="shared" ref="BE244" si="543">+D244</f>
        <v>125689</v>
      </c>
      <c r="BF244" s="67"/>
      <c r="BG244" s="156">
        <f t="shared" ref="BG244" si="544">+BE244/BA244</f>
        <v>7.475898970769472E-2</v>
      </c>
      <c r="BH244" s="67"/>
      <c r="BI244" s="183"/>
      <c r="BJ244" s="67"/>
      <c r="BK244" s="67">
        <f t="shared" ref="BK244" si="545">SUM(BA238:BA244)</f>
        <v>9589345</v>
      </c>
      <c r="BL244" s="67"/>
      <c r="BM244" s="156">
        <f t="shared" ref="BM244" si="546">+Q244/BK244</f>
        <v>8.4105953013474857E-2</v>
      </c>
      <c r="BN244" s="66">
        <f t="shared" ref="BN244" si="547">+BC244/BW244</f>
        <v>677804.73617021274</v>
      </c>
      <c r="BO244" s="67"/>
      <c r="BP244" s="67">
        <f t="shared" ref="BP244" si="548">+BP243+BE244</f>
        <v>9994998</v>
      </c>
      <c r="BQ244" s="67"/>
      <c r="BR244" s="478">
        <f t="shared" ref="BR244" si="549">+BP244/BC244</f>
        <v>6.2749497183061817E-2</v>
      </c>
      <c r="BS244" s="67"/>
      <c r="BT244" s="86"/>
      <c r="BU244" s="183"/>
      <c r="BV244" s="1"/>
      <c r="BW244" s="61">
        <f t="shared" si="186"/>
        <v>235</v>
      </c>
    </row>
    <row r="245" spans="2:75" x14ac:dyDescent="0.3">
      <c r="B245" s="171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ref="H245" si="550">+H244+D245</f>
        <v>10473298</v>
      </c>
      <c r="I245" s="16"/>
      <c r="J245" s="479">
        <f t="shared" ref="J245" si="551">+D245/H244</f>
        <v>1.3122234319325146E-2</v>
      </c>
      <c r="K245" s="16"/>
      <c r="L245" s="16"/>
      <c r="M245" s="16"/>
      <c r="N245" s="16">
        <f t="shared" ref="N245" si="552">SUM(D239:D245)</f>
        <v>847707</v>
      </c>
      <c r="O245" s="16">
        <f t="shared" ref="O245" si="553">+H245/BW245</f>
        <v>44378.381355932201</v>
      </c>
      <c r="P245" s="41"/>
      <c r="Q245" s="17">
        <f t="shared" ref="Q245" si="554">SUM(D239:D245)</f>
        <v>847707</v>
      </c>
      <c r="R245" s="16"/>
      <c r="S245" s="60">
        <f t="shared" ref="S245" si="555">+(Q245-Q238)/Q238</f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ref="AA245" si="556">+AA244+W245</f>
        <v>245190</v>
      </c>
      <c r="AB245" s="33"/>
      <c r="AC245" s="46">
        <f t="shared" ref="AC245" si="557">+AA245/H245</f>
        <v>2.3410963767096095E-2</v>
      </c>
      <c r="AD245" s="33"/>
      <c r="AE245" s="33">
        <f t="shared" ref="AE245" si="558">+AA245/BW245</f>
        <v>1038.9406779661017</v>
      </c>
      <c r="AF245" s="50"/>
      <c r="AG245" s="33">
        <f t="shared" ref="AG245" si="559">SUM(W239:W245)</f>
        <v>7102</v>
      </c>
      <c r="AH245" s="33">
        <f t="shared" ref="AH245" si="560">SUM(D216:D411)</f>
        <v>794528491.34662843</v>
      </c>
      <c r="AI245" s="231">
        <f t="shared" ref="AI245" si="561">+(AG245-AG238)/AG238</f>
        <v>0.16674880893707902</v>
      </c>
      <c r="AJ245" s="50"/>
      <c r="AK245" s="10"/>
      <c r="AL245" s="23">
        <f t="shared" ref="AL245" si="562">+AP245-AP244</f>
        <v>48728</v>
      </c>
      <c r="AM245" s="24"/>
      <c r="AN245" s="24"/>
      <c r="AO245" s="24">
        <v>178263</v>
      </c>
      <c r="AP245" s="24">
        <v>6601338</v>
      </c>
      <c r="AQ245" s="24"/>
      <c r="AR245" s="504">
        <f t="shared" ref="AR245" si="563">+AL245/AP244</f>
        <v>7.4364260958610382E-3</v>
      </c>
      <c r="AS245" s="25"/>
      <c r="AT245" s="25"/>
      <c r="AU245" s="24"/>
      <c r="AV245" s="341">
        <f t="shared" ref="AV245" si="564">+AP245/H245</f>
        <v>0.63030174449347287</v>
      </c>
      <c r="AW245" s="341"/>
      <c r="AX245" s="24">
        <f t="shared" ref="AX245" si="565">+AP245/BW245</f>
        <v>27971.771186440677</v>
      </c>
      <c r="AY245" s="351"/>
      <c r="AZ245" s="10"/>
      <c r="BA245" s="66">
        <f t="shared" ref="BA245" si="566">+BC245-BC244</f>
        <v>1311466</v>
      </c>
      <c r="BB245" s="67"/>
      <c r="BC245" s="67">
        <v>160595579</v>
      </c>
      <c r="BD245" s="67"/>
      <c r="BE245" s="67">
        <f t="shared" ref="BE245" si="567">+D245</f>
        <v>135653</v>
      </c>
      <c r="BF245" s="67"/>
      <c r="BG245" s="156">
        <f t="shared" ref="BG245" si="568">+BE245/BA245</f>
        <v>0.10343615465440964</v>
      </c>
      <c r="BH245" s="67"/>
      <c r="BI245" s="183"/>
      <c r="BJ245" s="67"/>
      <c r="BK245" s="67">
        <f t="shared" ref="BK245" si="569">SUM(BA239:BA245)</f>
        <v>9746570</v>
      </c>
      <c r="BL245" s="67"/>
      <c r="BM245" s="156">
        <f t="shared" ref="BM245" si="570">+Q245/BK245</f>
        <v>8.6974905017867823E-2</v>
      </c>
      <c r="BN245" s="66">
        <f t="shared" ref="BN245" si="571">+BC245/BW245</f>
        <v>680489.74152542371</v>
      </c>
      <c r="BO245" s="67"/>
      <c r="BP245" s="67">
        <f t="shared" ref="BP245" si="572">+BP244+BE245</f>
        <v>10130651</v>
      </c>
      <c r="BQ245" s="67"/>
      <c r="BR245" s="478">
        <f t="shared" ref="BR245" si="573">+BP245/BC245</f>
        <v>6.3081755195764144E-2</v>
      </c>
      <c r="BS245" s="67"/>
      <c r="BT245" s="86"/>
      <c r="BU245" s="183"/>
      <c r="BV245" s="1"/>
      <c r="BW245" s="61">
        <f t="shared" si="186"/>
        <v>236</v>
      </c>
    </row>
    <row r="246" spans="2:75" x14ac:dyDescent="0.3">
      <c r="B246" s="171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ref="H246" si="574">+H245+D246</f>
        <v>10616204</v>
      </c>
      <c r="I246" s="16"/>
      <c r="J246" s="479">
        <f t="shared" ref="J246" si="575">+D246/H245</f>
        <v>1.3644794600516475E-2</v>
      </c>
      <c r="K246" s="16"/>
      <c r="L246" s="16"/>
      <c r="M246" s="16"/>
      <c r="N246" s="16">
        <f t="shared" ref="N246" si="576">SUM(D240:D246)</f>
        <v>882224</v>
      </c>
      <c r="O246" s="16">
        <f t="shared" ref="O246" si="577">+H246/BW246</f>
        <v>44794.109704641349</v>
      </c>
      <c r="P246" s="41"/>
      <c r="Q246" s="17">
        <f t="shared" ref="Q246" si="578">SUM(D240:D246)</f>
        <v>882224</v>
      </c>
      <c r="R246" s="16"/>
      <c r="S246" s="60">
        <f t="shared" ref="S246" si="579">+(Q246-Q239)/Q239</f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ref="AA246" si="580">+AA245+W246</f>
        <v>246660</v>
      </c>
      <c r="AB246" s="33"/>
      <c r="AC246" s="46">
        <f t="shared" ref="AC246" si="581">+AA246/H246</f>
        <v>2.3234293538443685E-2</v>
      </c>
      <c r="AD246" s="33"/>
      <c r="AE246" s="33">
        <f t="shared" ref="AE246" si="582">+AA246/BW246</f>
        <v>1040.7594936708861</v>
      </c>
      <c r="AF246" s="50"/>
      <c r="AG246" s="33">
        <f t="shared" ref="AG246" si="583">SUM(W240:W246)</f>
        <v>7371</v>
      </c>
      <c r="AH246" s="33">
        <f t="shared" ref="AH246" si="584">SUM(D217:D412)</f>
        <v>794482700.34662843</v>
      </c>
      <c r="AI246" s="231">
        <f t="shared" ref="AI246" si="585">+(AG246-AG239)/AG239</f>
        <v>0.17785234899328858</v>
      </c>
      <c r="AJ246" s="50"/>
      <c r="AK246" s="10"/>
      <c r="AL246" s="23">
        <f t="shared" ref="AL246" si="586">+AP246-AP245</f>
        <v>47367</v>
      </c>
      <c r="AM246" s="24"/>
      <c r="AN246" s="24"/>
      <c r="AO246" s="24">
        <v>178263</v>
      </c>
      <c r="AP246" s="24">
        <v>6648705</v>
      </c>
      <c r="AQ246" s="24"/>
      <c r="AR246" s="504">
        <f t="shared" ref="AR246" si="587">+AL246/AP245</f>
        <v>7.1753635399369039E-3</v>
      </c>
      <c r="AS246" s="25"/>
      <c r="AT246" s="25"/>
      <c r="AU246" s="24"/>
      <c r="AV246" s="341">
        <f t="shared" ref="AV246" si="588">+AP246/H246</f>
        <v>0.62627894113564508</v>
      </c>
      <c r="AW246" s="341"/>
      <c r="AX246" s="24">
        <f t="shared" ref="AX246" si="589">+AP246/BW246</f>
        <v>28053.607594936708</v>
      </c>
      <c r="AY246" s="351"/>
      <c r="AZ246" s="10"/>
      <c r="BA246" s="66">
        <f t="shared" ref="BA246" si="590">+BC246-BC245</f>
        <v>1321988</v>
      </c>
      <c r="BB246" s="67"/>
      <c r="BC246" s="67">
        <v>161917567</v>
      </c>
      <c r="BD246" s="67"/>
      <c r="BE246" s="67">
        <f t="shared" ref="BE246" si="591">+D246</f>
        <v>142906</v>
      </c>
      <c r="BF246" s="67"/>
      <c r="BG246" s="156">
        <f t="shared" ref="BG246" si="592">+BE246/BA246</f>
        <v>0.10809931708911125</v>
      </c>
      <c r="BH246" s="67"/>
      <c r="BI246" s="183"/>
      <c r="BJ246" s="67"/>
      <c r="BK246" s="67">
        <f t="shared" ref="BK246" si="593">SUM(BA240:BA246)</f>
        <v>9867153</v>
      </c>
      <c r="BL246" s="67"/>
      <c r="BM246" s="156">
        <f t="shared" ref="BM246" si="594">+Q246/BK246</f>
        <v>8.9410187518121992E-2</v>
      </c>
      <c r="BN246" s="66">
        <f t="shared" ref="BN246" si="595">+BC246/BW246</f>
        <v>683196.48523206753</v>
      </c>
      <c r="BO246" s="67"/>
      <c r="BP246" s="67">
        <f t="shared" ref="BP246" si="596">+BP245+BE246</f>
        <v>10273557</v>
      </c>
      <c r="BQ246" s="67"/>
      <c r="BR246" s="478">
        <f t="shared" ref="BR246" si="597">+BP246/BC246</f>
        <v>6.3449304422910455E-2</v>
      </c>
      <c r="BS246" s="67"/>
      <c r="BT246" s="86"/>
      <c r="BU246" s="183"/>
      <c r="BV246" s="1"/>
      <c r="BW246" s="61">
        <f t="shared" si="186"/>
        <v>237</v>
      </c>
    </row>
    <row r="247" spans="2:75" x14ac:dyDescent="0.3">
      <c r="B247" s="171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ref="H247" si="598">+H246+D247</f>
        <v>10777745</v>
      </c>
      <c r="I247" s="16"/>
      <c r="J247" s="479">
        <f t="shared" ref="J247" si="599">+D247/H246</f>
        <v>1.5216455900809743E-2</v>
      </c>
      <c r="K247" s="16"/>
      <c r="L247" s="16"/>
      <c r="M247" s="16"/>
      <c r="N247" s="16">
        <f t="shared" ref="N247" si="600">SUM(D241:D247)</f>
        <v>925446</v>
      </c>
      <c r="O247" s="16">
        <f t="shared" ref="O247" si="601">+H247/BW247</f>
        <v>45284.642857142855</v>
      </c>
      <c r="P247" s="41"/>
      <c r="Q247" s="17">
        <f t="shared" ref="Q247" si="602">SUM(D241:D247)</f>
        <v>925446</v>
      </c>
      <c r="R247" s="16"/>
      <c r="S247" s="60">
        <f t="shared" ref="S247" si="603">+(Q247-Q240)/Q240</f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ref="AA247" si="604">+AA246+W247</f>
        <v>247850</v>
      </c>
      <c r="AB247" s="33"/>
      <c r="AC247" s="46">
        <f t="shared" ref="AC247" si="605">+AA247/H247</f>
        <v>2.299646169027009E-2</v>
      </c>
      <c r="AD247" s="33"/>
      <c r="AE247" s="33">
        <f t="shared" ref="AE247" si="606">+AA247/BW247</f>
        <v>1041.3865546218487</v>
      </c>
      <c r="AF247" s="50"/>
      <c r="AG247" s="33">
        <f t="shared" ref="AG247" si="607">SUM(W241:W247)</f>
        <v>7434</v>
      </c>
      <c r="AH247" s="33">
        <f t="shared" ref="AH247" si="608">SUM(D218:D413)</f>
        <v>794431166.34662843</v>
      </c>
      <c r="AI247" s="231">
        <f t="shared" ref="AI247" si="609">+(AG247-AG240)/AG240</f>
        <v>0.17292521300094668</v>
      </c>
      <c r="AJ247" s="50"/>
      <c r="AK247" s="10"/>
      <c r="AL247" s="23">
        <f t="shared" ref="AL247" si="610">+AP247-AP246</f>
        <v>79415</v>
      </c>
      <c r="AM247" s="24"/>
      <c r="AN247" s="24"/>
      <c r="AO247" s="24">
        <v>178263</v>
      </c>
      <c r="AP247" s="24">
        <v>6728120</v>
      </c>
      <c r="AQ247" s="24"/>
      <c r="AR247" s="504">
        <f t="shared" ref="AR247" si="611">+AL247/AP246</f>
        <v>1.1944431283986881E-2</v>
      </c>
      <c r="AS247" s="25"/>
      <c r="AT247" s="25"/>
      <c r="AU247" s="24"/>
      <c r="AV247" s="341">
        <f t="shared" ref="AV247" si="612">+AP247/H247</f>
        <v>0.62426045522509577</v>
      </c>
      <c r="AW247" s="341"/>
      <c r="AX247" s="24">
        <f t="shared" ref="AX247" si="613">+AP247/BW247</f>
        <v>28269.411764705881</v>
      </c>
      <c r="AY247" s="351"/>
      <c r="AZ247" s="10"/>
      <c r="BA247" s="66">
        <f t="shared" ref="BA247" si="614">+BC247-BC246</f>
        <v>1537138</v>
      </c>
      <c r="BB247" s="67"/>
      <c r="BC247" s="67">
        <v>163454705</v>
      </c>
      <c r="BD247" s="67"/>
      <c r="BE247" s="67">
        <f t="shared" ref="BE247" si="615">+D247</f>
        <v>161541</v>
      </c>
      <c r="BF247" s="67"/>
      <c r="BG247" s="156">
        <f t="shared" ref="BG247" si="616">+BE247/BA247</f>
        <v>0.10509206069982005</v>
      </c>
      <c r="BH247" s="67"/>
      <c r="BI247" s="183"/>
      <c r="BJ247" s="67"/>
      <c r="BK247" s="67">
        <f t="shared" ref="BK247" si="617">SUM(BA241:BA247)</f>
        <v>9859884</v>
      </c>
      <c r="BL247" s="67"/>
      <c r="BM247" s="156">
        <f t="shared" ref="BM247" si="618">+Q247/BK247</f>
        <v>9.3859724921713072E-2</v>
      </c>
      <c r="BN247" s="66">
        <f t="shared" ref="BN247" si="619">+BC247/BW247</f>
        <v>686784.47478991596</v>
      </c>
      <c r="BO247" s="67"/>
      <c r="BP247" s="67">
        <f t="shared" ref="BP247" si="620">+BP246+BE247</f>
        <v>10435098</v>
      </c>
      <c r="BQ247" s="67"/>
      <c r="BR247" s="478">
        <f t="shared" ref="BR247" si="621">+BP247/BC247</f>
        <v>6.3840915438928475E-2</v>
      </c>
      <c r="BS247" s="67"/>
      <c r="BT247" s="86"/>
      <c r="BU247" s="183"/>
      <c r="BV247" s="1"/>
      <c r="BW247" s="61">
        <f t="shared" si="186"/>
        <v>238</v>
      </c>
    </row>
    <row r="248" spans="2:75" x14ac:dyDescent="0.3">
      <c r="B248" s="171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ref="H248" si="622">+H247+D248</f>
        <v>10961272</v>
      </c>
      <c r="I248" s="16"/>
      <c r="J248" s="479">
        <f t="shared" ref="J248" si="623">+D248/H247</f>
        <v>1.7028330137705057E-2</v>
      </c>
      <c r="K248" s="16"/>
      <c r="L248" s="16"/>
      <c r="M248" s="16"/>
      <c r="N248" s="16">
        <f t="shared" ref="N248" si="624">SUM(D242:D248)</f>
        <v>976432</v>
      </c>
      <c r="O248" s="16">
        <f t="shared" ref="O248" si="625">+H248/BW248</f>
        <v>45863.062761506277</v>
      </c>
      <c r="P248" s="41"/>
      <c r="Q248" s="17">
        <f t="shared" ref="Q248" si="626">SUM(D242:D248)</f>
        <v>976432</v>
      </c>
      <c r="R248" s="16"/>
      <c r="S248" s="60">
        <f t="shared" ref="S248" si="627">+(Q248-Q241)/Q241</f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ref="AA248" si="628">+AA247+W248</f>
        <v>249245</v>
      </c>
      <c r="AB248" s="33"/>
      <c r="AC248" s="46">
        <f t="shared" ref="AC248" si="629">+AA248/H248</f>
        <v>2.2738693100581759E-2</v>
      </c>
      <c r="AD248" s="33"/>
      <c r="AE248" s="33">
        <f t="shared" ref="AE248" si="630">+AA248/BW248</f>
        <v>1042.8661087866108</v>
      </c>
      <c r="AF248" s="50"/>
      <c r="AG248" s="33">
        <f t="shared" ref="AG248" si="631">SUM(W242:W248)</f>
        <v>7585</v>
      </c>
      <c r="AH248" s="33">
        <f t="shared" ref="AH248" si="632">SUM(D219:D414)</f>
        <v>794371473.34662843</v>
      </c>
      <c r="AI248" s="231">
        <f t="shared" ref="AI248" si="633">+(AG248-AG241)/AG241</f>
        <v>0.1502881407340006</v>
      </c>
      <c r="AJ248" s="50"/>
      <c r="AK248" s="10"/>
      <c r="AL248" s="23">
        <f t="shared" ref="AL248" si="634">+AP248-AP247</f>
        <v>61026</v>
      </c>
      <c r="AM248" s="24"/>
      <c r="AN248" s="24"/>
      <c r="AO248" s="24">
        <v>178263</v>
      </c>
      <c r="AP248" s="24">
        <v>6789146</v>
      </c>
      <c r="AQ248" s="24"/>
      <c r="AR248" s="504">
        <f t="shared" ref="AR248" si="635">+AL248/AP247</f>
        <v>9.0702900661700451E-3</v>
      </c>
      <c r="AS248" s="25"/>
      <c r="AT248" s="25"/>
      <c r="AU248" s="24"/>
      <c r="AV248" s="341">
        <f t="shared" ref="AV248" si="636">+AP248/H248</f>
        <v>0.61937574398299755</v>
      </c>
      <c r="AW248" s="341"/>
      <c r="AX248" s="24">
        <f t="shared" ref="AX248" si="637">+AP248/BW248</f>
        <v>28406.468619246862</v>
      </c>
      <c r="AY248" s="351"/>
      <c r="AZ248" s="10"/>
      <c r="BA248" s="66">
        <f t="shared" ref="BA248" si="638">+BC248-BC247</f>
        <v>1687033</v>
      </c>
      <c r="BB248" s="67"/>
      <c r="BC248" s="67">
        <v>165141738</v>
      </c>
      <c r="BD248" s="67"/>
      <c r="BE248" s="67">
        <f t="shared" ref="BE248" si="639">+D248</f>
        <v>183527</v>
      </c>
      <c r="BF248" s="67"/>
      <c r="BG248" s="156">
        <f t="shared" ref="BG248" si="640">+BE248/BA248</f>
        <v>0.10878684649322212</v>
      </c>
      <c r="BH248" s="67"/>
      <c r="BI248" s="183"/>
      <c r="BJ248" s="67"/>
      <c r="BK248" s="67">
        <f t="shared" ref="BK248" si="641">SUM(BA242:BA248)</f>
        <v>10121786</v>
      </c>
      <c r="BL248" s="67"/>
      <c r="BM248" s="156">
        <f t="shared" ref="BM248" si="642">+Q248/BK248</f>
        <v>9.6468350546039999E-2</v>
      </c>
      <c r="BN248" s="66">
        <f t="shared" ref="BN248" si="643">+BC248/BW248</f>
        <v>690969.61506276147</v>
      </c>
      <c r="BO248" s="67"/>
      <c r="BP248" s="67">
        <f t="shared" ref="BP248" si="644">+BP247+BE248</f>
        <v>10618625</v>
      </c>
      <c r="BQ248" s="67"/>
      <c r="BR248" s="478">
        <f t="shared" ref="BR248" si="645">+BP248/BC248</f>
        <v>6.4300068102710661E-2</v>
      </c>
      <c r="BS248" s="67"/>
      <c r="BT248" s="86"/>
      <c r="BU248" s="183"/>
      <c r="BV248" s="1"/>
      <c r="BW248" s="61">
        <f t="shared" si="186"/>
        <v>239</v>
      </c>
    </row>
    <row r="249" spans="2:75" x14ac:dyDescent="0.3">
      <c r="B249" s="171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ref="H249" si="646">+H248+D249</f>
        <v>11118525</v>
      </c>
      <c r="I249" s="16"/>
      <c r="J249" s="479">
        <f t="shared" ref="J249" si="647">+D249/H248</f>
        <v>1.4346236458688372E-2</v>
      </c>
      <c r="K249" s="16"/>
      <c r="L249" s="16"/>
      <c r="M249" s="16"/>
      <c r="N249" s="16">
        <f t="shared" ref="N249" si="648">SUM(D243:D249)</f>
        <v>1009295</v>
      </c>
      <c r="O249" s="16">
        <f t="shared" ref="O249" si="649">+H249/BW249</f>
        <v>46327.1875</v>
      </c>
      <c r="P249" s="41"/>
      <c r="Q249" s="17">
        <f t="shared" ref="Q249" si="650">SUM(D243:D249)</f>
        <v>1009295</v>
      </c>
      <c r="R249" s="16"/>
      <c r="S249" s="60">
        <f t="shared" ref="S249" si="651">+(Q249-Q242)/Q242</f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ref="AA249" si="652">+AA248+W249</f>
        <v>250505</v>
      </c>
      <c r="AB249" s="33"/>
      <c r="AC249" s="46">
        <f t="shared" ref="AC249" si="653">+AA249/H249</f>
        <v>2.2530416579537305E-2</v>
      </c>
      <c r="AD249" s="33"/>
      <c r="AE249" s="33">
        <f t="shared" ref="AE249" si="654">+AA249/BW249</f>
        <v>1043.7708333333333</v>
      </c>
      <c r="AF249" s="50"/>
      <c r="AG249" s="33">
        <f t="shared" ref="AG249" si="655">SUM(W243:W249)</f>
        <v>7814</v>
      </c>
      <c r="AH249" s="33">
        <f t="shared" ref="AH249" si="656">SUM(D220:D415)</f>
        <v>794305344.34662843</v>
      </c>
      <c r="AI249" s="231">
        <f t="shared" ref="AI249" si="657">+(AG249-AG242)/AG242</f>
        <v>0.1643570257785725</v>
      </c>
      <c r="AJ249" s="50"/>
      <c r="AK249" s="10"/>
      <c r="AL249" s="23">
        <f t="shared" ref="AL249" si="658">+AP249-AP248</f>
        <v>101885</v>
      </c>
      <c r="AM249" s="24"/>
      <c r="AN249" s="24"/>
      <c r="AO249" s="24">
        <v>178263</v>
      </c>
      <c r="AP249" s="24">
        <v>6891031</v>
      </c>
      <c r="AQ249" s="24"/>
      <c r="AR249" s="504">
        <f t="shared" ref="AR249" si="659">+AL249/AP248</f>
        <v>1.5007042122823696E-2</v>
      </c>
      <c r="AS249" s="25"/>
      <c r="AT249" s="25"/>
      <c r="AU249" s="24"/>
      <c r="AV249" s="341">
        <f t="shared" ref="AV249" si="660">+AP249/H249</f>
        <v>0.61977924230057491</v>
      </c>
      <c r="AW249" s="341"/>
      <c r="AX249" s="24">
        <f t="shared" ref="AX249" si="661">+AP249/BW249</f>
        <v>28712.629166666666</v>
      </c>
      <c r="AY249" s="351"/>
      <c r="AZ249" s="10"/>
      <c r="BA249" s="66">
        <f t="shared" ref="BA249" si="662">+BC249-BC248</f>
        <v>1609746</v>
      </c>
      <c r="BB249" s="67"/>
      <c r="BC249" s="67">
        <v>166751484</v>
      </c>
      <c r="BD249" s="67"/>
      <c r="BE249" s="67">
        <f t="shared" ref="BE249" si="663">+D249</f>
        <v>157253</v>
      </c>
      <c r="BF249" s="67"/>
      <c r="BG249" s="156">
        <f t="shared" ref="BG249" si="664">+BE249/BA249</f>
        <v>9.7688082467668816E-2</v>
      </c>
      <c r="BH249" s="67"/>
      <c r="BI249" s="183"/>
      <c r="BJ249" s="67"/>
      <c r="BK249" s="67">
        <f t="shared" ref="BK249" si="665">SUM(BA243:BA249)</f>
        <v>10196558</v>
      </c>
      <c r="BL249" s="67"/>
      <c r="BM249" s="156">
        <f t="shared" ref="BM249" si="666">+Q249/BK249</f>
        <v>9.8983892407614418E-2</v>
      </c>
      <c r="BN249" s="66">
        <f t="shared" ref="BN249" si="667">+BC249/BW249</f>
        <v>694797.85</v>
      </c>
      <c r="BO249" s="67"/>
      <c r="BP249" s="67">
        <f t="shared" ref="BP249" si="668">+BP248+BE249</f>
        <v>10775878</v>
      </c>
      <c r="BQ249" s="67"/>
      <c r="BR249" s="478">
        <f t="shared" ref="BR249" si="669">+BP249/BC249</f>
        <v>6.46223814116101E-2</v>
      </c>
      <c r="BS249" s="67"/>
      <c r="BT249" s="86"/>
      <c r="BU249" s="183"/>
      <c r="BV249" s="1"/>
      <c r="BW249" s="61">
        <f t="shared" si="186"/>
        <v>240</v>
      </c>
    </row>
    <row r="250" spans="2:75" x14ac:dyDescent="0.3">
      <c r="B250" s="390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ref="H250" si="670">+H249+D250</f>
        <v>11256774</v>
      </c>
      <c r="I250" s="16"/>
      <c r="J250" s="479">
        <f t="shared" ref="J250" si="671">+D250/H249</f>
        <v>1.2434113337875302E-2</v>
      </c>
      <c r="K250" s="16"/>
      <c r="L250" s="16"/>
      <c r="M250" s="16"/>
      <c r="N250" s="16">
        <f t="shared" ref="N250" si="672">SUM(D244:D250)</f>
        <v>1044818</v>
      </c>
      <c r="O250" s="16">
        <f t="shared" ref="O250" si="673">+H250/BW250</f>
        <v>46708.605809128632</v>
      </c>
      <c r="P250" s="41"/>
      <c r="Q250" s="17">
        <f t="shared" ref="Q250" si="674">SUM(D244:D250)</f>
        <v>1044818</v>
      </c>
      <c r="R250" s="16"/>
      <c r="S250" s="60">
        <f t="shared" ref="S250" si="675">+(Q250-Q243)/Q243</f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ref="AA250" si="676">+AA249+W250</f>
        <v>251084</v>
      </c>
      <c r="AB250" s="33"/>
      <c r="AC250" s="46">
        <f t="shared" ref="AC250" si="677">+AA250/H250</f>
        <v>2.2305147105200832E-2</v>
      </c>
      <c r="AD250" s="33"/>
      <c r="AE250" s="33">
        <f t="shared" ref="AE250" si="678">+AA250/BW250</f>
        <v>1041.8423236514523</v>
      </c>
      <c r="AF250" s="50"/>
      <c r="AG250" s="33">
        <f t="shared" ref="AG250" si="679">SUM(W244:W250)</f>
        <v>7881</v>
      </c>
      <c r="AH250" s="33">
        <f t="shared" ref="AH250" si="680">SUM(D221:D416)</f>
        <v>794233657.34662843</v>
      </c>
      <c r="AI250" s="231">
        <f t="shared" ref="AI250" si="681">+(AG250-AG243)/AG243</f>
        <v>0.15489449003517</v>
      </c>
      <c r="AJ250" s="50"/>
      <c r="AK250" s="391"/>
      <c r="AL250" s="23">
        <f t="shared" ref="AL250" si="682">+AP250-AP249</f>
        <v>44599</v>
      </c>
      <c r="AM250" s="24"/>
      <c r="AN250" s="24"/>
      <c r="AO250" s="24">
        <v>178263</v>
      </c>
      <c r="AP250" s="24">
        <v>6935630</v>
      </c>
      <c r="AQ250" s="24"/>
      <c r="AR250" s="504">
        <f t="shared" ref="AR250" si="683">+AL250/AP249</f>
        <v>6.4720358970958049E-3</v>
      </c>
      <c r="AS250" s="25"/>
      <c r="AT250" s="25"/>
      <c r="AU250" s="24"/>
      <c r="AV250" s="341">
        <f t="shared" ref="AV250" si="684">+AP250/H250</f>
        <v>0.61612945236352801</v>
      </c>
      <c r="AW250" s="341"/>
      <c r="AX250" s="24">
        <f t="shared" ref="AX250" si="685">+AP250/BW250</f>
        <v>28778.547717842324</v>
      </c>
      <c r="AY250" s="351"/>
      <c r="AZ250" s="10"/>
      <c r="BA250" s="66">
        <f t="shared" ref="BA250" si="686">+BC250-BC249</f>
        <v>1404360</v>
      </c>
      <c r="BB250" s="67"/>
      <c r="BC250" s="67">
        <v>168155844</v>
      </c>
      <c r="BD250" s="67"/>
      <c r="BE250" s="67">
        <f t="shared" ref="BE250" si="687">+D250</f>
        <v>138249</v>
      </c>
      <c r="BF250" s="67"/>
      <c r="BG250" s="156">
        <f t="shared" ref="BG250" si="688">+BE250/BA250</f>
        <v>9.8442706998205592E-2</v>
      </c>
      <c r="BH250" s="67"/>
      <c r="BI250" s="183"/>
      <c r="BJ250" s="67"/>
      <c r="BK250" s="67">
        <f t="shared" ref="BK250" si="689">SUM(BA244:BA250)</f>
        <v>10552987</v>
      </c>
      <c r="BL250" s="67"/>
      <c r="BM250" s="156">
        <f t="shared" ref="BM250" si="690">+Q250/BK250</f>
        <v>9.9006849908940472E-2</v>
      </c>
      <c r="BN250" s="66">
        <f t="shared" ref="BN250" si="691">+BC250/BW250</f>
        <v>697742.09128630708</v>
      </c>
      <c r="BO250" s="67"/>
      <c r="BP250" s="67">
        <f t="shared" ref="BP250" si="692">+BP249+BE250</f>
        <v>10914127</v>
      </c>
      <c r="BQ250" s="67"/>
      <c r="BR250" s="478">
        <f t="shared" ref="BR250" si="693">+BP250/BC250</f>
        <v>6.4904833161790076E-2</v>
      </c>
      <c r="BS250" s="67"/>
      <c r="BT250" s="86"/>
      <c r="BU250" s="183"/>
      <c r="BV250" s="1"/>
      <c r="BW250" s="61">
        <f t="shared" si="186"/>
        <v>241</v>
      </c>
    </row>
    <row r="251" spans="2:75" x14ac:dyDescent="0.3">
      <c r="B251" s="171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ref="H251" si="694">+H250+D251</f>
        <v>11418923</v>
      </c>
      <c r="I251" s="16"/>
      <c r="J251" s="479">
        <f t="shared" ref="J251" si="695">+D251/H250</f>
        <v>1.4404570972109771E-2</v>
      </c>
      <c r="K251" s="16"/>
      <c r="L251" s="16"/>
      <c r="M251" s="16"/>
      <c r="N251" s="16">
        <f t="shared" ref="N251" si="696">SUM(D245:D251)</f>
        <v>1081278</v>
      </c>
      <c r="O251" s="16">
        <f t="shared" ref="O251" si="697">+H251/BW251</f>
        <v>47185.632231404961</v>
      </c>
      <c r="P251" s="41"/>
      <c r="Q251" s="17">
        <f t="shared" ref="Q251" si="698">SUM(D245:D251)</f>
        <v>1081278</v>
      </c>
      <c r="R251" s="16"/>
      <c r="S251" s="60">
        <f t="shared" ref="S251" si="699">+(Q251-Q244)/Q244</f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ref="AA251" si="700">+AA250+W251</f>
        <v>251823</v>
      </c>
      <c r="AB251" s="33"/>
      <c r="AC251" s="46">
        <f t="shared" ref="AC251" si="701">+AA251/H251</f>
        <v>2.2053130579827888E-2</v>
      </c>
      <c r="AD251" s="33"/>
      <c r="AE251" s="33">
        <f t="shared" ref="AE251" si="702">+AA251/BW251</f>
        <v>1040.590909090909</v>
      </c>
      <c r="AF251" s="50"/>
      <c r="AG251" s="33">
        <f t="shared" ref="AG251" si="703">SUM(W245:W251)</f>
        <v>7979</v>
      </c>
      <c r="AH251" s="33">
        <f t="shared" ref="AH251" si="704">SUM(D222:D417)</f>
        <v>794179425.34662843</v>
      </c>
      <c r="AI251" s="231">
        <f t="shared" ref="AI251" si="705">+(AG251-AG244)/AG244</f>
        <v>0.14921503672763936</v>
      </c>
      <c r="AJ251" s="50"/>
      <c r="AK251" s="10"/>
      <c r="AL251" s="23">
        <f t="shared" ref="AL251" si="706">+AP251-AP250</f>
        <v>83674</v>
      </c>
      <c r="AM251" s="24"/>
      <c r="AN251" s="24"/>
      <c r="AO251" s="24">
        <v>178263</v>
      </c>
      <c r="AP251" s="24">
        <v>7019304</v>
      </c>
      <c r="AQ251" s="24"/>
      <c r="AR251" s="504">
        <f t="shared" ref="AR251" si="707">+AL251/AP250</f>
        <v>1.2064369062363477E-2</v>
      </c>
      <c r="AS251" s="25"/>
      <c r="AT251" s="25"/>
      <c r="AU251" s="24"/>
      <c r="AV251" s="341">
        <f t="shared" ref="AV251" si="708">+AP251/H251</f>
        <v>0.61470805959546271</v>
      </c>
      <c r="AW251" s="341"/>
      <c r="AX251" s="24">
        <f t="shared" ref="AX251" si="709">+AP251/BW251</f>
        <v>29005.388429752067</v>
      </c>
      <c r="AY251" s="351"/>
      <c r="AZ251" s="10"/>
      <c r="BA251" s="66">
        <f t="shared" ref="BA251" si="710">+BC251-BC250</f>
        <v>1980160</v>
      </c>
      <c r="BB251" s="67"/>
      <c r="BC251" s="67">
        <v>170136004</v>
      </c>
      <c r="BD251" s="67"/>
      <c r="BE251" s="67">
        <f t="shared" ref="BE251" si="711">+D251</f>
        <v>162149</v>
      </c>
      <c r="BF251" s="67"/>
      <c r="BG251" s="156">
        <f t="shared" ref="BG251" si="712">+BE251/BA251</f>
        <v>8.1886817226890757E-2</v>
      </c>
      <c r="BH251" s="67"/>
      <c r="BI251" s="183"/>
      <c r="BJ251" s="67"/>
      <c r="BK251" s="67">
        <f t="shared" ref="BK251" si="713">SUM(BA245:BA251)</f>
        <v>10851891</v>
      </c>
      <c r="BL251" s="67"/>
      <c r="BM251" s="156">
        <f t="shared" ref="BM251" si="714">+Q251/BK251</f>
        <v>9.9639592767748961E-2</v>
      </c>
      <c r="BN251" s="66">
        <f t="shared" ref="BN251" si="715">+BC251/BW251</f>
        <v>703041.33884297521</v>
      </c>
      <c r="BO251" s="67"/>
      <c r="BP251" s="67">
        <f t="shared" ref="BP251" si="716">+BP250+BE251</f>
        <v>11076276</v>
      </c>
      <c r="BQ251" s="67"/>
      <c r="BR251" s="478">
        <f t="shared" ref="BR251" si="717">+BP251/BC251</f>
        <v>6.5102481189107983E-2</v>
      </c>
      <c r="BS251" s="67"/>
      <c r="BT251" s="86"/>
      <c r="BU251" s="183"/>
      <c r="BV251" s="1"/>
      <c r="BW251" s="61">
        <f t="shared" si="186"/>
        <v>242</v>
      </c>
    </row>
    <row r="252" spans="2:75" x14ac:dyDescent="0.3">
      <c r="B252" s="171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ref="H252" si="718">+H251+D252</f>
        <v>11576184</v>
      </c>
      <c r="I252" s="16"/>
      <c r="J252" s="479">
        <f t="shared" ref="J252" si="719">+D252/H251</f>
        <v>1.3771964308718082E-2</v>
      </c>
      <c r="K252" s="16"/>
      <c r="L252" s="16"/>
      <c r="M252" s="16"/>
      <c r="N252" s="16">
        <f t="shared" ref="N252" si="720">SUM(D246:D252)</f>
        <v>1102886</v>
      </c>
      <c r="O252" s="16">
        <f t="shared" ref="O252" si="721">+H252/BW252</f>
        <v>47638.617283950618</v>
      </c>
      <c r="P252" s="41"/>
      <c r="Q252" s="17">
        <f t="shared" ref="Q252" si="722">SUM(D246:D252)</f>
        <v>1102886</v>
      </c>
      <c r="R252" s="16"/>
      <c r="S252" s="60">
        <f t="shared" ref="S252" si="723">+(Q252-Q245)/Q245</f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ref="AA252" si="724">+AA251+W252</f>
        <v>253438</v>
      </c>
      <c r="AB252" s="33"/>
      <c r="AC252" s="46">
        <f t="shared" ref="AC252" si="725">+AA252/H252</f>
        <v>2.1893052149136536E-2</v>
      </c>
      <c r="AD252" s="33"/>
      <c r="AE252" s="33">
        <f t="shared" ref="AE252" si="726">+AA252/BW252</f>
        <v>1042.9547325102881</v>
      </c>
      <c r="AF252" s="50"/>
      <c r="AG252" s="33">
        <f t="shared" ref="AG252" si="727">SUM(W246:W252)</f>
        <v>8248</v>
      </c>
      <c r="AH252" s="33">
        <f t="shared" ref="AH252" si="728">SUM(D223:D418)</f>
        <v>794134484.34662843</v>
      </c>
      <c r="AI252" s="231">
        <f t="shared" ref="AI252" si="729">+(AG252-AG245)/AG245</f>
        <v>0.16136299633905943</v>
      </c>
      <c r="AJ252" s="50"/>
      <c r="AK252" s="10"/>
      <c r="AL252" s="23">
        <f t="shared" ref="AL252" si="730">+AP252-AP251</f>
        <v>68492</v>
      </c>
      <c r="AM252" s="24"/>
      <c r="AN252" s="24"/>
      <c r="AO252" s="24">
        <v>178263</v>
      </c>
      <c r="AP252" s="24">
        <v>7087796</v>
      </c>
      <c r="AQ252" s="24"/>
      <c r="AR252" s="504">
        <f t="shared" ref="AR252" si="731">+AL252/AP251</f>
        <v>9.7576625830709147E-3</v>
      </c>
      <c r="AS252" s="25"/>
      <c r="AT252" s="25"/>
      <c r="AU252" s="24"/>
      <c r="AV252" s="341">
        <f t="shared" ref="AV252" si="732">+AP252/H252</f>
        <v>0.61227395832685449</v>
      </c>
      <c r="AW252" s="341"/>
      <c r="AX252" s="24">
        <f t="shared" ref="AX252" si="733">+AP252/BW252</f>
        <v>29167.88477366255</v>
      </c>
      <c r="AY252" s="351"/>
      <c r="AZ252" s="10"/>
      <c r="BA252" s="66">
        <f t="shared" ref="BA252" si="734">+BC252-BC251</f>
        <v>1555687</v>
      </c>
      <c r="BB252" s="67"/>
      <c r="BC252" s="67">
        <v>171691691</v>
      </c>
      <c r="BD252" s="67"/>
      <c r="BE252" s="67">
        <f t="shared" ref="BE252" si="735">+D252</f>
        <v>157261</v>
      </c>
      <c r="BF252" s="67"/>
      <c r="BG252" s="156">
        <f t="shared" ref="BG252" si="736">+BE252/BA252</f>
        <v>0.10108781522247084</v>
      </c>
      <c r="BH252" s="67"/>
      <c r="BI252" s="183"/>
      <c r="BJ252" s="67"/>
      <c r="BK252" s="67">
        <f t="shared" ref="BK252" si="737">SUM(BA246:BA252)</f>
        <v>11096112</v>
      </c>
      <c r="BL252" s="67"/>
      <c r="BM252" s="156">
        <f t="shared" ref="BM252" si="738">+Q252/BK252</f>
        <v>9.9393913832160313E-2</v>
      </c>
      <c r="BN252" s="66">
        <f t="shared" ref="BN252" si="739">+BC252/BW252</f>
        <v>706550.16872427985</v>
      </c>
      <c r="BO252" s="67"/>
      <c r="BP252" s="67">
        <f t="shared" ref="BP252" si="740">+BP251+BE252</f>
        <v>11233537</v>
      </c>
      <c r="BQ252" s="67"/>
      <c r="BR252" s="478">
        <f t="shared" ref="BR252" si="741">+BP252/BC252</f>
        <v>6.5428541908880145E-2</v>
      </c>
      <c r="BS252" s="67"/>
      <c r="BT252" s="86"/>
      <c r="BU252" s="183"/>
      <c r="BV252" s="1"/>
      <c r="BW252" s="61">
        <f t="shared" si="186"/>
        <v>243</v>
      </c>
    </row>
    <row r="253" spans="2:75" x14ac:dyDescent="0.3">
      <c r="B253" s="171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ref="H253" si="742">+H252+D253</f>
        <v>11749952</v>
      </c>
      <c r="I253" s="16"/>
      <c r="J253" s="479">
        <f t="shared" ref="J253" si="743">+D253/H252</f>
        <v>1.5010818763765331E-2</v>
      </c>
      <c r="K253" s="16"/>
      <c r="L253" s="16"/>
      <c r="M253" s="16"/>
      <c r="N253" s="16">
        <f t="shared" ref="N253" si="744">SUM(D247:D253)</f>
        <v>1133748</v>
      </c>
      <c r="O253" s="16">
        <f t="shared" ref="O253" si="745">+H253/BW253</f>
        <v>48155.540983606559</v>
      </c>
      <c r="P253" s="41"/>
      <c r="Q253" s="17">
        <f t="shared" ref="Q253" si="746">SUM(D247:D253)</f>
        <v>1133748</v>
      </c>
      <c r="R253" s="16"/>
      <c r="S253" s="60">
        <f t="shared" ref="S253" si="747">+(Q253-Q246)/Q246</f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ref="AA253" si="748">+AA252+W253</f>
        <v>255402</v>
      </c>
      <c r="AB253" s="33"/>
      <c r="AC253" s="46">
        <f t="shared" ref="AC253" si="749">+AA253/H253</f>
        <v>2.173642922115767E-2</v>
      </c>
      <c r="AD253" s="33"/>
      <c r="AE253" s="33">
        <f t="shared" ref="AE253" si="750">+AA253/BW253</f>
        <v>1046.7295081967213</v>
      </c>
      <c r="AF253" s="50"/>
      <c r="AG253" s="33">
        <f t="shared" ref="AG253" si="751">SUM(W247:W253)</f>
        <v>8742</v>
      </c>
      <c r="AH253" s="33">
        <f t="shared" ref="AH253" si="752">SUM(D224:D419)</f>
        <v>794077157.34662843</v>
      </c>
      <c r="AI253" s="231">
        <f t="shared" ref="AI253" si="753">+(AG253-AG246)/AG246</f>
        <v>0.185999185999186</v>
      </c>
      <c r="AJ253" s="50"/>
      <c r="AK253" s="10"/>
      <c r="AL253" s="23">
        <f t="shared" ref="AL253" si="754">+AP253-AP252</f>
        <v>112200</v>
      </c>
      <c r="AM253" s="24"/>
      <c r="AN253" s="24"/>
      <c r="AO253" s="24">
        <v>178263</v>
      </c>
      <c r="AP253" s="24">
        <v>7199996</v>
      </c>
      <c r="AQ253" s="24"/>
      <c r="AR253" s="504">
        <f t="shared" ref="AR253" si="755">+AL253/AP252</f>
        <v>1.583002671070104E-2</v>
      </c>
      <c r="AS253" s="25"/>
      <c r="AT253" s="25"/>
      <c r="AU253" s="24"/>
      <c r="AV253" s="341">
        <f t="shared" ref="AV253" si="756">+AP253/H253</f>
        <v>0.61276812024423588</v>
      </c>
      <c r="AW253" s="341"/>
      <c r="AX253" s="24">
        <f t="shared" ref="AX253" si="757">+AP253/BW253</f>
        <v>29508.180327868853</v>
      </c>
      <c r="AY253" s="351"/>
      <c r="AZ253" s="10"/>
      <c r="BA253" s="66">
        <f t="shared" ref="BA253" si="758">+BC253-BC252</f>
        <v>1544138</v>
      </c>
      <c r="BB253" s="67"/>
      <c r="BC253" s="67">
        <v>173235829</v>
      </c>
      <c r="BD253" s="67"/>
      <c r="BE253" s="67">
        <f t="shared" ref="BE253" si="759">+D253</f>
        <v>173768</v>
      </c>
      <c r="BF253" s="67"/>
      <c r="BG253" s="156">
        <f t="shared" ref="BG253" si="760">+BE253/BA253</f>
        <v>0.11253398336159073</v>
      </c>
      <c r="BH253" s="67"/>
      <c r="BI253" s="183"/>
      <c r="BJ253" s="67"/>
      <c r="BK253" s="67">
        <f t="shared" ref="BK253" si="761">SUM(BA247:BA253)</f>
        <v>11318262</v>
      </c>
      <c r="BL253" s="67"/>
      <c r="BM253" s="156">
        <f t="shared" ref="BM253" si="762">+Q253/BK253</f>
        <v>0.10016979638746655</v>
      </c>
      <c r="BN253" s="66">
        <f t="shared" ref="BN253" si="763">+BC253/BW253</f>
        <v>709982.90573770495</v>
      </c>
      <c r="BO253" s="67"/>
      <c r="BP253" s="67">
        <f t="shared" ref="BP253" si="764">+BP252+BE253</f>
        <v>11407305</v>
      </c>
      <c r="BQ253" s="67"/>
      <c r="BR253" s="478">
        <f t="shared" ref="BR253" si="765">+BP253/BC253</f>
        <v>6.5848416380424393E-2</v>
      </c>
      <c r="BS253" s="67"/>
      <c r="BT253" s="86"/>
      <c r="BU253" s="183"/>
      <c r="BV253" s="1"/>
      <c r="BW253" s="61">
        <f t="shared" si="186"/>
        <v>244</v>
      </c>
    </row>
    <row r="254" spans="2:75" x14ac:dyDescent="0.3">
      <c r="B254" s="171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ref="H254" si="766">+H253+D254</f>
        <v>11942138</v>
      </c>
      <c r="I254" s="16"/>
      <c r="J254" s="479">
        <f t="shared" ref="J254" si="767">+D254/H253</f>
        <v>1.6356322136464898E-2</v>
      </c>
      <c r="K254" s="16"/>
      <c r="L254" s="16"/>
      <c r="M254" s="16"/>
      <c r="N254" s="16">
        <f t="shared" ref="N254" si="768">SUM(D248:D254)</f>
        <v>1164393</v>
      </c>
      <c r="O254" s="16">
        <f t="shared" ref="O254" si="769">+H254/BW254</f>
        <v>48743.420408163263</v>
      </c>
      <c r="P254" s="41"/>
      <c r="Q254" s="17">
        <f t="shared" ref="Q254" si="770">SUM(D248:D254)</f>
        <v>1164393</v>
      </c>
      <c r="R254" s="16"/>
      <c r="S254" s="60">
        <f t="shared" ref="S254" si="771">+(Q254-Q247)/Q247</f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ref="AA254" si="772">+AA253+W254</f>
        <v>257467</v>
      </c>
      <c r="AB254" s="33"/>
      <c r="AC254" s="46">
        <f t="shared" ref="AC254" si="773">+AA254/H254</f>
        <v>2.1559539841190915E-2</v>
      </c>
      <c r="AD254" s="33"/>
      <c r="AE254" s="33">
        <f t="shared" ref="AE254" si="774">+AA254/BW254</f>
        <v>1050.8857142857144</v>
      </c>
      <c r="AF254" s="50"/>
      <c r="AG254" s="33">
        <f t="shared" ref="AG254" si="775">SUM(W248:W254)</f>
        <v>9617</v>
      </c>
      <c r="AH254" s="33">
        <f t="shared" ref="AH254" si="776">SUM(D225:D420)</f>
        <v>794015085.34662843</v>
      </c>
      <c r="AI254" s="231">
        <f t="shared" ref="AI254" si="777">+(AG254-AG247)/AG247</f>
        <v>0.29365079365079366</v>
      </c>
      <c r="AJ254" s="50"/>
      <c r="AK254" s="10"/>
      <c r="AL254" s="23">
        <f t="shared" ref="AL254" si="778">+AP254-AP253</f>
        <v>43492</v>
      </c>
      <c r="AM254" s="24"/>
      <c r="AN254" s="24"/>
      <c r="AO254" s="24">
        <v>178263</v>
      </c>
      <c r="AP254" s="24">
        <v>7243488</v>
      </c>
      <c r="AQ254" s="24"/>
      <c r="AR254" s="504">
        <f t="shared" ref="AR254" si="779">+AL254/AP253</f>
        <v>6.0405589114216176E-3</v>
      </c>
      <c r="AS254" s="25"/>
      <c r="AT254" s="25"/>
      <c r="AU254" s="24"/>
      <c r="AV254" s="341">
        <f t="shared" ref="AV254" si="780">+AP254/H254</f>
        <v>0.60654867662725054</v>
      </c>
      <c r="AW254" s="341"/>
      <c r="AX254" s="24">
        <f t="shared" ref="AX254" si="781">+AP254/BW254</f>
        <v>29565.257142857143</v>
      </c>
      <c r="AY254" s="351"/>
      <c r="AZ254" s="10"/>
      <c r="BA254" s="66">
        <f t="shared" ref="BA254" si="782">+BC254-BC253</f>
        <v>1748416</v>
      </c>
      <c r="BB254" s="67"/>
      <c r="BC254" s="67">
        <v>174984245</v>
      </c>
      <c r="BD254" s="67"/>
      <c r="BE254" s="67">
        <f t="shared" ref="BE254" si="783">+D254</f>
        <v>192186</v>
      </c>
      <c r="BF254" s="67"/>
      <c r="BG254" s="156">
        <f t="shared" ref="BG254" si="784">+BE254/BA254</f>
        <v>0.10992006479007284</v>
      </c>
      <c r="BH254" s="67"/>
      <c r="BI254" s="183"/>
      <c r="BJ254" s="67"/>
      <c r="BK254" s="67">
        <f t="shared" ref="BK254" si="785">SUM(BA248:BA254)</f>
        <v>11529540</v>
      </c>
      <c r="BL254" s="67"/>
      <c r="BM254" s="156">
        <f t="shared" ref="BM254" si="786">+Q254/BK254</f>
        <v>0.10099214712815949</v>
      </c>
      <c r="BN254" s="66">
        <f t="shared" ref="BN254" si="787">+BC254/BW254</f>
        <v>714221.40816326533</v>
      </c>
      <c r="BO254" s="67"/>
      <c r="BP254" s="67">
        <f t="shared" ref="BP254" si="788">+BP253+BE254</f>
        <v>11599491</v>
      </c>
      <c r="BQ254" s="67"/>
      <c r="BR254" s="478">
        <f t="shared" ref="BR254" si="789">+BP254/BC254</f>
        <v>6.6288773597874481E-2</v>
      </c>
      <c r="BS254" s="67"/>
      <c r="BT254" s="86"/>
      <c r="BU254" s="183"/>
      <c r="BV254" s="1"/>
      <c r="BW254" s="61">
        <f t="shared" si="186"/>
        <v>245</v>
      </c>
    </row>
    <row r="255" spans="2:75" x14ac:dyDescent="0.3">
      <c r="B255" s="171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ref="H255" si="790">+H254+D255</f>
        <v>12146317</v>
      </c>
      <c r="I255" s="16"/>
      <c r="J255" s="479">
        <f t="shared" ref="J255" si="791">+D255/H254</f>
        <v>1.7097357273881779E-2</v>
      </c>
      <c r="K255" s="16"/>
      <c r="L255" s="16"/>
      <c r="M255" s="16"/>
      <c r="N255" s="16">
        <f t="shared" ref="N255" si="792">SUM(D249:D255)</f>
        <v>1185045</v>
      </c>
      <c r="O255" s="16">
        <f t="shared" ref="O255" si="793">+H255/BW255</f>
        <v>49375.272357723574</v>
      </c>
      <c r="P255" s="41"/>
      <c r="Q255" s="17">
        <f t="shared" ref="Q255" si="794">SUM(D249:D255)</f>
        <v>1185045</v>
      </c>
      <c r="R255" s="16"/>
      <c r="S255" s="60">
        <f t="shared" ref="S255" si="795">+(Q255-Q248)/Q248</f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ref="AA255" si="796">+AA254+W255</f>
        <v>259465</v>
      </c>
      <c r="AB255" s="33"/>
      <c r="AC255" s="46">
        <f t="shared" ref="AC255" si="797">+AA255/H255</f>
        <v>2.1361619328723266E-2</v>
      </c>
      <c r="AD255" s="33"/>
      <c r="AE255" s="33">
        <f t="shared" ref="AE255" si="798">+AA255/BW255</f>
        <v>1054.7357723577236</v>
      </c>
      <c r="AF255" s="50"/>
      <c r="AG255" s="33">
        <f t="shared" ref="AG255" si="799">SUM(W249:W255)</f>
        <v>10220</v>
      </c>
      <c r="AH255" s="33">
        <f t="shared" ref="AH255" si="800">SUM(D226:D421)</f>
        <v>793951422.34662843</v>
      </c>
      <c r="AI255" s="231">
        <f t="shared" ref="AI255" si="801">+(AG255-AG248)/AG248</f>
        <v>0.34739617666446937</v>
      </c>
      <c r="AJ255" s="50"/>
      <c r="AK255" s="10"/>
      <c r="AL255" s="23">
        <f t="shared" ref="AL255" si="802">+AP255-AP254</f>
        <v>73572</v>
      </c>
      <c r="AM255" s="24"/>
      <c r="AN255" s="24"/>
      <c r="AO255" s="24">
        <v>178263</v>
      </c>
      <c r="AP255" s="24">
        <v>7317060</v>
      </c>
      <c r="AQ255" s="24"/>
      <c r="AR255" s="504">
        <f t="shared" ref="AR255" si="803">+AL255/AP254</f>
        <v>1.0156985143069196E-2</v>
      </c>
      <c r="AS255" s="25"/>
      <c r="AT255" s="25"/>
      <c r="AU255" s="24"/>
      <c r="AV255" s="341">
        <f t="shared" ref="AV255" si="804">+AP255/H255</f>
        <v>0.60240976750400965</v>
      </c>
      <c r="AW255" s="341"/>
      <c r="AX255" s="24">
        <f t="shared" ref="AX255" si="805">+AP255/BW255</f>
        <v>29744.146341463416</v>
      </c>
      <c r="AY255" s="351"/>
      <c r="AZ255" s="10"/>
      <c r="BA255" s="66">
        <f t="shared" ref="BA255" si="806">+BC255-BC254</f>
        <v>2172596</v>
      </c>
      <c r="BB255" s="67"/>
      <c r="BC255" s="67">
        <v>177156841</v>
      </c>
      <c r="BD255" s="67"/>
      <c r="BE255" s="67">
        <f t="shared" ref="BE255" si="807">+D255</f>
        <v>204179</v>
      </c>
      <c r="BF255" s="67"/>
      <c r="BG255" s="156">
        <f t="shared" ref="BG255" si="808">+BE255/BA255</f>
        <v>9.3979276404817097E-2</v>
      </c>
      <c r="BH255" s="67"/>
      <c r="BI255" s="183"/>
      <c r="BJ255" s="67"/>
      <c r="BK255" s="67">
        <f t="shared" ref="BK255" si="809">SUM(BA249:BA255)</f>
        <v>12015103</v>
      </c>
      <c r="BL255" s="67"/>
      <c r="BM255" s="156">
        <f t="shared" ref="BM255" si="810">+Q255/BK255</f>
        <v>9.8629616408615062E-2</v>
      </c>
      <c r="BN255" s="66">
        <f t="shared" ref="BN255" si="811">+BC255/BW255</f>
        <v>720149.7601626016</v>
      </c>
      <c r="BO255" s="67"/>
      <c r="BP255" s="67">
        <f t="shared" ref="BP255" si="812">+BP254+BE255</f>
        <v>11803670</v>
      </c>
      <c r="BQ255" s="67"/>
      <c r="BR255" s="478">
        <f t="shared" ref="BR255" si="813">+BP255/BC255</f>
        <v>6.6628361249679316E-2</v>
      </c>
      <c r="BS255" s="67"/>
      <c r="BT255" s="86"/>
      <c r="BU255" s="183"/>
      <c r="BV255" s="1"/>
      <c r="BW255" s="61">
        <f t="shared" si="186"/>
        <v>246</v>
      </c>
    </row>
    <row r="256" spans="2:75" x14ac:dyDescent="0.3">
      <c r="B256" s="171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ref="H256" si="814">+H255+D256</f>
        <v>12319156</v>
      </c>
      <c r="I256" s="16"/>
      <c r="J256" s="479">
        <f t="shared" ref="J256" si="815">+D256/H255</f>
        <v>1.4229745526977438E-2</v>
      </c>
      <c r="K256" s="16"/>
      <c r="L256" s="16"/>
      <c r="M256" s="16"/>
      <c r="N256" s="16">
        <f t="shared" ref="N256" si="816">SUM(D250:D256)</f>
        <v>1200631</v>
      </c>
      <c r="O256" s="16">
        <f t="shared" ref="O256" si="817">+H256/BW256</f>
        <v>49875.125506072873</v>
      </c>
      <c r="P256" s="41"/>
      <c r="Q256" s="17">
        <f t="shared" ref="Q256" si="818">SUM(D250:D256)</f>
        <v>1200631</v>
      </c>
      <c r="R256" s="16"/>
      <c r="S256" s="60">
        <f t="shared" ref="S256" si="819">+(Q256-Q249)/Q249</f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ref="AA256" si="820">+AA255+W256</f>
        <v>260925</v>
      </c>
      <c r="AB256" s="33"/>
      <c r="AC256" s="46">
        <f t="shared" ref="AC256" si="821">+AA256/H256</f>
        <v>2.118042826959899E-2</v>
      </c>
      <c r="AD256" s="33"/>
      <c r="AE256" s="33">
        <f t="shared" ref="AE256" si="822">+AA256/BW256</f>
        <v>1056.3765182186235</v>
      </c>
      <c r="AF256" s="50"/>
      <c r="AG256" s="33">
        <f t="shared" ref="AG256" si="823">SUM(W250:W256)</f>
        <v>10420</v>
      </c>
      <c r="AH256" s="33">
        <f t="shared" ref="AH256" si="824">SUM(D227:D422)</f>
        <v>793877121.34662843</v>
      </c>
      <c r="AI256" s="231">
        <f t="shared" ref="AI256" si="825">+(AG256-AG249)/AG249</f>
        <v>0.33350396723829023</v>
      </c>
      <c r="AJ256" s="50"/>
      <c r="AK256" s="10"/>
      <c r="AL256" s="23">
        <f t="shared" ref="AL256" si="826">+AP256-AP255</f>
        <v>86787</v>
      </c>
      <c r="AM256" s="24"/>
      <c r="AN256" s="24"/>
      <c r="AO256" s="24">
        <v>178263</v>
      </c>
      <c r="AP256" s="24">
        <v>7403847</v>
      </c>
      <c r="AQ256" s="24"/>
      <c r="AR256" s="504">
        <f t="shared" ref="AR256" si="827">+AL256/AP255</f>
        <v>1.1860911349640429E-2</v>
      </c>
      <c r="AS256" s="25"/>
      <c r="AT256" s="25"/>
      <c r="AU256" s="24"/>
      <c r="AV256" s="341">
        <f t="shared" ref="AV256" si="828">+AP256/H256</f>
        <v>0.60100277973588445</v>
      </c>
      <c r="AW256" s="341"/>
      <c r="AX256" s="24">
        <f t="shared" ref="AX256" si="829">+AP256/BW256</f>
        <v>29975.08906882591</v>
      </c>
      <c r="AY256" s="351"/>
      <c r="AZ256" s="10"/>
      <c r="BA256" s="66">
        <f t="shared" ref="BA256" si="830">+BC256-BC255</f>
        <v>1882866</v>
      </c>
      <c r="BB256" s="67"/>
      <c r="BC256" s="67">
        <v>179039707</v>
      </c>
      <c r="BD256" s="67"/>
      <c r="BE256" s="67">
        <f t="shared" ref="BE256" si="831">+D256</f>
        <v>172839</v>
      </c>
      <c r="BF256" s="67"/>
      <c r="BG256" s="156">
        <f t="shared" ref="BG256" si="832">+BE256/BA256</f>
        <v>9.1795698684877206E-2</v>
      </c>
      <c r="BH256" s="67"/>
      <c r="BI256" s="183"/>
      <c r="BJ256" s="67"/>
      <c r="BK256" s="67">
        <f t="shared" ref="BK256" si="833">SUM(BA250:BA256)</f>
        <v>12288223</v>
      </c>
      <c r="BL256" s="67"/>
      <c r="BM256" s="156">
        <f t="shared" ref="BM256" si="834">+Q256/BK256</f>
        <v>9.7705827766960282E-2</v>
      </c>
      <c r="BN256" s="66">
        <f t="shared" ref="BN256" si="835">+BC256/BW256</f>
        <v>724857.11336032394</v>
      </c>
      <c r="BO256" s="67"/>
      <c r="BP256" s="67">
        <f t="shared" ref="BP256" si="836">+BP255+BE256</f>
        <v>11976509</v>
      </c>
      <c r="BQ256" s="67"/>
      <c r="BR256" s="478">
        <f t="shared" ref="BR256" si="837">+BP256/BC256</f>
        <v>6.689303283991635E-2</v>
      </c>
      <c r="BS256" s="67"/>
      <c r="BT256" s="86"/>
      <c r="BU256" s="183"/>
      <c r="BV256" s="1"/>
      <c r="BW256" s="61">
        <f t="shared" si="186"/>
        <v>247</v>
      </c>
    </row>
    <row r="257" spans="2:75" x14ac:dyDescent="0.3">
      <c r="B257" s="390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ref="H257" si="838">+H256+D257</f>
        <v>12455783</v>
      </c>
      <c r="I257" s="16"/>
      <c r="J257" s="479">
        <f t="shared" ref="J257" si="839">+D257/H256</f>
        <v>1.1090613675157616E-2</v>
      </c>
      <c r="K257" s="16"/>
      <c r="L257" s="16"/>
      <c r="M257" s="16"/>
      <c r="N257" s="16">
        <f t="shared" ref="N257" si="840">SUM(D251:D257)</f>
        <v>1199009</v>
      </c>
      <c r="O257" s="16">
        <f t="shared" ref="O257" si="841">+H257/BW257</f>
        <v>50224.931451612902</v>
      </c>
      <c r="P257" s="41"/>
      <c r="Q257" s="17">
        <f t="shared" ref="Q257" si="842">SUM(D251:D257)</f>
        <v>1199009</v>
      </c>
      <c r="R257" s="16"/>
      <c r="S257" s="60">
        <f t="shared" ref="S257" si="843">+(Q257-Q250)/Q250</f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ref="AA257" si="844">+AA256+W257</f>
        <v>261791</v>
      </c>
      <c r="AB257" s="33"/>
      <c r="AC257" s="46">
        <f t="shared" ref="AC257" si="845">+AA257/H257</f>
        <v>2.1017626912736037E-2</v>
      </c>
      <c r="AD257" s="33"/>
      <c r="AE257" s="33">
        <f t="shared" ref="AE257" si="846">+AA257/BW257</f>
        <v>1055.608870967742</v>
      </c>
      <c r="AF257" s="50"/>
      <c r="AG257" s="33">
        <f t="shared" ref="AG257" si="847">SUM(W251:W257)</f>
        <v>10707</v>
      </c>
      <c r="AH257" s="33">
        <f t="shared" ref="AH257" si="848">SUM(D228:D423)</f>
        <v>793795707.34662843</v>
      </c>
      <c r="AI257" s="231">
        <f t="shared" ref="AI257" si="849">+(AG257-AG250)/AG250</f>
        <v>0.35858393604872479</v>
      </c>
      <c r="AJ257" s="50"/>
      <c r="AK257" s="10"/>
      <c r="AL257" s="23">
        <f t="shared" ref="AL257" si="850">+AP257-AP256</f>
        <v>48693</v>
      </c>
      <c r="AM257" s="24"/>
      <c r="AN257" s="24"/>
      <c r="AO257" s="24">
        <v>178263</v>
      </c>
      <c r="AP257" s="24">
        <v>7452540</v>
      </c>
      <c r="AQ257" s="24"/>
      <c r="AR257" s="504">
        <f t="shared" ref="AR257" si="851">+AL257/AP256</f>
        <v>6.5767161314921824E-3</v>
      </c>
      <c r="AS257" s="25"/>
      <c r="AT257" s="25"/>
      <c r="AU257" s="24"/>
      <c r="AV257" s="341">
        <f t="shared" ref="AV257" si="852">+AP257/H257</f>
        <v>0.59831967207521197</v>
      </c>
      <c r="AW257" s="341"/>
      <c r="AX257" s="24">
        <f t="shared" ref="AX257" si="853">+AP257/BW257</f>
        <v>30050.564516129034</v>
      </c>
      <c r="AY257" s="351"/>
      <c r="AZ257" s="10"/>
      <c r="BA257" s="66">
        <f t="shared" ref="BA257" si="854">+BC257-BC256</f>
        <v>1632877</v>
      </c>
      <c r="BB257" s="67"/>
      <c r="BC257" s="67">
        <v>180672584</v>
      </c>
      <c r="BD257" s="67"/>
      <c r="BE257" s="67">
        <f t="shared" ref="BE257" si="855">+D257</f>
        <v>136627</v>
      </c>
      <c r="BF257" s="67"/>
      <c r="BG257" s="156">
        <f t="shared" ref="BG257" si="856">+BE257/BA257</f>
        <v>8.3672560762384426E-2</v>
      </c>
      <c r="BH257" s="67"/>
      <c r="BI257" s="183"/>
      <c r="BJ257" s="67"/>
      <c r="BK257" s="67">
        <f t="shared" ref="BK257" si="857">SUM(BA251:BA257)</f>
        <v>12516740</v>
      </c>
      <c r="BL257" s="67"/>
      <c r="BM257" s="156">
        <f t="shared" ref="BM257" si="858">+Q257/BK257</f>
        <v>9.5792434771354198E-2</v>
      </c>
      <c r="BN257" s="66">
        <f t="shared" ref="BN257" si="859">+BC257/BW257</f>
        <v>728518.48387096776</v>
      </c>
      <c r="BO257" s="67"/>
      <c r="BP257" s="67">
        <f t="shared" ref="BP257" si="860">+BP256+BE257</f>
        <v>12113136</v>
      </c>
      <c r="BQ257" s="67"/>
      <c r="BR257" s="478">
        <f t="shared" ref="BR257" si="861">+BP257/BC257</f>
        <v>6.7044682329887972E-2</v>
      </c>
      <c r="BS257" s="67"/>
      <c r="BT257" s="86"/>
      <c r="BU257" s="183"/>
      <c r="BV257" s="1"/>
      <c r="BW257" s="61">
        <f t="shared" si="186"/>
        <v>248</v>
      </c>
    </row>
    <row r="258" spans="2:75" x14ac:dyDescent="0.3">
      <c r="B258" s="171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ref="H258" si="862">+H257+D258</f>
        <v>12628083</v>
      </c>
      <c r="I258" s="16"/>
      <c r="J258" s="479">
        <f t="shared" ref="J258" si="863">+D258/H257</f>
        <v>1.3832932060553721E-2</v>
      </c>
      <c r="K258" s="16"/>
      <c r="L258" s="16"/>
      <c r="M258" s="16"/>
      <c r="N258" s="16">
        <f t="shared" ref="N258" si="864">SUM(D252:D258)</f>
        <v>1209160</v>
      </c>
      <c r="O258" s="16">
        <f t="shared" ref="O258" si="865">+H258/BW258</f>
        <v>50715.192771084337</v>
      </c>
      <c r="P258" s="41"/>
      <c r="Q258" s="17">
        <f t="shared" ref="Q258" si="866">SUM(D252:D258)</f>
        <v>1209160</v>
      </c>
      <c r="R258" s="16"/>
      <c r="S258" s="60">
        <f t="shared" ref="S258" si="867">+(Q258-Q251)/Q251</f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ref="AA258" si="868">+AA257+W258</f>
        <v>262763</v>
      </c>
      <c r="AB258" s="33"/>
      <c r="AC258" s="46">
        <f t="shared" ref="AC258" si="869">+AA258/H258</f>
        <v>2.0807829660289691E-2</v>
      </c>
      <c r="AD258" s="33"/>
      <c r="AE258" s="33">
        <f t="shared" ref="AE258" si="870">+AA258/BW258</f>
        <v>1055.2730923694778</v>
      </c>
      <c r="AF258" s="50"/>
      <c r="AG258" s="33">
        <f t="shared" ref="AG258" si="871">SUM(W252:W258)</f>
        <v>10940</v>
      </c>
      <c r="AH258" s="33">
        <f t="shared" ref="AH258" si="872">SUM(D229:D424)</f>
        <v>793716258.34662843</v>
      </c>
      <c r="AI258" s="231">
        <f t="shared" ref="AI258" si="873">+(AG258-AG251)/AG251</f>
        <v>0.37109913522997867</v>
      </c>
      <c r="AJ258" s="50"/>
      <c r="AK258" s="10"/>
      <c r="AL258" s="23">
        <f t="shared" ref="AL258" si="874">+AP258-AP257</f>
        <v>96474</v>
      </c>
      <c r="AM258" s="24"/>
      <c r="AN258" s="24"/>
      <c r="AO258" s="24">
        <v>178263</v>
      </c>
      <c r="AP258" s="24">
        <v>7549014</v>
      </c>
      <c r="AQ258" s="24"/>
      <c r="AR258" s="504">
        <f t="shared" ref="AR258" si="875">+AL258/AP257</f>
        <v>1.2945116698467905E-2</v>
      </c>
      <c r="AS258" s="25"/>
      <c r="AT258" s="25"/>
      <c r="AU258" s="24"/>
      <c r="AV258" s="341">
        <f t="shared" ref="AV258" si="876">+AP258/H258</f>
        <v>0.59779572243863144</v>
      </c>
      <c r="AW258" s="341"/>
      <c r="AX258" s="24">
        <f t="shared" ref="AX258" si="877">+AP258/BW258</f>
        <v>30317.325301204819</v>
      </c>
      <c r="AY258" s="351"/>
      <c r="AZ258" s="10"/>
      <c r="BA258" s="66">
        <f t="shared" ref="BA258" si="878">+BC258-BC257</f>
        <v>1957711</v>
      </c>
      <c r="BB258" s="67"/>
      <c r="BC258" s="67">
        <v>182630295</v>
      </c>
      <c r="BD258" s="67"/>
      <c r="BE258" s="67">
        <f t="shared" ref="BE258" si="879">+D258</f>
        <v>172300</v>
      </c>
      <c r="BF258" s="67"/>
      <c r="BG258" s="156">
        <f t="shared" ref="BG258" si="880">+BE258/BA258</f>
        <v>8.8010947478969065E-2</v>
      </c>
      <c r="BH258" s="67"/>
      <c r="BI258" s="183"/>
      <c r="BJ258" s="67"/>
      <c r="BK258" s="67">
        <f t="shared" ref="BK258" si="881">SUM(BA252:BA258)</f>
        <v>12494291</v>
      </c>
      <c r="BL258" s="67"/>
      <c r="BM258" s="156">
        <f t="shared" ref="BM258" si="882">+Q258/BK258</f>
        <v>9.6776999991436088E-2</v>
      </c>
      <c r="BN258" s="66">
        <f t="shared" ref="BN258" si="883">+BC258/BW258</f>
        <v>733455</v>
      </c>
      <c r="BO258" s="67"/>
      <c r="BP258" s="67">
        <f t="shared" ref="BP258" si="884">+BP257+BE258</f>
        <v>12285436</v>
      </c>
      <c r="BQ258" s="67"/>
      <c r="BR258" s="478">
        <f t="shared" ref="BR258" si="885">+BP258/BC258</f>
        <v>6.7269430846618294E-2</v>
      </c>
      <c r="BS258" s="67"/>
      <c r="BT258" s="86"/>
      <c r="BU258" s="183"/>
      <c r="BV258" s="1"/>
      <c r="BW258" s="61">
        <f t="shared" si="186"/>
        <v>249</v>
      </c>
    </row>
    <row r="259" spans="2:75" x14ac:dyDescent="0.3">
      <c r="B259" s="171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ref="H259" si="886">+H258+D259</f>
        <v>12805165</v>
      </c>
      <c r="I259" s="16"/>
      <c r="J259" s="479">
        <f t="shared" ref="J259" si="887">+D259/H258</f>
        <v>1.4022872671964542E-2</v>
      </c>
      <c r="K259" s="16"/>
      <c r="L259" s="16"/>
      <c r="M259" s="16"/>
      <c r="N259" s="16">
        <f t="shared" ref="N259" si="888">SUM(D253:D259)</f>
        <v>1228981</v>
      </c>
      <c r="O259" s="16">
        <f t="shared" ref="O259" si="889">+H259/BW259</f>
        <v>51220.66</v>
      </c>
      <c r="P259" s="41"/>
      <c r="Q259" s="17">
        <f t="shared" ref="Q259" si="890">SUM(D253:D259)</f>
        <v>1228981</v>
      </c>
      <c r="R259" s="16"/>
      <c r="S259" s="60">
        <f t="shared" ref="S259" si="891">+(Q259-Q252)/Q252</f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ref="AA259" si="892">+AA258+W259</f>
        <v>264979</v>
      </c>
      <c r="AB259" s="33"/>
      <c r="AC259" s="46">
        <f t="shared" ref="AC259" si="893">+AA259/H259</f>
        <v>2.0693134371950694E-2</v>
      </c>
      <c r="AD259" s="33"/>
      <c r="AE259" s="33">
        <f t="shared" ref="AE259" si="894">+AA259/BW259</f>
        <v>1059.9159999999999</v>
      </c>
      <c r="AF259" s="50"/>
      <c r="AG259" s="33">
        <f t="shared" ref="AG259" si="895">SUM(W253:W259)</f>
        <v>11541</v>
      </c>
      <c r="AH259" s="33">
        <f t="shared" ref="AH259" si="896">SUM(D230:D425)</f>
        <v>793655369.34662843</v>
      </c>
      <c r="AI259" s="231">
        <f t="shared" ref="AI259" si="897">+(AG259-AG252)/AG252</f>
        <v>0.39924830261881666</v>
      </c>
      <c r="AJ259" s="50"/>
      <c r="AK259" s="10"/>
      <c r="AL259" s="23">
        <f t="shared" ref="AL259" si="898">+AP259-AP258</f>
        <v>87992</v>
      </c>
      <c r="AM259" s="24"/>
      <c r="AN259" s="24"/>
      <c r="AO259" s="24">
        <v>178263</v>
      </c>
      <c r="AP259" s="24">
        <v>7637006</v>
      </c>
      <c r="AQ259" s="24"/>
      <c r="AR259" s="504">
        <f t="shared" ref="AR259" si="899">+AL259/AP258</f>
        <v>1.165609177569415E-2</v>
      </c>
      <c r="AS259" s="25"/>
      <c r="AT259" s="25"/>
      <c r="AU259" s="24"/>
      <c r="AV259" s="341">
        <f t="shared" ref="AV259" si="900">+AP259/H259</f>
        <v>0.59640043685497224</v>
      </c>
      <c r="AW259" s="341"/>
      <c r="AX259" s="24">
        <f t="shared" ref="AX259" si="901">+AP259/BW259</f>
        <v>30548.024000000001</v>
      </c>
      <c r="AY259" s="351"/>
      <c r="AZ259" s="10"/>
      <c r="BA259" s="66">
        <f t="shared" ref="BA259" si="902">+BC259-BC258</f>
        <v>1731520</v>
      </c>
      <c r="BB259" s="67"/>
      <c r="BC259" s="67">
        <v>184361815</v>
      </c>
      <c r="BD259" s="67"/>
      <c r="BE259" s="67">
        <f t="shared" ref="BE259" si="903">+D259</f>
        <v>177082</v>
      </c>
      <c r="BF259" s="67"/>
      <c r="BG259" s="156">
        <f t="shared" ref="BG259" si="904">+BE259/BA259</f>
        <v>0.10226968212899649</v>
      </c>
      <c r="BH259" s="67"/>
      <c r="BI259" s="183"/>
      <c r="BJ259" s="67"/>
      <c r="BK259" s="67">
        <f t="shared" ref="BK259" si="905">SUM(BA253:BA259)</f>
        <v>12670124</v>
      </c>
      <c r="BL259" s="67"/>
      <c r="BM259" s="156">
        <f t="shared" ref="BM259" si="906">+Q259/BK259</f>
        <v>9.6998340347734566E-2</v>
      </c>
      <c r="BN259" s="66">
        <f t="shared" ref="BN259" si="907">+BC259/BW259</f>
        <v>737447.26</v>
      </c>
      <c r="BO259" s="67"/>
      <c r="BP259" s="67">
        <f t="shared" ref="BP259" si="908">+BP258+BE259</f>
        <v>12462518</v>
      </c>
      <c r="BQ259" s="67"/>
      <c r="BR259" s="478">
        <f t="shared" ref="BR259" si="909">+BP259/BC259</f>
        <v>6.7598152035984238E-2</v>
      </c>
      <c r="BS259" s="67"/>
      <c r="BT259" s="86"/>
      <c r="BU259" s="183"/>
      <c r="BV259" s="1"/>
      <c r="BW259" s="61">
        <f t="shared" si="186"/>
        <v>250</v>
      </c>
    </row>
    <row r="260" spans="2:75" x14ac:dyDescent="0.3">
      <c r="B260" s="171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ref="H260" si="910">+H259+D260</f>
        <v>12986068</v>
      </c>
      <c r="I260" s="16"/>
      <c r="J260" s="479">
        <f t="shared" ref="J260" si="911">+D260/H259</f>
        <v>1.4127346270040253E-2</v>
      </c>
      <c r="K260" s="16"/>
      <c r="L260" s="16"/>
      <c r="M260" s="16"/>
      <c r="N260" s="16">
        <f t="shared" ref="N260" si="912">SUM(D254:D260)</f>
        <v>1236116</v>
      </c>
      <c r="O260" s="16">
        <f t="shared" ref="O260" si="913">+H260/BW260</f>
        <v>51737.322709163345</v>
      </c>
      <c r="P260" s="41"/>
      <c r="Q260" s="17">
        <f t="shared" ref="Q260" si="914">SUM(D254:D260)</f>
        <v>1236116</v>
      </c>
      <c r="R260" s="16"/>
      <c r="S260" s="60">
        <f t="shared" ref="S260" si="915">+(Q260-Q253)/Q253</f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ref="AA260" si="916">+AA259+W260</f>
        <v>267281</v>
      </c>
      <c r="AB260" s="33"/>
      <c r="AC260" s="46">
        <f t="shared" ref="AC260" si="917">+AA260/H260</f>
        <v>2.058213463844483E-2</v>
      </c>
      <c r="AD260" s="33"/>
      <c r="AE260" s="33">
        <f t="shared" ref="AE260" si="918">+AA260/BW260</f>
        <v>1064.8645418326694</v>
      </c>
      <c r="AF260" s="50"/>
      <c r="AG260" s="33">
        <f t="shared" ref="AG260" si="919">SUM(W254:W260)</f>
        <v>11879</v>
      </c>
      <c r="AH260" s="33">
        <f t="shared" ref="AH260" si="920">SUM(D231:D426)</f>
        <v>793585528.34662843</v>
      </c>
      <c r="AI260" s="231">
        <f t="shared" ref="AI260" si="921">+(AG260-AG253)/AG253</f>
        <v>0.35884237016700982</v>
      </c>
      <c r="AJ260" s="50"/>
      <c r="AK260" s="10"/>
      <c r="AL260" s="23">
        <f t="shared" ref="AL260" si="922">+AP260-AP259</f>
        <v>168274</v>
      </c>
      <c r="AM260" s="24"/>
      <c r="AN260" s="24"/>
      <c r="AO260" s="24">
        <v>178263</v>
      </c>
      <c r="AP260" s="24">
        <v>7805280</v>
      </c>
      <c r="AQ260" s="24"/>
      <c r="AR260" s="504">
        <f t="shared" ref="AR260" si="923">+AL260/AP259</f>
        <v>2.2034027470974882E-2</v>
      </c>
      <c r="AS260" s="25"/>
      <c r="AT260" s="25"/>
      <c r="AU260" s="24"/>
      <c r="AV260" s="341">
        <f t="shared" ref="AV260" si="924">+AP260/H260</f>
        <v>0.60105029482365258</v>
      </c>
      <c r="AW260" s="341"/>
      <c r="AX260" s="24">
        <f t="shared" ref="AX260" si="925">+AP260/BW260</f>
        <v>31096.733067729085</v>
      </c>
      <c r="AY260" s="351"/>
      <c r="AZ260" s="10"/>
      <c r="BA260" s="66">
        <f t="shared" ref="BA260" si="926">+BC260-BC259</f>
        <v>1743927</v>
      </c>
      <c r="BB260" s="67"/>
      <c r="BC260" s="67">
        <v>186105742</v>
      </c>
      <c r="BD260" s="67"/>
      <c r="BE260" s="67">
        <f t="shared" ref="BE260" si="927">+D260</f>
        <v>180903</v>
      </c>
      <c r="BF260" s="67"/>
      <c r="BG260" s="156">
        <f t="shared" ref="BG260" si="928">+BE260/BA260</f>
        <v>0.10373312644393945</v>
      </c>
      <c r="BH260" s="67"/>
      <c r="BI260" s="183"/>
      <c r="BJ260" s="67"/>
      <c r="BK260" s="67">
        <f t="shared" ref="BK260" si="929">SUM(BA254:BA260)</f>
        <v>12869913</v>
      </c>
      <c r="BL260" s="67"/>
      <c r="BM260" s="156">
        <f t="shared" ref="BM260" si="930">+Q260/BK260</f>
        <v>9.6046958514793376E-2</v>
      </c>
      <c r="BN260" s="66">
        <f t="shared" ref="BN260" si="931">+BC260/BW260</f>
        <v>741457.13944223104</v>
      </c>
      <c r="BO260" s="67"/>
      <c r="BP260" s="67">
        <f t="shared" ref="BP260" si="932">+BP259+BE260</f>
        <v>12643421</v>
      </c>
      <c r="BQ260" s="67"/>
      <c r="BR260" s="478">
        <f t="shared" ref="BR260" si="933">+BP260/BC260</f>
        <v>6.793675930751239E-2</v>
      </c>
      <c r="BS260" s="67"/>
      <c r="BT260" s="86"/>
      <c r="BU260" s="183"/>
      <c r="BV260" s="1"/>
      <c r="BW260" s="61">
        <f t="shared" si="186"/>
        <v>251</v>
      </c>
    </row>
    <row r="261" spans="2:75" x14ac:dyDescent="0.3">
      <c r="B261" s="171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ref="H261" si="934">+H260+D261</f>
        <v>13094131</v>
      </c>
      <c r="I261" s="16"/>
      <c r="J261" s="479">
        <f t="shared" ref="J261" si="935">+D261/H260</f>
        <v>8.3214565024609458E-3</v>
      </c>
      <c r="K261" s="16"/>
      <c r="L261" s="16"/>
      <c r="M261" s="16"/>
      <c r="N261" s="16">
        <f t="shared" ref="N261" si="936">SUM(D255:D261)</f>
        <v>1151993</v>
      </c>
      <c r="O261" s="16">
        <f t="shared" ref="O261" si="937">+H261/BW261</f>
        <v>51960.8373015873</v>
      </c>
      <c r="P261" s="41"/>
      <c r="Q261" s="17">
        <f t="shared" ref="Q261" si="938">SUM(D255:D261)</f>
        <v>1151993</v>
      </c>
      <c r="R261" s="16"/>
      <c r="S261" s="60">
        <f t="shared" ref="S261" si="939">+(Q261-Q254)/Q254</f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ref="AA261" si="940">+AA260+W261</f>
        <v>268587</v>
      </c>
      <c r="AB261" s="33"/>
      <c r="AC261" s="46">
        <f t="shared" ref="AC261" si="941">+AA261/H261</f>
        <v>2.0512014122968526E-2</v>
      </c>
      <c r="AD261" s="33"/>
      <c r="AE261" s="33">
        <f t="shared" ref="AE261" si="942">+AA261/BW261</f>
        <v>1065.8214285714287</v>
      </c>
      <c r="AF261" s="50"/>
      <c r="AG261" s="33">
        <f t="shared" ref="AG261" si="943">SUM(W255:W261)</f>
        <v>11120</v>
      </c>
      <c r="AH261" s="33">
        <f t="shared" ref="AH261" si="944">SUM(D232:D427)</f>
        <v>793510456.34662843</v>
      </c>
      <c r="AI261" s="231">
        <f t="shared" ref="AI261" si="945">+(AG261-AG254)/AG254</f>
        <v>0.15628574399500883</v>
      </c>
      <c r="AJ261" s="50"/>
      <c r="AK261" s="10"/>
      <c r="AL261" s="23">
        <f t="shared" ref="AL261" si="946">+AP261-AP260</f>
        <v>41592</v>
      </c>
      <c r="AM261" s="24"/>
      <c r="AN261" s="24"/>
      <c r="AO261" s="24">
        <v>178263</v>
      </c>
      <c r="AP261" s="24">
        <v>7846872</v>
      </c>
      <c r="AQ261" s="24"/>
      <c r="AR261" s="504">
        <f t="shared" ref="AR261" si="947">+AL261/AP260</f>
        <v>5.3287005719205461E-3</v>
      </c>
      <c r="AS261" s="25"/>
      <c r="AT261" s="25"/>
      <c r="AU261" s="24"/>
      <c r="AV261" s="341">
        <f t="shared" ref="AV261" si="948">+AP261/H261</f>
        <v>0.59926634306621795</v>
      </c>
      <c r="AW261" s="341"/>
      <c r="AX261" s="24">
        <f t="shared" ref="AX261" si="949">+AP261/BW261</f>
        <v>31138.380952380954</v>
      </c>
      <c r="AY261" s="351"/>
      <c r="AZ261" s="10"/>
      <c r="BA261" s="66">
        <f t="shared" ref="BA261" si="950">+BC261-BC260</f>
        <v>1036887</v>
      </c>
      <c r="BB261" s="67"/>
      <c r="BC261" s="67">
        <v>187142629</v>
      </c>
      <c r="BD261" s="67"/>
      <c r="BE261" s="67">
        <f t="shared" ref="BE261" si="951">+D261</f>
        <v>108063</v>
      </c>
      <c r="BF261" s="67"/>
      <c r="BG261" s="156">
        <f t="shared" ref="BG261" si="952">+BE261/BA261</f>
        <v>0.10421868535337023</v>
      </c>
      <c r="BH261" s="67"/>
      <c r="BI261" s="183"/>
      <c r="BJ261" s="67"/>
      <c r="BK261" s="67">
        <f t="shared" ref="BK261" si="953">SUM(BA255:BA261)</f>
        <v>12158384</v>
      </c>
      <c r="BL261" s="67"/>
      <c r="BM261" s="156">
        <f t="shared" ref="BM261" si="954">+Q261/BK261</f>
        <v>9.4748858071927983E-2</v>
      </c>
      <c r="BN261" s="66">
        <f t="shared" ref="BN261" si="955">+BC261/BW261</f>
        <v>742629.48015873018</v>
      </c>
      <c r="BO261" s="67"/>
      <c r="BP261" s="67">
        <f t="shared" ref="BP261" si="956">+BP260+BE261</f>
        <v>12751484</v>
      </c>
      <c r="BQ261" s="67"/>
      <c r="BR261" s="478">
        <f t="shared" ref="BR261" si="957">+BP261/BC261</f>
        <v>6.8137783829038762E-2</v>
      </c>
      <c r="BS261" s="67"/>
      <c r="BT261" s="86"/>
      <c r="BU261" s="183"/>
      <c r="BV261" s="1"/>
      <c r="BW261" s="61">
        <f t="shared" si="186"/>
        <v>252</v>
      </c>
    </row>
    <row r="262" spans="2:75" x14ac:dyDescent="0.3">
      <c r="B262" s="171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" si="958">+H261+D262</f>
        <v>13258143</v>
      </c>
      <c r="I262" s="16"/>
      <c r="J262" s="479">
        <f t="shared" ref="J262" si="959">+D262/H261</f>
        <v>1.2525611665256748E-2</v>
      </c>
      <c r="K262" s="16"/>
      <c r="L262" s="16"/>
      <c r="M262" s="16"/>
      <c r="N262" s="16">
        <f t="shared" ref="N262" si="960">SUM(D256:D262)</f>
        <v>1111826</v>
      </c>
      <c r="O262" s="16">
        <f t="shared" ref="O262" si="961">+H262/BW262</f>
        <v>52403.727272727272</v>
      </c>
      <c r="P262" s="41"/>
      <c r="Q262" s="17">
        <f t="shared" ref="Q262" si="962">SUM(D256:D262)</f>
        <v>1111826</v>
      </c>
      <c r="R262" s="16"/>
      <c r="S262" s="60">
        <f t="shared" ref="S262" si="963">+(Q262-Q255)/Q255</f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" si="964">+AA261+W262</f>
        <v>269951</v>
      </c>
      <c r="AB262" s="33"/>
      <c r="AC262" s="46">
        <f t="shared" ref="AC262" si="965">+AA262/H262</f>
        <v>2.0361147107856657E-2</v>
      </c>
      <c r="AD262" s="33"/>
      <c r="AE262" s="33">
        <f t="shared" ref="AE262" si="966">+AA262/BW262</f>
        <v>1067</v>
      </c>
      <c r="AF262" s="50"/>
      <c r="AG262" s="33">
        <f t="shared" ref="AG262" si="967">SUM(W256:W262)</f>
        <v>10486</v>
      </c>
      <c r="AH262" s="33">
        <f t="shared" ref="AH262" si="968">SUM(D233:D428)</f>
        <v>793428875.34662843</v>
      </c>
      <c r="AI262" s="231">
        <f t="shared" ref="AI262" si="969">+(AG262-AG255)/AG255</f>
        <v>2.6027397260273973E-2</v>
      </c>
      <c r="AJ262" s="50"/>
      <c r="AK262" s="10"/>
      <c r="AL262" s="23">
        <f t="shared" ref="AL262" si="970">+AP262-AP261</f>
        <v>98710</v>
      </c>
      <c r="AM262" s="24"/>
      <c r="AN262" s="24"/>
      <c r="AO262" s="24">
        <v>178263</v>
      </c>
      <c r="AP262" s="24">
        <v>7945582</v>
      </c>
      <c r="AQ262" s="24"/>
      <c r="AR262" s="504">
        <f t="shared" ref="AR262" si="971">+AL262/AP261</f>
        <v>1.2579534877082231E-2</v>
      </c>
      <c r="AS262" s="25"/>
      <c r="AT262" s="25"/>
      <c r="AU262" s="24"/>
      <c r="AV262" s="341">
        <f t="shared" ref="AV262" si="972">+AP262/H262</f>
        <v>0.59929825768209022</v>
      </c>
      <c r="AW262" s="341"/>
      <c r="AX262" s="24">
        <f t="shared" ref="AX262" si="973">+AP262/BW262</f>
        <v>31405.462450592884</v>
      </c>
      <c r="AY262" s="351"/>
      <c r="AZ262" s="10"/>
      <c r="BA262" s="66">
        <f t="shared" ref="BA262" si="974">+BC262-BC261</f>
        <v>2146376</v>
      </c>
      <c r="BB262" s="67"/>
      <c r="BC262" s="67">
        <v>189289005</v>
      </c>
      <c r="BD262" s="67"/>
      <c r="BE262" s="67">
        <f t="shared" ref="BE262" si="975">+D262</f>
        <v>164012</v>
      </c>
      <c r="BF262" s="67"/>
      <c r="BG262" s="156">
        <f t="shared" ref="BG262" si="976">+BE262/BA262</f>
        <v>7.6413452256268236E-2</v>
      </c>
      <c r="BH262" s="67"/>
      <c r="BI262" s="183"/>
      <c r="BJ262" s="67"/>
      <c r="BK262" s="67">
        <f t="shared" ref="BK262" si="977">SUM(BA256:BA262)</f>
        <v>12132164</v>
      </c>
      <c r="BL262" s="67"/>
      <c r="BM262" s="156">
        <f t="shared" ref="BM262" si="978">+Q262/BK262</f>
        <v>9.1642842942116512E-2</v>
      </c>
      <c r="BN262" s="66">
        <f t="shared" ref="BN262" si="979">+BC262/BW262</f>
        <v>748177.88537549402</v>
      </c>
      <c r="BO262" s="67"/>
      <c r="BP262" s="67">
        <f t="shared" ref="BP262" si="980">+BP261+BE262</f>
        <v>12915496</v>
      </c>
      <c r="BQ262" s="67"/>
      <c r="BR262" s="478">
        <f t="shared" ref="BR262" si="981">+BP262/BC262</f>
        <v>6.823162285627736E-2</v>
      </c>
      <c r="BS262" s="67"/>
      <c r="BT262" s="86"/>
      <c r="BU262" s="183"/>
      <c r="BV262" s="1"/>
      <c r="BW262" s="61">
        <f t="shared" si="186"/>
        <v>253</v>
      </c>
    </row>
    <row r="263" spans="2:75" x14ac:dyDescent="0.3">
      <c r="B263" s="171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ref="H263" si="982">+H262+D263</f>
        <v>13401516</v>
      </c>
      <c r="I263" s="16"/>
      <c r="J263" s="479">
        <f t="shared" ref="J263" si="983">+D263/H262</f>
        <v>1.0813957882336916E-2</v>
      </c>
      <c r="K263" s="16"/>
      <c r="L263" s="16"/>
      <c r="M263" s="16"/>
      <c r="N263" s="16">
        <f t="shared" ref="N263" si="984">SUM(D257:D263)</f>
        <v>1082360</v>
      </c>
      <c r="O263" s="16">
        <f t="shared" ref="O263" si="985">+H263/BW263</f>
        <v>52761.874015748028</v>
      </c>
      <c r="P263" s="41"/>
      <c r="Q263" s="17">
        <f t="shared" ref="Q263" si="986">SUM(D257:D263)</f>
        <v>1082360</v>
      </c>
      <c r="R263" s="16"/>
      <c r="S263" s="60">
        <f t="shared" ref="S263" si="987">+(Q263-Q256)/Q256</f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ref="AA263" si="988">+AA262+W263</f>
        <v>271167</v>
      </c>
      <c r="AB263" s="33"/>
      <c r="AC263" s="46">
        <f t="shared" ref="AC263" si="989">+AA263/H263</f>
        <v>2.0234054117459547E-2</v>
      </c>
      <c r="AD263" s="33"/>
      <c r="AE263" s="33">
        <f t="shared" ref="AE263" si="990">+AA263/BW263</f>
        <v>1067.5866141732283</v>
      </c>
      <c r="AF263" s="50"/>
      <c r="AG263" s="33">
        <f t="shared" ref="AG263" si="991">SUM(W257:W263)</f>
        <v>10242</v>
      </c>
      <c r="AH263" s="33">
        <f t="shared" ref="AH263" si="992">SUM(D234:D429)</f>
        <v>793337345.34662843</v>
      </c>
      <c r="AI263" s="231">
        <f t="shared" ref="AI263" si="993">+(AG263-AG256)/AG256</f>
        <v>-1.708253358925144E-2</v>
      </c>
      <c r="AJ263" s="50"/>
      <c r="AK263" s="10"/>
      <c r="AL263" s="23">
        <f t="shared" ref="AL263" si="994">+AP263-AP262</f>
        <v>95657</v>
      </c>
      <c r="AM263" s="24"/>
      <c r="AN263" s="24"/>
      <c r="AO263" s="24">
        <v>178263</v>
      </c>
      <c r="AP263" s="24">
        <v>8041239</v>
      </c>
      <c r="AQ263" s="24"/>
      <c r="AR263" s="504">
        <f t="shared" ref="AR263" si="995">+AL263/AP262</f>
        <v>1.203901740615099E-2</v>
      </c>
      <c r="AS263" s="25"/>
      <c r="AT263" s="25"/>
      <c r="AU263" s="24"/>
      <c r="AV263" s="341">
        <f t="shared" ref="AV263" si="996">+AP263/H263</f>
        <v>0.60002457930878861</v>
      </c>
      <c r="AW263" s="341"/>
      <c r="AX263" s="24">
        <f t="shared" ref="AX263" si="997">+AP263/BW263</f>
        <v>31658.421259842518</v>
      </c>
      <c r="AY263" s="351"/>
      <c r="AZ263" s="10"/>
      <c r="BA263" s="66">
        <f t="shared" ref="BA263" si="998">+BC263-BC262</f>
        <v>1744219</v>
      </c>
      <c r="BB263" s="67"/>
      <c r="BC263" s="67">
        <v>191033224</v>
      </c>
      <c r="BD263" s="67"/>
      <c r="BE263" s="67">
        <f t="shared" ref="BE263" si="999">+D263</f>
        <v>143373</v>
      </c>
      <c r="BF263" s="67"/>
      <c r="BG263" s="156">
        <f t="shared" ref="BG263" si="1000">+BE263/BA263</f>
        <v>8.2198966987517053E-2</v>
      </c>
      <c r="BH263" s="67"/>
      <c r="BI263" s="183"/>
      <c r="BJ263" s="67"/>
      <c r="BK263" s="67">
        <f t="shared" ref="BK263" si="1001">SUM(BA257:BA263)</f>
        <v>11993517</v>
      </c>
      <c r="BL263" s="67"/>
      <c r="BM263" s="156">
        <f t="shared" ref="BM263" si="1002">+Q263/BK263</f>
        <v>9.0245421755770217E-2</v>
      </c>
      <c r="BN263" s="66">
        <f t="shared" ref="BN263" si="1003">+BC263/BW263</f>
        <v>752099.30708661419</v>
      </c>
      <c r="BO263" s="67"/>
      <c r="BP263" s="67">
        <f t="shared" ref="BP263" si="1004">+BP262+BE263</f>
        <v>13058869</v>
      </c>
      <c r="BQ263" s="67"/>
      <c r="BR263" s="478">
        <f t="shared" ref="BR263" si="1005">+BP263/BC263</f>
        <v>6.8359150971560839E-2</v>
      </c>
      <c r="BS263" s="67"/>
      <c r="BT263" s="86"/>
      <c r="BU263" s="183"/>
      <c r="BV263" s="1"/>
      <c r="BW263" s="61">
        <f t="shared" si="186"/>
        <v>254</v>
      </c>
    </row>
    <row r="264" spans="2:75" x14ac:dyDescent="0.3">
      <c r="B264" s="390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ref="H264" si="1006">+H263+D264</f>
        <v>13539704</v>
      </c>
      <c r="I264" s="16"/>
      <c r="J264" s="479">
        <f t="shared" ref="J264" si="1007">+D264/H263</f>
        <v>1.0311370743429325E-2</v>
      </c>
      <c r="K264" s="16"/>
      <c r="L264" s="16"/>
      <c r="M264" s="16"/>
      <c r="N264" s="16">
        <f t="shared" ref="N264" si="1008">SUM(D258:D264)</f>
        <v>1083921</v>
      </c>
      <c r="O264" s="16">
        <f t="shared" ref="O264" si="1009">+H264/BW264</f>
        <v>53096.878431372548</v>
      </c>
      <c r="P264" s="41"/>
      <c r="Q264" s="17">
        <f t="shared" ref="Q264" si="1010">SUM(D258:D264)</f>
        <v>1083921</v>
      </c>
      <c r="R264" s="16"/>
      <c r="S264" s="60">
        <f t="shared" ref="S264" si="1011">+(Q264-Q257)/Q257</f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ref="AA264" si="1012">+AA263+W264</f>
        <v>271986</v>
      </c>
      <c r="AB264" s="33"/>
      <c r="AC264" s="46">
        <f t="shared" ref="AC264" si="1013">+AA264/H264</f>
        <v>2.0088031466566774E-2</v>
      </c>
      <c r="AD264" s="33"/>
      <c r="AE264" s="33">
        <f t="shared" ref="AE264" si="1014">+AA264/BW264</f>
        <v>1066.6117647058823</v>
      </c>
      <c r="AF264" s="50"/>
      <c r="AG264" s="33">
        <f t="shared" ref="AG264" si="1015">SUM(W258:W264)</f>
        <v>10195</v>
      </c>
      <c r="AH264" s="33">
        <f t="shared" ref="AH264" si="1016">SUM(D235:D430)</f>
        <v>793235884.34662843</v>
      </c>
      <c r="AI264" s="231">
        <f t="shared" ref="AI264" si="1017">+(AG264-AG257)/AG257</f>
        <v>-4.7819183711590552E-2</v>
      </c>
      <c r="AJ264" s="50"/>
      <c r="AK264" s="10"/>
      <c r="AL264" s="23">
        <f t="shared" ref="AL264" si="1018">+AP264-AP263</f>
        <v>65964</v>
      </c>
      <c r="AM264" s="24"/>
      <c r="AN264" s="24"/>
      <c r="AO264" s="24">
        <v>178263</v>
      </c>
      <c r="AP264" s="24">
        <v>8107203</v>
      </c>
      <c r="AQ264" s="24"/>
      <c r="AR264" s="504">
        <f t="shared" ref="AR264" si="1019">+AL264/AP263</f>
        <v>8.2032134600153028E-3</v>
      </c>
      <c r="AS264" s="25"/>
      <c r="AT264" s="25"/>
      <c r="AU264" s="24"/>
      <c r="AV264" s="341">
        <f t="shared" ref="AV264" si="1020">+AP264/H264</f>
        <v>0.59877254332886454</v>
      </c>
      <c r="AW264" s="341"/>
      <c r="AX264" s="24">
        <f t="shared" ref="AX264" si="1021">+AP264/BW264</f>
        <v>31792.952941176471</v>
      </c>
      <c r="AY264" s="351"/>
      <c r="AZ264" s="10"/>
      <c r="BA264" s="66">
        <f t="shared" ref="BA264" si="1022">+BC264-BC263</f>
        <v>1238144</v>
      </c>
      <c r="BB264" s="67"/>
      <c r="BC264" s="67">
        <v>192271368</v>
      </c>
      <c r="BD264" s="67"/>
      <c r="BE264" s="67">
        <f t="shared" ref="BE264" si="1023">+D264</f>
        <v>138188</v>
      </c>
      <c r="BF264" s="67"/>
      <c r="BG264" s="156">
        <f t="shared" ref="BG264" si="1024">+BE264/BA264</f>
        <v>0.11160898893828182</v>
      </c>
      <c r="BH264" s="67"/>
      <c r="BI264" s="183"/>
      <c r="BJ264" s="67"/>
      <c r="BK264" s="67">
        <f t="shared" ref="BK264" si="1025">SUM(BA258:BA264)</f>
        <v>11598784</v>
      </c>
      <c r="BL264" s="67"/>
      <c r="BM264" s="156">
        <f t="shared" ref="BM264" si="1026">+Q264/BK264</f>
        <v>9.3451261787442549E-2</v>
      </c>
      <c r="BN264" s="66">
        <f t="shared" ref="BN264" si="1027">+BC264/BW264</f>
        <v>754005.36470588238</v>
      </c>
      <c r="BO264" s="67"/>
      <c r="BP264" s="67">
        <f t="shared" ref="BP264" si="1028">+BP263+BE264</f>
        <v>13197057</v>
      </c>
      <c r="BQ264" s="67"/>
      <c r="BR264" s="478">
        <f t="shared" ref="BR264" si="1029">+BP264/BC264</f>
        <v>6.8637661120713511E-2</v>
      </c>
      <c r="BS264" s="67"/>
      <c r="BT264" s="86"/>
      <c r="BU264" s="183"/>
      <c r="BV264" s="1"/>
      <c r="BW264" s="61">
        <f t="shared" si="186"/>
        <v>255</v>
      </c>
    </row>
    <row r="265" spans="2:75" x14ac:dyDescent="0.3">
      <c r="B265" s="171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ref="H265" si="1030">+H264+D265</f>
        <v>13701272</v>
      </c>
      <c r="I265" s="16"/>
      <c r="J265" s="479">
        <f t="shared" ref="J265" si="1031">+D265/H264</f>
        <v>1.1932904884774439E-2</v>
      </c>
      <c r="K265" s="16"/>
      <c r="L265" s="16"/>
      <c r="M265" s="16"/>
      <c r="N265" s="16">
        <f t="shared" ref="N265" si="1032">SUM(D259:D265)</f>
        <v>1073189</v>
      </c>
      <c r="O265" s="16">
        <f t="shared" ref="O265" si="1033">+H265/BW265</f>
        <v>53520.59375</v>
      </c>
      <c r="P265" s="41"/>
      <c r="Q265" s="17">
        <f t="shared" ref="Q265" si="1034">SUM(D259:D265)</f>
        <v>1073189</v>
      </c>
      <c r="R265" s="16"/>
      <c r="S265" s="60">
        <f t="shared" ref="S265" si="1035">+(Q265-Q258)/Q258</f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ref="AA265" si="1036">+AA264+W265</f>
        <v>273224</v>
      </c>
      <c r="AB265" s="33"/>
      <c r="AC265" s="46">
        <f t="shared" ref="AC265" si="1037">+AA265/H265</f>
        <v>1.9941506160887836E-2</v>
      </c>
      <c r="AD265" s="33"/>
      <c r="AE265" s="33">
        <f t="shared" ref="AE265" si="1038">+AA265/BW265</f>
        <v>1067.28125</v>
      </c>
      <c r="AF265" s="50"/>
      <c r="AG265" s="33">
        <f t="shared" ref="AG265" si="1039">SUM(W259:W265)</f>
        <v>10461</v>
      </c>
      <c r="AH265" s="33">
        <f t="shared" ref="AH265" si="1040">SUM(D236:D431)</f>
        <v>793149591.34662843</v>
      </c>
      <c r="AI265" s="231">
        <f t="shared" ref="AI265" si="1041">+(AG265-AG258)/AG258</f>
        <v>-4.3784277879341867E-2</v>
      </c>
      <c r="AJ265" s="50"/>
      <c r="AK265" s="10"/>
      <c r="AL265" s="23">
        <f t="shared" ref="AL265" si="1042">+AP265-AP264</f>
        <v>115676</v>
      </c>
      <c r="AM265" s="24"/>
      <c r="AN265" s="24"/>
      <c r="AO265" s="24">
        <v>178263</v>
      </c>
      <c r="AP265" s="24">
        <v>8222879</v>
      </c>
      <c r="AQ265" s="24"/>
      <c r="AR265" s="504">
        <f t="shared" ref="AR265" si="1043">+AL265/AP264</f>
        <v>1.4268299436932811E-2</v>
      </c>
      <c r="AS265" s="25"/>
      <c r="AT265" s="25"/>
      <c r="AU265" s="24"/>
      <c r="AV265" s="341">
        <f t="shared" ref="AV265" si="1044">+AP265/H265</f>
        <v>0.60015442361847859</v>
      </c>
      <c r="AW265" s="341"/>
      <c r="AX265" s="24">
        <f t="shared" ref="AX265" si="1045">+AP265/BW265</f>
        <v>32120.62109375</v>
      </c>
      <c r="AY265" s="351"/>
      <c r="AZ265" s="10"/>
      <c r="BA265" s="66">
        <f t="shared" ref="BA265" si="1046">+BC265-BC264</f>
        <v>2637381</v>
      </c>
      <c r="BB265" s="67"/>
      <c r="BC265" s="67">
        <v>194908749</v>
      </c>
      <c r="BD265" s="67"/>
      <c r="BE265" s="67">
        <f t="shared" ref="BE265" si="1047">+D265</f>
        <v>161568</v>
      </c>
      <c r="BF265" s="67"/>
      <c r="BG265" s="156">
        <f t="shared" ref="BG265" si="1048">+BE265/BA265</f>
        <v>6.1260773471864705E-2</v>
      </c>
      <c r="BH265" s="67"/>
      <c r="BI265" s="183"/>
      <c r="BJ265" s="67"/>
      <c r="BK265" s="67">
        <f t="shared" ref="BK265" si="1049">SUM(BA259:BA265)</f>
        <v>12278454</v>
      </c>
      <c r="BL265" s="67"/>
      <c r="BM265" s="156">
        <f t="shared" ref="BM265" si="1050">+Q265/BK265</f>
        <v>8.7404244866658293E-2</v>
      </c>
      <c r="BN265" s="66">
        <f t="shared" ref="BN265" si="1051">+BC265/BW265</f>
        <v>761362.30078125</v>
      </c>
      <c r="BO265" s="67"/>
      <c r="BP265" s="67">
        <f t="shared" ref="BP265" si="1052">+BP264+BE265</f>
        <v>13358625</v>
      </c>
      <c r="BQ265" s="67"/>
      <c r="BR265" s="478">
        <f t="shared" ref="BR265" si="1053">+BP265/BC265</f>
        <v>6.8537841777436062E-2</v>
      </c>
      <c r="BS265" s="67"/>
      <c r="BT265" s="86"/>
      <c r="BU265" s="183"/>
      <c r="BV265" s="1"/>
      <c r="BW265" s="61">
        <f t="shared" si="186"/>
        <v>256</v>
      </c>
    </row>
    <row r="266" spans="2:75" x14ac:dyDescent="0.3">
      <c r="B266" s="171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ref="H266" si="1054">+H265+D266</f>
        <v>13883548</v>
      </c>
      <c r="I266" s="16"/>
      <c r="J266" s="479">
        <f t="shared" ref="J266" si="1055">+D266/H265</f>
        <v>1.3303582324327259E-2</v>
      </c>
      <c r="K266" s="16"/>
      <c r="L266" s="16"/>
      <c r="M266" s="16"/>
      <c r="N266" s="16">
        <f t="shared" ref="N266" si="1056">SUM(D260:D266)</f>
        <v>1078383</v>
      </c>
      <c r="O266" s="16">
        <f t="shared" ref="O266" si="1057">+H266/BW266</f>
        <v>54021.587548638134</v>
      </c>
      <c r="P266" s="41"/>
      <c r="Q266" s="17">
        <f t="shared" ref="Q266" si="1058">SUM(D260:D266)</f>
        <v>1078383</v>
      </c>
      <c r="R266" s="16"/>
      <c r="S266" s="60">
        <f t="shared" ref="S266" si="1059">+(Q266-Q259)/Q259</f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ref="AA266" si="1060">+AA265+W266</f>
        <v>275838</v>
      </c>
      <c r="AB266" s="33"/>
      <c r="AC266" s="46">
        <f t="shared" ref="AC266" si="1061">+AA266/H266</f>
        <v>1.9867976111005631E-2</v>
      </c>
      <c r="AD266" s="33"/>
      <c r="AE266" s="33">
        <f t="shared" ref="AE266" si="1062">+AA266/BW266</f>
        <v>1073.2996108949417</v>
      </c>
      <c r="AF266" s="50"/>
      <c r="AG266" s="33">
        <f t="shared" ref="AG266" si="1063">SUM(W260:W266)</f>
        <v>10859</v>
      </c>
      <c r="AH266" s="33">
        <f t="shared" ref="AH266" si="1064">SUM(D237:D432)</f>
        <v>793078270.34662843</v>
      </c>
      <c r="AI266" s="231">
        <f t="shared" ref="AI266" si="1065">+(AG266-AG259)/AG259</f>
        <v>-5.9093666060133436E-2</v>
      </c>
      <c r="AJ266" s="50"/>
      <c r="AK266" s="10"/>
      <c r="AL266" s="23">
        <f t="shared" ref="AL266" si="1066">+AP266-AP265</f>
        <v>110376</v>
      </c>
      <c r="AM266" s="24"/>
      <c r="AN266" s="24"/>
      <c r="AO266" s="24">
        <v>178263</v>
      </c>
      <c r="AP266" s="24">
        <v>8333255</v>
      </c>
      <c r="AQ266" s="24"/>
      <c r="AR266" s="504">
        <f t="shared" ref="AR266" si="1067">+AL266/AP265</f>
        <v>1.3423035897767679E-2</v>
      </c>
      <c r="AS266" s="25"/>
      <c r="AT266" s="25"/>
      <c r="AU266" s="24"/>
      <c r="AV266" s="341">
        <f t="shared" ref="AV266" si="1068">+AP266/H266</f>
        <v>0.60022517298892186</v>
      </c>
      <c r="AW266" s="341"/>
      <c r="AX266" s="24">
        <f t="shared" ref="AX266" si="1069">+AP266/BW266</f>
        <v>32425.116731517508</v>
      </c>
      <c r="AY266" s="351"/>
      <c r="AZ266" s="10"/>
      <c r="BA266" s="66">
        <f t="shared" ref="BA266" si="1070">+BC266-BC265</f>
        <v>1298299</v>
      </c>
      <c r="BB266" s="67"/>
      <c r="BC266" s="67">
        <v>196207048</v>
      </c>
      <c r="BD266" s="67"/>
      <c r="BE266" s="67">
        <f t="shared" ref="BE266" si="1071">+D266</f>
        <v>182276</v>
      </c>
      <c r="BF266" s="67"/>
      <c r="BG266" s="156">
        <f t="shared" ref="BG266" si="1072">+BE266/BA266</f>
        <v>0.14039601047216396</v>
      </c>
      <c r="BH266" s="67"/>
      <c r="BI266" s="183"/>
      <c r="BJ266" s="67"/>
      <c r="BK266" s="67">
        <f t="shared" ref="BK266" si="1073">SUM(BA260:BA266)</f>
        <v>11845233</v>
      </c>
      <c r="BL266" s="67"/>
      <c r="BM266" s="156">
        <f t="shared" ref="BM266" si="1074">+Q266/BK266</f>
        <v>9.1039408004891076E-2</v>
      </c>
      <c r="BN266" s="66">
        <f t="shared" ref="BN266" si="1075">+BC266/BW266</f>
        <v>763451.54863813228</v>
      </c>
      <c r="BO266" s="67"/>
      <c r="BP266" s="67">
        <f t="shared" ref="BP266" si="1076">+BP265+BE266</f>
        <v>13540901</v>
      </c>
      <c r="BQ266" s="67"/>
      <c r="BR266" s="478">
        <f t="shared" ref="BR266" si="1077">+BP266/BC266</f>
        <v>6.901332616756968E-2</v>
      </c>
      <c r="BS266" s="67"/>
      <c r="BT266" s="86"/>
      <c r="BU266" s="183"/>
      <c r="BV266" s="1"/>
      <c r="BW266" s="61">
        <f t="shared" si="186"/>
        <v>257</v>
      </c>
    </row>
    <row r="267" spans="2:75" x14ac:dyDescent="0.3">
      <c r="B267" s="171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ref="H267" si="1078">+H266+D267</f>
        <v>14087285</v>
      </c>
      <c r="I267" s="16"/>
      <c r="J267" s="479">
        <f t="shared" ref="J267" si="1079">+D267/H266</f>
        <v>1.467470707055574E-2</v>
      </c>
      <c r="K267" s="16"/>
      <c r="L267" s="16"/>
      <c r="M267" s="16"/>
      <c r="N267" s="16">
        <f t="shared" ref="N267" si="1080">SUM(D261:D267)</f>
        <v>1101217</v>
      </c>
      <c r="O267" s="16">
        <f t="shared" ref="O267" si="1081">+H267/BW267</f>
        <v>54601.879844961237</v>
      </c>
      <c r="P267" s="41"/>
      <c r="Q267" s="17">
        <f t="shared" ref="Q267" si="1082">SUM(D261:D267)</f>
        <v>1101217</v>
      </c>
      <c r="R267" s="16"/>
      <c r="S267" s="60">
        <f t="shared" ref="S267" si="1083">+(Q267-Q260)/Q260</f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ref="AA267" si="1084">+AA266+W267</f>
        <v>278671</v>
      </c>
      <c r="AB267" s="33"/>
      <c r="AC267" s="46">
        <f t="shared" ref="AC267" si="1085">+AA267/H267</f>
        <v>1.9781739348639572E-2</v>
      </c>
      <c r="AD267" s="33"/>
      <c r="AE267" s="33">
        <f t="shared" ref="AE267" si="1086">+AA267/BW267</f>
        <v>1080.1201550387598</v>
      </c>
      <c r="AF267" s="50"/>
      <c r="AG267" s="33">
        <f t="shared" ref="AG267" si="1087">SUM(W261:W267)</f>
        <v>11390</v>
      </c>
      <c r="AH267" s="33">
        <f t="shared" ref="AH267" si="1088">SUM(D238:D433)</f>
        <v>792989365.34662843</v>
      </c>
      <c r="AI267" s="231">
        <f t="shared" ref="AI267" si="1089">+(AG267-AG260)/AG260</f>
        <v>-4.1165081235794258E-2</v>
      </c>
      <c r="AJ267" s="50"/>
      <c r="AK267" s="10"/>
      <c r="AL267" s="23">
        <f t="shared" ref="AL267" si="1090">+AP267-AP266</f>
        <v>129179</v>
      </c>
      <c r="AM267" s="24"/>
      <c r="AN267" s="24"/>
      <c r="AO267" s="24">
        <v>178263</v>
      </c>
      <c r="AP267" s="24">
        <v>8462434</v>
      </c>
      <c r="AQ267" s="24"/>
      <c r="AR267" s="504">
        <f t="shared" ref="AR267" si="1091">+AL267/AP266</f>
        <v>1.5501625715281724E-2</v>
      </c>
      <c r="AS267" s="25"/>
      <c r="AT267" s="25"/>
      <c r="AU267" s="24"/>
      <c r="AV267" s="341">
        <f t="shared" ref="AV267" si="1092">+AP267/H267</f>
        <v>0.60071433210870651</v>
      </c>
      <c r="AW267" s="341"/>
      <c r="AX267" s="24">
        <f t="shared" ref="AX267" si="1093">+AP267/BW267</f>
        <v>32800.131782945733</v>
      </c>
      <c r="AY267" s="351"/>
      <c r="AZ267" s="10"/>
      <c r="BA267" s="66">
        <f t="shared" ref="BA267" si="1094">+BC267-BC266</f>
        <v>3699465</v>
      </c>
      <c r="BB267" s="67"/>
      <c r="BC267" s="67">
        <v>199906513</v>
      </c>
      <c r="BD267" s="67"/>
      <c r="BE267" s="67">
        <f t="shared" ref="BE267" si="1095">+D267</f>
        <v>203737</v>
      </c>
      <c r="BF267" s="67"/>
      <c r="BG267" s="156">
        <f t="shared" ref="BG267" si="1096">+BE267/BA267</f>
        <v>5.5072017170050266E-2</v>
      </c>
      <c r="BH267" s="67"/>
      <c r="BI267" s="183"/>
      <c r="BJ267" s="67"/>
      <c r="BK267" s="67">
        <f t="shared" ref="BK267" si="1097">SUM(BA261:BA267)</f>
        <v>13800771</v>
      </c>
      <c r="BL267" s="67"/>
      <c r="BM267" s="156">
        <f t="shared" ref="BM267" si="1098">+Q267/BK267</f>
        <v>7.9793875284214194E-2</v>
      </c>
      <c r="BN267" s="66">
        <f t="shared" ref="BN267" si="1099">+BC267/BW267</f>
        <v>774831.44573643408</v>
      </c>
      <c r="BO267" s="67"/>
      <c r="BP267" s="67">
        <f t="shared" ref="BP267" si="1100">+BP266+BE267</f>
        <v>13744638</v>
      </c>
      <c r="BQ267" s="67"/>
      <c r="BR267" s="478">
        <f t="shared" ref="BR267" si="1101">+BP267/BC267</f>
        <v>6.8755328647046129E-2</v>
      </c>
      <c r="BS267" s="67"/>
      <c r="BT267" s="86"/>
      <c r="BU267" s="183"/>
      <c r="BV267" s="1"/>
      <c r="BW267" s="61">
        <f t="shared" si="186"/>
        <v>258</v>
      </c>
    </row>
    <row r="268" spans="2:75" x14ac:dyDescent="0.3">
      <c r="B268" s="171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ref="H268" si="1102">+H267+D268</f>
        <v>14305861</v>
      </c>
      <c r="I268" s="16"/>
      <c r="J268" s="479">
        <f t="shared" ref="J268" si="1103">+D268/H267</f>
        <v>1.5515835734138977E-2</v>
      </c>
      <c r="K268" s="16"/>
      <c r="L268" s="16"/>
      <c r="M268" s="16"/>
      <c r="N268" s="16">
        <f t="shared" ref="N268" si="1104">SUM(D262:D268)</f>
        <v>1211730</v>
      </c>
      <c r="O268" s="16">
        <f t="shared" ref="O268" si="1105">+H268/BW268</f>
        <v>55234.984555984556</v>
      </c>
      <c r="P268" s="41"/>
      <c r="Q268" s="17">
        <f t="shared" ref="Q268" si="1106">SUM(D262:D268)</f>
        <v>1211730</v>
      </c>
      <c r="R268" s="16"/>
      <c r="S268" s="60">
        <f t="shared" ref="S268" si="1107">+(Q268-Q261)/Q261</f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ref="AA268" si="1108">+AA267+W268</f>
        <v>281589</v>
      </c>
      <c r="AB268" s="33"/>
      <c r="AC268" s="46">
        <f t="shared" ref="AC268" si="1109">+AA268/H268</f>
        <v>1.9683470991365009E-2</v>
      </c>
      <c r="AD268" s="33"/>
      <c r="AE268" s="33">
        <f t="shared" ref="AE268" si="1110">+AA268/BW268</f>
        <v>1087.2162162162163</v>
      </c>
      <c r="AF268" s="50"/>
      <c r="AG268" s="33">
        <f t="shared" ref="AG268" si="1111">SUM(W262:W268)</f>
        <v>13002</v>
      </c>
      <c r="AH268" s="33">
        <f t="shared" ref="AH268" si="1112">SUM(D239:D434)</f>
        <v>792894898.34662843</v>
      </c>
      <c r="AI268" s="231">
        <f t="shared" ref="AI268" si="1113">+(AG268-AG261)/AG261</f>
        <v>0.16924460431654675</v>
      </c>
      <c r="AJ268" s="50"/>
      <c r="AK268" s="10"/>
      <c r="AL268" s="23">
        <f t="shared" ref="AL268" si="1114">+AP268-AP267</f>
        <v>98993</v>
      </c>
      <c r="AM268" s="24"/>
      <c r="AN268" s="24"/>
      <c r="AO268" s="24">
        <v>178263</v>
      </c>
      <c r="AP268" s="24">
        <v>8561427</v>
      </c>
      <c r="AQ268" s="24"/>
      <c r="AR268" s="504">
        <f t="shared" ref="AR268" si="1115">+AL268/AP267</f>
        <v>1.1697934660406214E-2</v>
      </c>
      <c r="AS268" s="25"/>
      <c r="AT268" s="25"/>
      <c r="AU268" s="24"/>
      <c r="AV268" s="341">
        <f t="shared" ref="AV268" si="1116">+AP268/H268</f>
        <v>0.5984559055900236</v>
      </c>
      <c r="AW268" s="341"/>
      <c r="AX268" s="24">
        <f t="shared" ref="AX268" si="1117">+AP268/BW268</f>
        <v>33055.7027027027</v>
      </c>
      <c r="AY268" s="351"/>
      <c r="AZ268" s="10"/>
      <c r="BA268" s="66">
        <f t="shared" ref="BA268" si="1118">+BC268-BC267</f>
        <v>1862950</v>
      </c>
      <c r="BB268" s="67"/>
      <c r="BC268" s="67">
        <v>201769463</v>
      </c>
      <c r="BD268" s="67"/>
      <c r="BE268" s="67">
        <f t="shared" ref="BE268" si="1119">+D268</f>
        <v>218576</v>
      </c>
      <c r="BF268" s="67"/>
      <c r="BG268" s="156">
        <f t="shared" ref="BG268" si="1120">+BE268/BA268</f>
        <v>0.11732789393166752</v>
      </c>
      <c r="BH268" s="67"/>
      <c r="BI268" s="183"/>
      <c r="BJ268" s="67"/>
      <c r="BK268" s="67">
        <f t="shared" ref="BK268" si="1121">SUM(BA262:BA268)</f>
        <v>14626834</v>
      </c>
      <c r="BL268" s="67"/>
      <c r="BM268" s="156">
        <f t="shared" ref="BM268" si="1122">+Q268/BK268</f>
        <v>8.2842944686457781E-2</v>
      </c>
      <c r="BN268" s="66">
        <f t="shared" ref="BN268" si="1123">+BC268/BW268</f>
        <v>779032.67567567562</v>
      </c>
      <c r="BO268" s="67"/>
      <c r="BP268" s="67">
        <f t="shared" ref="BP268" si="1124">+BP267+BE268</f>
        <v>13963214</v>
      </c>
      <c r="BQ268" s="67"/>
      <c r="BR268" s="478">
        <f t="shared" ref="BR268" si="1125">+BP268/BC268</f>
        <v>6.9203802163065681E-2</v>
      </c>
      <c r="BS268" s="67"/>
      <c r="BT268" s="86"/>
      <c r="BU268" s="183"/>
      <c r="BV268" s="1"/>
      <c r="BW268" s="61">
        <f t="shared" si="186"/>
        <v>259</v>
      </c>
    </row>
    <row r="269" spans="2:75" x14ac:dyDescent="0.3">
      <c r="B269" s="171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ref="H269" si="1126">+H268+D269</f>
        <v>14541133</v>
      </c>
      <c r="I269" s="16"/>
      <c r="J269" s="479">
        <f t="shared" ref="J269" si="1127">+D269/H268</f>
        <v>1.6445846915470519E-2</v>
      </c>
      <c r="K269" s="16"/>
      <c r="L269" s="16"/>
      <c r="M269" s="16"/>
      <c r="N269" s="16">
        <f t="shared" ref="N269" si="1128">SUM(D263:D269)</f>
        <v>1282990</v>
      </c>
      <c r="O269" s="16">
        <f t="shared" ref="O269" si="1129">+H269/BW269</f>
        <v>55927.434615384613</v>
      </c>
      <c r="P269" s="41"/>
      <c r="Q269" s="17">
        <f t="shared" ref="Q269" si="1130">SUM(D263:D269)</f>
        <v>1282990</v>
      </c>
      <c r="R269" s="16"/>
      <c r="S269" s="60">
        <f t="shared" ref="S269" si="1131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ref="AA269" si="1132">+AA268+W269</f>
        <v>284307</v>
      </c>
      <c r="AB269" s="33"/>
      <c r="AC269" s="46">
        <f t="shared" ref="AC269" si="1133">+AA269/H269</f>
        <v>1.9551915246219121E-2</v>
      </c>
      <c r="AD269" s="33"/>
      <c r="AE269" s="33">
        <f t="shared" ref="AE269" si="1134">+AA269/BW269</f>
        <v>1093.4884615384615</v>
      </c>
      <c r="AF269" s="50"/>
      <c r="AG269" s="33">
        <f t="shared" ref="AG269" si="1135">SUM(W263:W269)</f>
        <v>14356</v>
      </c>
      <c r="AH269" s="33">
        <f t="shared" ref="AH269" si="1136">SUM(D240:D435)</f>
        <v>792786509.34662843</v>
      </c>
      <c r="AI269" s="231">
        <f t="shared" ref="AI269" si="1137">+(AG269-AG262)/AG262</f>
        <v>0.36906351325576958</v>
      </c>
      <c r="AJ269" s="50"/>
      <c r="AK269" s="10"/>
      <c r="AL269" s="23">
        <f t="shared" ref="AL269" si="1138">+AP269-AP268</f>
        <v>97455</v>
      </c>
      <c r="AM269" s="24"/>
      <c r="AN269" s="24"/>
      <c r="AO269" s="24">
        <v>178263</v>
      </c>
      <c r="AP269" s="24">
        <v>8658882</v>
      </c>
      <c r="AQ269" s="24"/>
      <c r="AR269" s="504">
        <f t="shared" ref="AR269" si="1139">+AL269/AP268</f>
        <v>1.1383032291229021E-2</v>
      </c>
      <c r="AS269" s="25"/>
      <c r="AT269" s="25"/>
      <c r="AU269" s="24"/>
      <c r="AV269" s="341">
        <f t="shared" ref="AV269" si="1140">+AP269/H269</f>
        <v>0.59547505686111257</v>
      </c>
      <c r="AW269" s="341"/>
      <c r="AX269" s="24">
        <f t="shared" ref="AX269" si="1141">+AP269/BW269</f>
        <v>33303.392307692309</v>
      </c>
      <c r="AY269" s="351"/>
      <c r="AZ269" s="10"/>
      <c r="BA269" s="66">
        <f t="shared" ref="BA269" si="1142">+BC269-BC268</f>
        <v>2114538</v>
      </c>
      <c r="BB269" s="67"/>
      <c r="BC269" s="67">
        <v>203884001</v>
      </c>
      <c r="BD269" s="67"/>
      <c r="BE269" s="67">
        <f t="shared" ref="BE269" si="1143">+D269</f>
        <v>235272</v>
      </c>
      <c r="BF269" s="67"/>
      <c r="BG269" s="156">
        <f t="shared" ref="BG269" si="1144">+BE269/BA269</f>
        <v>0.11126402079319454</v>
      </c>
      <c r="BH269" s="67"/>
      <c r="BI269" s="183"/>
      <c r="BJ269" s="67"/>
      <c r="BK269" s="67">
        <f t="shared" ref="BK269" si="1145">SUM(BA263:BA269)</f>
        <v>14594996</v>
      </c>
      <c r="BL269" s="67"/>
      <c r="BM269" s="156">
        <f t="shared" ref="BM269" si="1146">+Q269/BK269</f>
        <v>8.7906156329196669E-2</v>
      </c>
      <c r="BN269" s="66">
        <f t="shared" ref="BN269" si="1147">+BC269/BW269</f>
        <v>784169.2346153846</v>
      </c>
      <c r="BO269" s="67"/>
      <c r="BP269" s="67">
        <f t="shared" ref="BP269" si="1148">+BP268+BE269</f>
        <v>14198486</v>
      </c>
      <c r="BQ269" s="67"/>
      <c r="BR269" s="478">
        <f t="shared" ref="BR269" si="1149">+BP269/BC269</f>
        <v>6.9640020454572113E-2</v>
      </c>
      <c r="BS269" s="67"/>
      <c r="BT269" s="86"/>
      <c r="BU269" s="183"/>
      <c r="BV269" s="1"/>
      <c r="BW269" s="61">
        <f t="shared" si="186"/>
        <v>260</v>
      </c>
    </row>
    <row r="270" spans="2:75" x14ac:dyDescent="0.3">
      <c r="B270" s="171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ref="H270" si="1150">+H269+D270</f>
        <v>14753616</v>
      </c>
      <c r="I270" s="16"/>
      <c r="J270" s="479">
        <f t="shared" ref="J270" si="1151">+D270/H269</f>
        <v>1.4612547729258785E-2</v>
      </c>
      <c r="K270" s="16"/>
      <c r="L270" s="16"/>
      <c r="M270" s="16"/>
      <c r="N270" s="16">
        <f t="shared" ref="N270" si="1152">SUM(D264:D270)</f>
        <v>1352100</v>
      </c>
      <c r="O270" s="16">
        <f t="shared" ref="O270" si="1153">+H270/BW270</f>
        <v>56527.264367816089</v>
      </c>
      <c r="P270" s="41"/>
      <c r="Q270" s="17">
        <f t="shared" ref="Q270" si="1154">SUM(D264:D270)</f>
        <v>1352100</v>
      </c>
      <c r="R270" s="16"/>
      <c r="S270" s="60">
        <f t="shared" ref="S270" si="1155">+(Q270-Q263)/Q263</f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ref="AA270" si="1156">+AA269+W270</f>
        <v>286573</v>
      </c>
      <c r="AB270" s="33"/>
      <c r="AC270" s="46">
        <f t="shared" ref="AC270" si="1157">+AA270/H270</f>
        <v>1.9423916143676234E-2</v>
      </c>
      <c r="AD270" s="33"/>
      <c r="AE270" s="33">
        <f t="shared" ref="AE270" si="1158">+AA270/BW270</f>
        <v>1097.9808429118773</v>
      </c>
      <c r="AF270" s="50"/>
      <c r="AG270" s="33">
        <f t="shared" ref="AG270" si="1159">SUM(W264:W270)</f>
        <v>15406</v>
      </c>
      <c r="AH270" s="33">
        <f t="shared" ref="AH270" si="1160">SUM(D241:D436)</f>
        <v>792668190.34662843</v>
      </c>
      <c r="AI270" s="231">
        <f t="shared" ref="AI270" si="1161">+(AG270-AG263)/AG263</f>
        <v>0.50419839875024408</v>
      </c>
      <c r="AJ270" s="50"/>
      <c r="AK270" s="10"/>
      <c r="AL270" s="23">
        <f t="shared" ref="AL270" si="1162">+AP270-AP269</f>
        <v>130467</v>
      </c>
      <c r="AM270" s="24"/>
      <c r="AN270" s="24"/>
      <c r="AO270" s="24">
        <v>178263</v>
      </c>
      <c r="AP270" s="24">
        <v>8789349</v>
      </c>
      <c r="AQ270" s="24"/>
      <c r="AR270" s="504">
        <f t="shared" ref="AR270" si="1163">+AL270/AP269</f>
        <v>1.5067418634414928E-2</v>
      </c>
      <c r="AS270" s="25"/>
      <c r="AT270" s="25"/>
      <c r="AU270" s="24"/>
      <c r="AV270" s="341">
        <f t="shared" ref="AV270" si="1164">+AP270/H270</f>
        <v>0.59574202012577793</v>
      </c>
      <c r="AW270" s="341"/>
      <c r="AX270" s="24">
        <f t="shared" ref="AX270" si="1165">+AP270/BW270</f>
        <v>33675.666666666664</v>
      </c>
      <c r="AY270" s="351"/>
      <c r="AZ270" s="10"/>
      <c r="BA270" s="66">
        <f t="shared" ref="BA270" si="1166">+BC270-BC269</f>
        <v>1966240</v>
      </c>
      <c r="BB270" s="67"/>
      <c r="BC270" s="67">
        <v>205850241</v>
      </c>
      <c r="BD270" s="67"/>
      <c r="BE270" s="67">
        <f t="shared" ref="BE270" si="1167">+D270</f>
        <v>212483</v>
      </c>
      <c r="BF270" s="67"/>
      <c r="BG270" s="156">
        <f t="shared" ref="BG270" si="1168">+BE270/BA270</f>
        <v>0.10806564814061356</v>
      </c>
      <c r="BH270" s="67"/>
      <c r="BI270" s="183"/>
      <c r="BJ270" s="67"/>
      <c r="BK270" s="67">
        <f t="shared" ref="BK270" si="1169">SUM(BA264:BA270)</f>
        <v>14817017</v>
      </c>
      <c r="BL270" s="67"/>
      <c r="BM270" s="156">
        <f t="shared" ref="BM270" si="1170">+Q270/BK270</f>
        <v>9.1253185442116996E-2</v>
      </c>
      <c r="BN270" s="66">
        <f t="shared" ref="BN270" si="1171">+BC270/BW270</f>
        <v>788698.24137931038</v>
      </c>
      <c r="BO270" s="67"/>
      <c r="BP270" s="67">
        <f t="shared" ref="BP270" si="1172">+BP269+BE270</f>
        <v>14410969</v>
      </c>
      <c r="BQ270" s="67"/>
      <c r="BR270" s="478">
        <f t="shared" ref="BR270" si="1173">+BP270/BC270</f>
        <v>7.0007054303132921E-2</v>
      </c>
      <c r="BS270" s="67"/>
      <c r="BT270" s="86"/>
      <c r="BU270" s="183"/>
      <c r="BV270" s="1"/>
      <c r="BW270" s="61">
        <f t="shared" si="186"/>
        <v>261</v>
      </c>
    </row>
    <row r="271" spans="2:75" x14ac:dyDescent="0.3">
      <c r="B271" s="390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ref="H271" si="1174">+H270+D271</f>
        <v>14936395</v>
      </c>
      <c r="I271" s="16"/>
      <c r="J271" s="479">
        <f t="shared" ref="J271" si="1175">+D271/H270</f>
        <v>1.2388759474287523E-2</v>
      </c>
      <c r="K271" s="16"/>
      <c r="L271" s="16"/>
      <c r="M271" s="16"/>
      <c r="N271" s="16">
        <f t="shared" ref="N271" si="1176">SUM(D265:D271)</f>
        <v>1396691</v>
      </c>
      <c r="O271" s="16">
        <f t="shared" ref="O271" si="1177">+H271/BW271</f>
        <v>57009.141221374048</v>
      </c>
      <c r="P271" s="41"/>
      <c r="Q271" s="17">
        <f t="shared" ref="Q271" si="1178">SUM(D265:D271)</f>
        <v>1396691</v>
      </c>
      <c r="R271" s="16"/>
      <c r="S271" s="60">
        <f t="shared" ref="S271" si="1179">+(Q271-Q264)/Q264</f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ref="AA271" si="1180">+AA270+W271</f>
        <v>287665</v>
      </c>
      <c r="AB271" s="33"/>
      <c r="AC271" s="46">
        <f t="shared" ref="AC271" si="1181">+AA271/H271</f>
        <v>1.9259332656909517E-2</v>
      </c>
      <c r="AD271" s="33"/>
      <c r="AE271" s="33">
        <f t="shared" ref="AE271" si="1182">+AA271/BW271</f>
        <v>1097.9580152671756</v>
      </c>
      <c r="AF271" s="50"/>
      <c r="AG271" s="33">
        <f t="shared" ref="AG271" si="1183">SUM(W265:W271)</f>
        <v>15679</v>
      </c>
      <c r="AH271" s="33">
        <f t="shared" ref="AH271" si="1184">SUM(D242:D437)</f>
        <v>792535649.34662843</v>
      </c>
      <c r="AI271" s="231">
        <f t="shared" ref="AI271" si="1185">+(AG271-AG264)/AG264</f>
        <v>0.5379107405590976</v>
      </c>
      <c r="AJ271" s="50"/>
      <c r="AK271" s="10"/>
      <c r="AL271" s="23">
        <f t="shared" ref="AL271" si="1186">+AP271-AP270</f>
        <v>67757</v>
      </c>
      <c r="AM271" s="24"/>
      <c r="AN271" s="24"/>
      <c r="AO271" s="24">
        <v>178263</v>
      </c>
      <c r="AP271" s="24">
        <v>8857106</v>
      </c>
      <c r="AQ271" s="24"/>
      <c r="AR271" s="504">
        <f t="shared" ref="AR271" si="1187">+AL271/AP270</f>
        <v>7.708989596385352E-3</v>
      </c>
      <c r="AS271" s="25"/>
      <c r="AT271" s="25"/>
      <c r="AU271" s="24"/>
      <c r="AV271" s="341">
        <f t="shared" ref="AV271" si="1188">+AP271/H271</f>
        <v>0.59298820096817206</v>
      </c>
      <c r="AW271" s="341"/>
      <c r="AX271" s="24">
        <f t="shared" ref="AX271" si="1189">+AP271/BW271</f>
        <v>33805.748091603054</v>
      </c>
      <c r="AY271" s="351"/>
      <c r="AZ271" s="10"/>
      <c r="BA271" s="66">
        <f t="shared" ref="BA271" si="1190">+BC271-BC270</f>
        <v>1610100</v>
      </c>
      <c r="BB271" s="67"/>
      <c r="BC271" s="67">
        <v>207460341</v>
      </c>
      <c r="BD271" s="67"/>
      <c r="BE271" s="67">
        <f t="shared" ref="BE271" si="1191">+D271</f>
        <v>182779</v>
      </c>
      <c r="BF271" s="67"/>
      <c r="BG271" s="156">
        <f t="shared" ref="BG271" si="1192">+BE271/BA271</f>
        <v>0.11352027824358736</v>
      </c>
      <c r="BH271" s="67"/>
      <c r="BI271" s="183"/>
      <c r="BJ271" s="67"/>
      <c r="BK271" s="67">
        <f t="shared" ref="BK271" si="1193">SUM(BA265:BA271)</f>
        <v>15188973</v>
      </c>
      <c r="BL271" s="67"/>
      <c r="BM271" s="156">
        <f t="shared" ref="BM271" si="1194">+Q271/BK271</f>
        <v>9.1954274986202164E-2</v>
      </c>
      <c r="BN271" s="66">
        <f t="shared" ref="BN271" si="1195">+BC271/BW271</f>
        <v>791833.36259541987</v>
      </c>
      <c r="BO271" s="67"/>
      <c r="BP271" s="67">
        <f t="shared" ref="BP271" si="1196">+BP270+BE271</f>
        <v>14593748</v>
      </c>
      <c r="BQ271" s="67"/>
      <c r="BR271" s="478">
        <f t="shared" ref="BR271" si="1197">+BP271/BC271</f>
        <v>7.0344760495693964E-2</v>
      </c>
      <c r="BS271" s="67"/>
      <c r="BT271" s="86"/>
      <c r="BU271" s="183"/>
      <c r="BV271" s="1"/>
      <c r="BW271" s="61">
        <f t="shared" si="186"/>
        <v>262</v>
      </c>
    </row>
    <row r="272" spans="2:75" x14ac:dyDescent="0.3">
      <c r="B272" s="171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ref="H272" si="1198">+H271+D272</f>
        <v>15136480</v>
      </c>
      <c r="I272" s="16"/>
      <c r="J272" s="479">
        <f t="shared" ref="J272" si="1199">+D272/H271</f>
        <v>1.3395802668582346E-2</v>
      </c>
      <c r="K272" s="16"/>
      <c r="L272" s="16"/>
      <c r="M272" s="16"/>
      <c r="N272" s="16">
        <f t="shared" ref="N272" si="1200">SUM(D266:D272)</f>
        <v>1435208</v>
      </c>
      <c r="O272" s="16">
        <f t="shared" ref="O272" si="1201">+H272/BW272</f>
        <v>57553.155893536124</v>
      </c>
      <c r="P272" s="41"/>
      <c r="Q272" s="17">
        <f t="shared" ref="Q272" si="1202">SUM(D266:D272)</f>
        <v>1435208</v>
      </c>
      <c r="R272" s="16"/>
      <c r="S272" s="60">
        <f t="shared" ref="S272" si="1203">+(Q272-Q265)/Q265</f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ref="AA272" si="1204">+AA271+W272</f>
        <v>289203</v>
      </c>
      <c r="AB272" s="33"/>
      <c r="AC272" s="46">
        <f t="shared" ref="AC272" si="1205">+AA272/H272</f>
        <v>1.9106357620794268E-2</v>
      </c>
      <c r="AD272" s="33"/>
      <c r="AE272" s="33">
        <f t="shared" ref="AE272" si="1206">+AA272/BW272</f>
        <v>1099.6311787072243</v>
      </c>
      <c r="AF272" s="50"/>
      <c r="AG272" s="33">
        <f t="shared" ref="AG272" si="1207">SUM(W266:W272)</f>
        <v>15979</v>
      </c>
      <c r="AH272" s="33">
        <f t="shared" ref="AH272" si="1208">SUM(D243:D438)</f>
        <v>792411259.34662843</v>
      </c>
      <c r="AI272" s="231">
        <f t="shared" ref="AI272" si="1209">+(AG272-AG265)/AG265</f>
        <v>0.52748303221489345</v>
      </c>
      <c r="AJ272" s="50"/>
      <c r="AK272" s="10"/>
      <c r="AL272" s="23">
        <f t="shared" ref="AL272" si="1210">+AP272-AP271</f>
        <v>126535</v>
      </c>
      <c r="AM272" s="24"/>
      <c r="AN272" s="24"/>
      <c r="AO272" s="24">
        <v>178263</v>
      </c>
      <c r="AP272" s="24">
        <v>8983641</v>
      </c>
      <c r="AQ272" s="24"/>
      <c r="AR272" s="504">
        <f t="shared" ref="AR272" si="1211">+AL272/AP271</f>
        <v>1.4286269126732818E-2</v>
      </c>
      <c r="AS272" s="25"/>
      <c r="AT272" s="25"/>
      <c r="AU272" s="24"/>
      <c r="AV272" s="341">
        <f t="shared" ref="AV272" si="1212">+AP272/H272</f>
        <v>0.59350925710601143</v>
      </c>
      <c r="AW272" s="341"/>
      <c r="AX272" s="24">
        <f t="shared" ref="AX272" si="1213">+AP272/BW272</f>
        <v>34158.330798479088</v>
      </c>
      <c r="AY272" s="351"/>
      <c r="AZ272" s="10"/>
      <c r="BA272" s="66">
        <f t="shared" ref="BA272" si="1214">+BC272-BC271</f>
        <v>2038932</v>
      </c>
      <c r="BB272" s="67"/>
      <c r="BC272" s="67">
        <v>209499273</v>
      </c>
      <c r="BD272" s="67"/>
      <c r="BE272" s="67">
        <f t="shared" ref="BE272" si="1215">+D272</f>
        <v>200085</v>
      </c>
      <c r="BF272" s="67"/>
      <c r="BG272" s="156">
        <f t="shared" ref="BG272" si="1216">+BE272/BA272</f>
        <v>9.813225747597272E-2</v>
      </c>
      <c r="BH272" s="67"/>
      <c r="BI272" s="183"/>
      <c r="BJ272" s="67"/>
      <c r="BK272" s="67">
        <f t="shared" ref="BK272" si="1217">SUM(BA266:BA272)</f>
        <v>14590524</v>
      </c>
      <c r="BL272" s="67"/>
      <c r="BM272" s="156">
        <f t="shared" ref="BM272" si="1218">+Q272/BK272</f>
        <v>9.8365761229685794E-2</v>
      </c>
      <c r="BN272" s="66">
        <f t="shared" ref="BN272" si="1219">+BC272/BW272</f>
        <v>796575.18250950566</v>
      </c>
      <c r="BO272" s="67"/>
      <c r="BP272" s="67">
        <f t="shared" ref="BP272" si="1220">+BP271+BE272</f>
        <v>14793833</v>
      </c>
      <c r="BQ272" s="67"/>
      <c r="BR272" s="478">
        <f t="shared" ref="BR272" si="1221">+BP272/BC272</f>
        <v>7.0615199700478193E-2</v>
      </c>
      <c r="BS272" s="67"/>
      <c r="BT272" s="86"/>
      <c r="BU272" s="183"/>
      <c r="BV272" s="1"/>
      <c r="BW272" s="61">
        <f t="shared" si="186"/>
        <v>263</v>
      </c>
    </row>
    <row r="273" spans="2:75" x14ac:dyDescent="0.3">
      <c r="B273" s="171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ref="H273" si="1222">+H272+D273</f>
        <v>15346236</v>
      </c>
      <c r="I273" s="16"/>
      <c r="J273" s="479">
        <f t="shared" ref="J273" si="1223">+D273/H272</f>
        <v>1.3857647220489837E-2</v>
      </c>
      <c r="K273" s="16"/>
      <c r="L273" s="16"/>
      <c r="M273" s="16"/>
      <c r="N273" s="16">
        <f t="shared" ref="N273" si="1224">SUM(D267:D273)</f>
        <v>1462688</v>
      </c>
      <c r="O273" s="16">
        <f t="shared" ref="O273" si="1225">+H273/BW273</f>
        <v>58129.681818181816</v>
      </c>
      <c r="P273" s="41"/>
      <c r="Q273" s="17">
        <f t="shared" ref="Q273" si="1226">SUM(D267:D273)</f>
        <v>1462688</v>
      </c>
      <c r="R273" s="16"/>
      <c r="S273" s="60">
        <f t="shared" ref="S273" si="1227">+(Q273-Q266)/Q266</f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ref="AA273" si="1228">+AA272+W273</f>
        <v>292163</v>
      </c>
      <c r="AB273" s="33"/>
      <c r="AC273" s="46">
        <f t="shared" ref="AC273" si="1229">+AA273/H273</f>
        <v>1.9038088558002104E-2</v>
      </c>
      <c r="AD273" s="33"/>
      <c r="AE273" s="33">
        <f t="shared" ref="AE273" si="1230">+AA273/BW273</f>
        <v>1106.6780303030303</v>
      </c>
      <c r="AF273" s="50"/>
      <c r="AG273" s="33">
        <f t="shared" ref="AG273" si="1231">SUM(W267:W273)</f>
        <v>16325</v>
      </c>
      <c r="AH273" s="33">
        <f t="shared" ref="AH273" si="1232">SUM(D244:D439)</f>
        <v>792308533.34662843</v>
      </c>
      <c r="AI273" s="231">
        <f t="shared" ref="AI273" si="1233">+(AG273-AG266)/AG266</f>
        <v>0.5033612671516714</v>
      </c>
      <c r="AJ273" s="50"/>
      <c r="AK273" s="10"/>
      <c r="AL273" s="23">
        <f t="shared" ref="AL273" si="1234">+AP273-AP272</f>
        <v>104467</v>
      </c>
      <c r="AM273" s="24"/>
      <c r="AN273" s="24"/>
      <c r="AO273" s="24">
        <v>178263</v>
      </c>
      <c r="AP273" s="24">
        <v>9088108</v>
      </c>
      <c r="AQ273" s="24"/>
      <c r="AR273" s="504">
        <f t="shared" ref="AR273" si="1235">+AL273/AP272</f>
        <v>1.1628581329106985E-2</v>
      </c>
      <c r="AS273" s="25"/>
      <c r="AT273" s="25"/>
      <c r="AU273" s="24"/>
      <c r="AV273" s="341">
        <f t="shared" ref="AV273" si="1236">+AP273/H273</f>
        <v>0.5922043685500471</v>
      </c>
      <c r="AW273" s="341"/>
      <c r="AX273" s="24">
        <f t="shared" ref="AX273" si="1237">+AP273/BW273</f>
        <v>34424.651515151512</v>
      </c>
      <c r="AY273" s="351"/>
      <c r="AZ273" s="10"/>
      <c r="BA273" s="66">
        <f t="shared" ref="BA273" si="1238">+BC273-BC272</f>
        <v>1699673</v>
      </c>
      <c r="BB273" s="67"/>
      <c r="BC273" s="67">
        <v>211198946</v>
      </c>
      <c r="BD273" s="67"/>
      <c r="BE273" s="67">
        <f t="shared" ref="BE273" si="1239">+D273</f>
        <v>209756</v>
      </c>
      <c r="BF273" s="67"/>
      <c r="BG273" s="156">
        <f t="shared" ref="BG273" si="1240">+BE273/BA273</f>
        <v>0.12340962055642468</v>
      </c>
      <c r="BH273" s="67"/>
      <c r="BI273" s="183"/>
      <c r="BJ273" s="67"/>
      <c r="BK273" s="67">
        <f t="shared" ref="BK273" si="1241">SUM(BA267:BA273)</f>
        <v>14991898</v>
      </c>
      <c r="BL273" s="67"/>
      <c r="BM273" s="156">
        <f t="shared" ref="BM273" si="1242">+Q273/BK273</f>
        <v>9.7565231567077096E-2</v>
      </c>
      <c r="BN273" s="66">
        <f t="shared" ref="BN273" si="1243">+BC273/BW273</f>
        <v>799996.00757575757</v>
      </c>
      <c r="BO273" s="67"/>
      <c r="BP273" s="67">
        <f t="shared" ref="BP273" si="1244">+BP272+BE273</f>
        <v>15003589</v>
      </c>
      <c r="BQ273" s="67"/>
      <c r="BR273" s="478">
        <f t="shared" ref="BR273" si="1245">+BP273/BC273</f>
        <v>7.1040075171587266E-2</v>
      </c>
      <c r="BS273" s="67"/>
      <c r="BT273" s="86"/>
      <c r="BU273" s="183"/>
      <c r="BV273" s="1"/>
      <c r="BW273" s="61">
        <f t="shared" si="186"/>
        <v>264</v>
      </c>
    </row>
    <row r="274" spans="2:75" x14ac:dyDescent="0.3">
      <c r="B274" s="171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ref="H274" si="1246">+H273+D274</f>
        <v>15573189</v>
      </c>
      <c r="I274" s="16"/>
      <c r="J274" s="479">
        <f t="shared" ref="J274" si="1247">+D274/H273</f>
        <v>1.4788838122911704E-2</v>
      </c>
      <c r="K274" s="16"/>
      <c r="L274" s="16"/>
      <c r="M274" s="16"/>
      <c r="N274" s="16">
        <f t="shared" ref="N274" si="1248">SUM(D268:D274)</f>
        <v>1485904</v>
      </c>
      <c r="O274" s="16">
        <f t="shared" ref="O274" si="1249">+H274/BW274</f>
        <v>58766.750943396226</v>
      </c>
      <c r="P274" s="41"/>
      <c r="Q274" s="17">
        <f t="shared" ref="Q274" si="1250">SUM(D268:D274)</f>
        <v>1485904</v>
      </c>
      <c r="R274" s="16"/>
      <c r="S274" s="60">
        <f t="shared" ref="S274" si="1251">+(Q274-Q267)/Q267</f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ref="AA274" si="1252">+AA273+W274</f>
        <v>295428</v>
      </c>
      <c r="AB274" s="33"/>
      <c r="AC274" s="46">
        <f t="shared" ref="AC274" si="1253">+AA274/H274</f>
        <v>1.8970295679324255E-2</v>
      </c>
      <c r="AD274" s="33"/>
      <c r="AE274" s="33">
        <f t="shared" ref="AE274" si="1254">+AA274/BW274</f>
        <v>1114.8226415094339</v>
      </c>
      <c r="AF274" s="50"/>
      <c r="AG274" s="33">
        <f t="shared" ref="AG274" si="1255">SUM(W268:W274)</f>
        <v>16757</v>
      </c>
      <c r="AH274" s="33">
        <f t="shared" ref="AH274" si="1256">SUM(D245:D440)</f>
        <v>792182844.34662843</v>
      </c>
      <c r="AI274" s="231">
        <f t="shared" ref="AI274" si="1257">+(AG274-AG267)/AG267</f>
        <v>0.47120280948200177</v>
      </c>
      <c r="AJ274" s="50"/>
      <c r="AK274" s="10"/>
      <c r="AL274" s="23">
        <f t="shared" ref="AL274" si="1258">+AP274-AP273</f>
        <v>139425</v>
      </c>
      <c r="AM274" s="24"/>
      <c r="AN274" s="24"/>
      <c r="AO274" s="24">
        <v>178263</v>
      </c>
      <c r="AP274" s="24">
        <v>9227533</v>
      </c>
      <c r="AQ274" s="24"/>
      <c r="AR274" s="504">
        <f t="shared" ref="AR274" si="1259">+AL274/AP273</f>
        <v>1.5341477015898138E-2</v>
      </c>
      <c r="AS274" s="25"/>
      <c r="AT274" s="25"/>
      <c r="AU274" s="24"/>
      <c r="AV274" s="341">
        <f t="shared" ref="AV274" si="1260">+AP274/H274</f>
        <v>0.5925268742323746</v>
      </c>
      <c r="AW274" s="341"/>
      <c r="AX274" s="24">
        <f t="shared" ref="AX274" si="1261">+AP274/BW274</f>
        <v>34820.879245283017</v>
      </c>
      <c r="AY274" s="351"/>
      <c r="AZ274" s="10"/>
      <c r="BA274" s="66">
        <f t="shared" ref="BA274" si="1262">+BC274-BC273</f>
        <v>1915218</v>
      </c>
      <c r="BB274" s="67"/>
      <c r="BC274" s="67">
        <v>213114164</v>
      </c>
      <c r="BD274" s="67"/>
      <c r="BE274" s="67">
        <f t="shared" ref="BE274" si="1263">+D274</f>
        <v>226953</v>
      </c>
      <c r="BF274" s="67"/>
      <c r="BG274" s="156">
        <f t="shared" ref="BG274" si="1264">+BE274/BA274</f>
        <v>0.11849982612945367</v>
      </c>
      <c r="BH274" s="67"/>
      <c r="BI274" s="183"/>
      <c r="BJ274" s="67"/>
      <c r="BK274" s="67">
        <f t="shared" ref="BK274" si="1265">SUM(BA268:BA274)</f>
        <v>13207651</v>
      </c>
      <c r="BL274" s="67"/>
      <c r="BM274" s="156">
        <f t="shared" ref="BM274" si="1266">+Q274/BK274</f>
        <v>0.11250327556353511</v>
      </c>
      <c r="BN274" s="66">
        <f t="shared" ref="BN274" si="1267">+BC274/BW274</f>
        <v>804204.39245283022</v>
      </c>
      <c r="BO274" s="67"/>
      <c r="BP274" s="67">
        <f t="shared" ref="BP274" si="1268">+BP273+BE274</f>
        <v>15230542</v>
      </c>
      <c r="BQ274" s="67"/>
      <c r="BR274" s="478">
        <f t="shared" ref="BR274" si="1269">+BP274/BC274</f>
        <v>7.1466587270098109E-2</v>
      </c>
      <c r="BS274" s="67"/>
      <c r="BT274" s="86"/>
      <c r="BU274" s="183"/>
      <c r="BV274" s="1"/>
      <c r="BW274" s="61">
        <f t="shared" si="186"/>
        <v>265</v>
      </c>
    </row>
    <row r="275" spans="2:75" x14ac:dyDescent="0.3">
      <c r="B275" s="171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ref="H275" si="1270">+H274+D275</f>
        <v>15800503</v>
      </c>
      <c r="I275" s="16"/>
      <c r="J275" s="479">
        <f t="shared" ref="J275" si="1271">+D275/H274</f>
        <v>1.4596496581400251E-2</v>
      </c>
      <c r="K275" s="16"/>
      <c r="L275" s="16"/>
      <c r="M275" s="16"/>
      <c r="N275" s="16">
        <f t="shared" ref="N275" si="1272">SUM(D269:D275)</f>
        <v>1494642</v>
      </c>
      <c r="O275" s="16">
        <f t="shared" ref="O275" si="1273">+H275/BW275</f>
        <v>59400.387218045114</v>
      </c>
      <c r="P275" s="41"/>
      <c r="Q275" s="17">
        <f t="shared" ref="Q275" si="1274">SUM(D269:D275)</f>
        <v>1494642</v>
      </c>
      <c r="R275" s="16"/>
      <c r="S275" s="60">
        <f t="shared" ref="S275" si="1275">+(Q275-Q268)/Q268</f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ref="AA275" si="1276">+AA274+W275</f>
        <v>298535</v>
      </c>
      <c r="AB275" s="33"/>
      <c r="AC275" s="46">
        <f t="shared" ref="AC275" si="1277">+AA275/H275</f>
        <v>1.8894018753706766E-2</v>
      </c>
      <c r="AD275" s="33"/>
      <c r="AE275" s="33">
        <f t="shared" ref="AE275" si="1278">+AA275/BW275</f>
        <v>1122.312030075188</v>
      </c>
      <c r="AF275" s="50"/>
      <c r="AG275" s="33">
        <f t="shared" ref="AG275" si="1279">SUM(W269:W275)</f>
        <v>16946</v>
      </c>
      <c r="AH275" s="33">
        <f t="shared" ref="AH275" si="1280">SUM(D246:D441)</f>
        <v>792047191.34662843</v>
      </c>
      <c r="AI275" s="231">
        <f t="shared" ref="AI275" si="1281">+(AG275-AG268)/AG268</f>
        <v>0.30333794800799879</v>
      </c>
      <c r="AJ275" s="50"/>
      <c r="AK275" s="10"/>
      <c r="AL275" s="23">
        <f t="shared" ref="AL275" si="1282">+AP275-AP274</f>
        <v>105643</v>
      </c>
      <c r="AM275" s="24"/>
      <c r="AN275" s="24"/>
      <c r="AO275" s="24">
        <v>178263</v>
      </c>
      <c r="AP275" s="24">
        <v>9333176</v>
      </c>
      <c r="AQ275" s="24"/>
      <c r="AR275" s="504">
        <f t="shared" ref="AR275" si="1283">+AL275/AP274</f>
        <v>1.144867214238085E-2</v>
      </c>
      <c r="AS275" s="25"/>
      <c r="AT275" s="25"/>
      <c r="AU275" s="24"/>
      <c r="AV275" s="341">
        <f t="shared" ref="AV275" si="1284">+AP275/H275</f>
        <v>0.59068853694088097</v>
      </c>
      <c r="AW275" s="341"/>
      <c r="AX275" s="24">
        <f t="shared" ref="AX275" si="1285">+AP275/BW275</f>
        <v>35087.12781954887</v>
      </c>
      <c r="AY275" s="351"/>
      <c r="AZ275" s="10"/>
      <c r="BA275" s="66">
        <f t="shared" ref="BA275" si="1286">+BC275-BC274</f>
        <v>2007280</v>
      </c>
      <c r="BB275" s="67"/>
      <c r="BC275" s="67">
        <v>215121444</v>
      </c>
      <c r="BD275" s="67"/>
      <c r="BE275" s="67">
        <f t="shared" ref="BE275" si="1287">+D275</f>
        <v>227314</v>
      </c>
      <c r="BF275" s="67"/>
      <c r="BG275" s="156">
        <f t="shared" ref="BG275" si="1288">+BE275/BA275</f>
        <v>0.11324478896815592</v>
      </c>
      <c r="BH275" s="67"/>
      <c r="BI275" s="183"/>
      <c r="BJ275" s="67"/>
      <c r="BK275" s="67">
        <f t="shared" ref="BK275" si="1289">SUM(BA269:BA275)</f>
        <v>13351981</v>
      </c>
      <c r="BL275" s="67"/>
      <c r="BM275" s="156">
        <f t="shared" ref="BM275" si="1290">+Q275/BK275</f>
        <v>0.11194159128896304</v>
      </c>
      <c r="BN275" s="66">
        <f t="shared" ref="BN275" si="1291">+BC275/BW275</f>
        <v>808727.23308270681</v>
      </c>
      <c r="BO275" s="67"/>
      <c r="BP275" s="67">
        <f t="shared" ref="BP275" si="1292">+BP274+BE275</f>
        <v>15457856</v>
      </c>
      <c r="BQ275" s="67"/>
      <c r="BR275" s="478">
        <f t="shared" ref="BR275" si="1293">+BP275/BC275</f>
        <v>7.1856416136738099E-2</v>
      </c>
      <c r="BS275" s="67"/>
      <c r="BT275" s="86"/>
      <c r="BU275" s="183"/>
      <c r="BV275" s="1"/>
      <c r="BW275" s="61">
        <f t="shared" si="186"/>
        <v>266</v>
      </c>
    </row>
    <row r="276" spans="2:75" x14ac:dyDescent="0.3">
      <c r="B276" s="171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ref="H276" si="1294">+H275+D276</f>
        <v>16047264</v>
      </c>
      <c r="I276" s="16"/>
      <c r="J276" s="479">
        <f t="shared" ref="J276" si="1295">+D276/H275</f>
        <v>1.5617287626855931E-2</v>
      </c>
      <c r="K276" s="16"/>
      <c r="L276" s="16"/>
      <c r="M276" s="16"/>
      <c r="N276" s="16">
        <f t="shared" ref="N276" si="1296">SUM(D270:D276)</f>
        <v>1506131</v>
      </c>
      <c r="O276" s="16">
        <f t="shared" ref="O276" si="1297">+H276/BW276</f>
        <v>60102.112359550563</v>
      </c>
      <c r="P276" s="41"/>
      <c r="Q276" s="17">
        <f t="shared" ref="Q276" si="1298">SUM(D270:D276)</f>
        <v>1506131</v>
      </c>
      <c r="R276" s="16"/>
      <c r="S276" s="60">
        <f t="shared" ref="S276" si="1299">+(Q276-Q269)/Q269</f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ref="AA276" si="1300">+AA275+W276</f>
        <v>301566</v>
      </c>
      <c r="AB276" s="33"/>
      <c r="AC276" s="46">
        <f t="shared" ref="AC276" si="1301">+AA276/H276</f>
        <v>1.8792362361583881E-2</v>
      </c>
      <c r="AD276" s="33"/>
      <c r="AE276" s="33">
        <f t="shared" ref="AE276" si="1302">+AA276/BW276</f>
        <v>1129.4606741573034</v>
      </c>
      <c r="AF276" s="50"/>
      <c r="AG276" s="33">
        <f t="shared" ref="AG276" si="1303">SUM(W270:W276)</f>
        <v>17259</v>
      </c>
      <c r="AH276" s="33">
        <f t="shared" ref="AH276" si="1304">SUM(D247:D442)</f>
        <v>791904285.34662843</v>
      </c>
      <c r="AI276" s="231">
        <f t="shared" ref="AI276" si="1305">+(AG276-AG269)/AG269</f>
        <v>0.20221510169963777</v>
      </c>
      <c r="AJ276" s="50"/>
      <c r="AK276" s="10"/>
      <c r="AL276" s="23">
        <f t="shared" ref="AL276" si="1306">+AP276-AP275</f>
        <v>174300</v>
      </c>
      <c r="AM276" s="24"/>
      <c r="AN276" s="24"/>
      <c r="AO276" s="24">
        <v>178263</v>
      </c>
      <c r="AP276" s="24">
        <v>9507476</v>
      </c>
      <c r="AQ276" s="24"/>
      <c r="AR276" s="504">
        <f t="shared" ref="AR276" si="1307">+AL276/AP275</f>
        <v>1.8675314812449696E-2</v>
      </c>
      <c r="AS276" s="25"/>
      <c r="AT276" s="25"/>
      <c r="AU276" s="24"/>
      <c r="AV276" s="341">
        <f t="shared" ref="AV276" si="1308">+AP276/H276</f>
        <v>0.59246710218015985</v>
      </c>
      <c r="AW276" s="341"/>
      <c r="AX276" s="24">
        <f t="shared" ref="AX276" si="1309">+AP276/BW276</f>
        <v>35608.52434456929</v>
      </c>
      <c r="AY276" s="351"/>
      <c r="AZ276" s="10"/>
      <c r="BA276" s="66">
        <f t="shared" ref="BA276" si="1310">+BC276-BC275</f>
        <v>2071253</v>
      </c>
      <c r="BB276" s="67"/>
      <c r="BC276" s="67">
        <v>217192697</v>
      </c>
      <c r="BD276" s="67"/>
      <c r="BE276" s="67">
        <f t="shared" ref="BE276" si="1311">+D276</f>
        <v>246761</v>
      </c>
      <c r="BF276" s="67"/>
      <c r="BG276" s="156">
        <f t="shared" ref="BG276" si="1312">+BE276/BA276</f>
        <v>0.11913609781132484</v>
      </c>
      <c r="BH276" s="67"/>
      <c r="BI276" s="183"/>
      <c r="BJ276" s="67"/>
      <c r="BK276" s="67">
        <f t="shared" ref="BK276" si="1313">SUM(BA270:BA276)</f>
        <v>13308696</v>
      </c>
      <c r="BL276" s="67"/>
      <c r="BM276" s="156">
        <f t="shared" ref="BM276" si="1314">+Q276/BK276</f>
        <v>0.11316893856467981</v>
      </c>
      <c r="BN276" s="66">
        <f t="shared" ref="BN276" si="1315">+BC276/BW276</f>
        <v>813455.79400749062</v>
      </c>
      <c r="BO276" s="67"/>
      <c r="BP276" s="67">
        <f t="shared" ref="BP276" si="1316">+BP275+BE276</f>
        <v>15704617</v>
      </c>
      <c r="BQ276" s="67"/>
      <c r="BR276" s="478">
        <f t="shared" ref="BR276" si="1317">+BP276/BC276</f>
        <v>7.2307297698872439E-2</v>
      </c>
      <c r="BS276" s="67"/>
      <c r="BT276" s="86"/>
      <c r="BU276" s="183"/>
      <c r="BV276" s="1"/>
      <c r="BW276" s="61">
        <f t="shared" si="186"/>
        <v>267</v>
      </c>
    </row>
    <row r="277" spans="2:75" x14ac:dyDescent="0.3">
      <c r="B277" s="171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ref="H277" si="1318">+H276+D277</f>
        <v>16267562</v>
      </c>
      <c r="I277" s="16"/>
      <c r="J277" s="479">
        <f t="shared" ref="J277" si="1319">+D277/H276</f>
        <v>1.3728072274501124E-2</v>
      </c>
      <c r="K277" s="16"/>
      <c r="L277" s="16"/>
      <c r="M277" s="16"/>
      <c r="N277" s="16">
        <f t="shared" ref="N277" si="1320">SUM(D271:D277)</f>
        <v>1513946</v>
      </c>
      <c r="O277" s="16">
        <f t="shared" ref="O277" si="1321">+H277/BW277</f>
        <v>60699.858208955222</v>
      </c>
      <c r="P277" s="41"/>
      <c r="Q277" s="17">
        <f t="shared" ref="Q277" si="1322">SUM(D271:D277)</f>
        <v>1513946</v>
      </c>
      <c r="R277" s="16"/>
      <c r="S277" s="60">
        <f t="shared" ref="S277" si="1323">+(Q277-Q270)/Q270</f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ref="AA277" si="1324">+AA276+W277</f>
        <v>303873</v>
      </c>
      <c r="AB277" s="33"/>
      <c r="AC277" s="46">
        <f t="shared" ref="AC277" si="1325">+AA277/H277</f>
        <v>1.8679689064655169E-2</v>
      </c>
      <c r="AD277" s="33"/>
      <c r="AE277" s="33">
        <f t="shared" ref="AE277" si="1326">+AA277/BW277</f>
        <v>1133.8544776119404</v>
      </c>
      <c r="AF277" s="50"/>
      <c r="AG277" s="33">
        <f t="shared" ref="AG277" si="1327">SUM(W271:W277)</f>
        <v>17300</v>
      </c>
      <c r="AH277" s="33">
        <f t="shared" ref="AH277" si="1328">SUM(D248:D443)</f>
        <v>791742744.34662843</v>
      </c>
      <c r="AI277" s="231">
        <f t="shared" ref="AI277" si="1329">+(AG277-AG270)/AG270</f>
        <v>0.12293911463066338</v>
      </c>
      <c r="AJ277" s="50"/>
      <c r="AK277" s="10"/>
      <c r="AL277" s="23">
        <f t="shared" ref="AL277" si="1330">+AP277-AP276</f>
        <v>136849</v>
      </c>
      <c r="AM277" s="24"/>
      <c r="AN277" s="24"/>
      <c r="AO277" s="24">
        <v>178263</v>
      </c>
      <c r="AP277" s="24">
        <v>9644325</v>
      </c>
      <c r="AQ277" s="24"/>
      <c r="AR277" s="504">
        <f t="shared" ref="AR277" si="1331">+AL277/AP276</f>
        <v>1.4393830707540045E-2</v>
      </c>
      <c r="AS277" s="25"/>
      <c r="AT277" s="25"/>
      <c r="AU277" s="24"/>
      <c r="AV277" s="341">
        <f t="shared" ref="AV277" si="1332">+AP277/H277</f>
        <v>0.59285620057879607</v>
      </c>
      <c r="AW277" s="341"/>
      <c r="AX277" s="24">
        <f t="shared" ref="AX277" si="1333">+AP277/BW277</f>
        <v>35986.287313432833</v>
      </c>
      <c r="AY277" s="351"/>
      <c r="AZ277" s="10"/>
      <c r="BA277" s="66">
        <f t="shared" ref="BA277" si="1334">+BC277-BC276</f>
        <v>2312375</v>
      </c>
      <c r="BB277" s="67"/>
      <c r="BC277" s="67">
        <v>219505072</v>
      </c>
      <c r="BD277" s="67"/>
      <c r="BE277" s="67">
        <f t="shared" ref="BE277" si="1335">+D277</f>
        <v>220298</v>
      </c>
      <c r="BF277" s="67"/>
      <c r="BG277" s="156">
        <f t="shared" ref="BG277" si="1336">+BE277/BA277</f>
        <v>9.5269149683766693E-2</v>
      </c>
      <c r="BH277" s="67"/>
      <c r="BI277" s="183"/>
      <c r="BJ277" s="67"/>
      <c r="BK277" s="67">
        <f t="shared" ref="BK277" si="1337">SUM(BA271:BA277)</f>
        <v>13654831</v>
      </c>
      <c r="BL277" s="67"/>
      <c r="BM277" s="156">
        <f t="shared" ref="BM277" si="1338">+Q277/BK277</f>
        <v>0.11087255492213709</v>
      </c>
      <c r="BN277" s="66">
        <f t="shared" ref="BN277" si="1339">+BC277/BW277</f>
        <v>819048.77611940296</v>
      </c>
      <c r="BO277" s="67"/>
      <c r="BP277" s="67">
        <f t="shared" ref="BP277" si="1340">+BP276+BE277</f>
        <v>15924915</v>
      </c>
      <c r="BQ277" s="67"/>
      <c r="BR277" s="478">
        <f t="shared" ref="BR277" si="1341">+BP277/BC277</f>
        <v>7.2549189205067657E-2</v>
      </c>
      <c r="BS277" s="67"/>
      <c r="BT277" s="86"/>
      <c r="BU277" s="183"/>
      <c r="BV277" s="1"/>
      <c r="BW277" s="61">
        <f t="shared" si="186"/>
        <v>268</v>
      </c>
    </row>
    <row r="278" spans="2:75" x14ac:dyDescent="0.3">
      <c r="B278" s="390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ref="H278" si="1342">+H277+D278</f>
        <v>16455463</v>
      </c>
      <c r="I278" s="16"/>
      <c r="J278" s="479">
        <f t="shared" ref="J278" si="1343">+D278/H277</f>
        <v>1.1550655224181718E-2</v>
      </c>
      <c r="K278" s="16"/>
      <c r="L278" s="16"/>
      <c r="M278" s="16"/>
      <c r="N278" s="16">
        <f t="shared" ref="N278" si="1344">SUM(D272:D278)</f>
        <v>1519068</v>
      </c>
      <c r="O278" s="16">
        <f t="shared" ref="O278" si="1345">+H278/BW278</f>
        <v>61172.724907063195</v>
      </c>
      <c r="P278" s="41"/>
      <c r="Q278" s="17">
        <f t="shared" ref="Q278" si="1346">SUM(D272:D278)</f>
        <v>1519068</v>
      </c>
      <c r="R278" s="16"/>
      <c r="S278" s="60">
        <f t="shared" ref="S278" si="1347">+(Q278-Q271)/Q271</f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ref="AA278" si="1348">+AA277+W278</f>
        <v>305252</v>
      </c>
      <c r="AB278" s="33"/>
      <c r="AC278" s="46">
        <f t="shared" ref="AC278" si="1349">+AA278/H278</f>
        <v>1.8550192115530266E-2</v>
      </c>
      <c r="AD278" s="33"/>
      <c r="AE278" s="33">
        <f t="shared" ref="AE278" si="1350">+AA278/BW278</f>
        <v>1134.7657992565055</v>
      </c>
      <c r="AF278" s="50"/>
      <c r="AG278" s="33">
        <f t="shared" ref="AG278" si="1351">SUM(W272:W278)</f>
        <v>17587</v>
      </c>
      <c r="AH278" s="33">
        <f t="shared" ref="AH278" si="1352">SUM(D249:D444)</f>
        <v>791559217.34662843</v>
      </c>
      <c r="AI278" s="231">
        <f t="shared" ref="AI278" si="1353">+(AG278-AG271)/AG271</f>
        <v>0.12169143440270426</v>
      </c>
      <c r="AJ278" s="50"/>
      <c r="AK278" s="10"/>
      <c r="AL278" s="23">
        <f t="shared" ref="AL278" si="1354">+AP278-AP277</f>
        <v>80114</v>
      </c>
      <c r="AM278" s="24"/>
      <c r="AN278" s="24"/>
      <c r="AO278" s="24">
        <v>178263</v>
      </c>
      <c r="AP278" s="24">
        <v>9724439</v>
      </c>
      <c r="AQ278" s="24"/>
      <c r="AR278" s="504">
        <f t="shared" ref="AR278" si="1355">+AL278/AP277</f>
        <v>8.3068540307382841E-3</v>
      </c>
      <c r="AS278" s="25"/>
      <c r="AT278" s="25"/>
      <c r="AU278" s="24"/>
      <c r="AV278" s="341">
        <f t="shared" ref="AV278" si="1356">+AP278/H278</f>
        <v>0.59095505243456226</v>
      </c>
      <c r="AW278" s="341"/>
      <c r="AX278" s="24">
        <f t="shared" ref="AX278" si="1357">+AP278/BW278</f>
        <v>36150.33085501859</v>
      </c>
      <c r="AY278" s="351"/>
      <c r="AZ278" s="10"/>
      <c r="BA278" s="66">
        <f t="shared" ref="BA278" si="1358">+BC278-BC277</f>
        <v>1690558</v>
      </c>
      <c r="BB278" s="67"/>
      <c r="BC278" s="67">
        <v>221195630</v>
      </c>
      <c r="BD278" s="67"/>
      <c r="BE278" s="67">
        <f t="shared" ref="BE278" si="1359">+D278</f>
        <v>187901</v>
      </c>
      <c r="BF278" s="67"/>
      <c r="BG278" s="156">
        <f t="shared" ref="BG278" si="1360">+BE278/BA278</f>
        <v>0.11114732532098869</v>
      </c>
      <c r="BH278" s="67"/>
      <c r="BI278" s="183"/>
      <c r="BJ278" s="67"/>
      <c r="BK278" s="67">
        <f t="shared" ref="BK278" si="1361">SUM(BA272:BA278)</f>
        <v>13735289</v>
      </c>
      <c r="BL278" s="67"/>
      <c r="BM278" s="156">
        <f t="shared" ref="BM278" si="1362">+Q278/BK278</f>
        <v>0.11059599838052188</v>
      </c>
      <c r="BN278" s="66">
        <f t="shared" ref="BN278" si="1363">+BC278/BW278</f>
        <v>822288.58736059477</v>
      </c>
      <c r="BO278" s="67"/>
      <c r="BP278" s="67">
        <f t="shared" ref="BP278" si="1364">+BP277+BE278</f>
        <v>16112816</v>
      </c>
      <c r="BQ278" s="67"/>
      <c r="BR278" s="478">
        <f t="shared" ref="BR278" si="1365">+BP278/BC278</f>
        <v>7.2844187744577057E-2</v>
      </c>
      <c r="BS278" s="67"/>
      <c r="BT278" s="86"/>
      <c r="BU278" s="183"/>
      <c r="BV278" s="1"/>
      <c r="BW278" s="61">
        <f t="shared" si="186"/>
        <v>269</v>
      </c>
    </row>
    <row r="279" spans="2:75" x14ac:dyDescent="0.3">
      <c r="B279" s="171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ref="H279" si="1366">+H278+D279</f>
        <v>16655195</v>
      </c>
      <c r="I279" s="16"/>
      <c r="J279" s="479">
        <f t="shared" ref="J279" si="1367">+D279/H278</f>
        <v>1.213773201033602E-2</v>
      </c>
      <c r="K279" s="16"/>
      <c r="L279" s="16"/>
      <c r="M279" s="16"/>
      <c r="N279" s="16">
        <f t="shared" ref="N279" si="1368">SUM(D273:D279)</f>
        <v>1518715</v>
      </c>
      <c r="O279" s="16">
        <f t="shared" ref="O279" si="1369">+H279/BW279</f>
        <v>61685.907407407409</v>
      </c>
      <c r="P279" s="41"/>
      <c r="Q279" s="17">
        <f t="shared" ref="Q279" si="1370">SUM(D273:D279)</f>
        <v>1518715</v>
      </c>
      <c r="R279" s="16"/>
      <c r="S279" s="60">
        <f t="shared" ref="S279" si="1371">+(Q279-Q272)/Q272</f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ref="AA279" si="1372">+AA278+W279</f>
        <v>306874</v>
      </c>
      <c r="AB279" s="33"/>
      <c r="AC279" s="46">
        <f t="shared" ref="AC279" si="1373">+AA279/H279</f>
        <v>1.8425122011480503E-2</v>
      </c>
      <c r="AD279" s="33"/>
      <c r="AE279" s="33">
        <f t="shared" ref="AE279" si="1374">+AA279/BW279</f>
        <v>1136.5703703703705</v>
      </c>
      <c r="AF279" s="50"/>
      <c r="AG279" s="33">
        <f t="shared" ref="AG279" si="1375">SUM(W273:W279)</f>
        <v>17671</v>
      </c>
      <c r="AH279" s="33">
        <f t="shared" ref="AH279" si="1376">SUM(D250:D445)</f>
        <v>791401964.34662843</v>
      </c>
      <c r="AI279" s="231">
        <f t="shared" ref="AI279" si="1377">+(AG279-AG272)/AG272</f>
        <v>0.10588897928531198</v>
      </c>
      <c r="AJ279" s="50"/>
      <c r="AK279" s="10"/>
      <c r="AL279" s="23">
        <f t="shared" ref="AL279" si="1378">+AP279-AP278</f>
        <v>148685</v>
      </c>
      <c r="AM279" s="24"/>
      <c r="AN279" s="24"/>
      <c r="AO279" s="24">
        <v>178263</v>
      </c>
      <c r="AP279" s="24">
        <v>9873124</v>
      </c>
      <c r="AQ279" s="24"/>
      <c r="AR279" s="504">
        <f t="shared" ref="AR279" si="1379">+AL279/AP278</f>
        <v>1.5289828030182513E-2</v>
      </c>
      <c r="AS279" s="25"/>
      <c r="AT279" s="25"/>
      <c r="AU279" s="24"/>
      <c r="AV279" s="341">
        <f t="shared" ref="AV279" si="1380">+AP279/H279</f>
        <v>0.5927954611158861</v>
      </c>
      <c r="AW279" s="341"/>
      <c r="AX279" s="24">
        <f t="shared" ref="AX279" si="1381">+AP279/BW279</f>
        <v>36567.125925925924</v>
      </c>
      <c r="AY279" s="351"/>
      <c r="AZ279" s="10"/>
      <c r="BA279" s="66">
        <f t="shared" ref="BA279" si="1382">+BC279-BC278</f>
        <v>1989576</v>
      </c>
      <c r="BB279" s="67"/>
      <c r="BC279" s="67">
        <v>223185206</v>
      </c>
      <c r="BD279" s="67"/>
      <c r="BE279" s="67">
        <f t="shared" ref="BE279" si="1383">+D279</f>
        <v>199732</v>
      </c>
      <c r="BF279" s="67"/>
      <c r="BG279" s="156">
        <f t="shared" ref="BG279" si="1384">+BE279/BA279</f>
        <v>0.10038922865977475</v>
      </c>
      <c r="BH279" s="67"/>
      <c r="BI279" s="183"/>
      <c r="BJ279" s="67"/>
      <c r="BK279" s="67">
        <f t="shared" ref="BK279" si="1385">SUM(BA273:BA279)</f>
        <v>13685933</v>
      </c>
      <c r="BL279" s="67"/>
      <c r="BM279" s="156">
        <f t="shared" ref="BM279" si="1386">+Q279/BK279</f>
        <v>0.11096905121484958</v>
      </c>
      <c r="BN279" s="66">
        <f t="shared" ref="BN279" si="1387">+BC279/BW279</f>
        <v>826611.87407407409</v>
      </c>
      <c r="BO279" s="67"/>
      <c r="BP279" s="67">
        <f t="shared" ref="BP279" si="1388">+BP278+BE279</f>
        <v>16312548</v>
      </c>
      <c r="BQ279" s="67"/>
      <c r="BR279" s="478">
        <f t="shared" ref="BR279" si="1389">+BP279/BC279</f>
        <v>7.3089736960432763E-2</v>
      </c>
      <c r="BS279" s="67"/>
      <c r="BT279" s="86"/>
      <c r="BU279" s="183"/>
      <c r="BV279" s="1"/>
      <c r="BW279" s="61">
        <f t="shared" si="186"/>
        <v>270</v>
      </c>
    </row>
    <row r="280" spans="2:75" x14ac:dyDescent="0.3">
      <c r="B280" s="171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ref="H280" si="1390">+H279+D280</f>
        <v>16855230</v>
      </c>
      <c r="I280" s="16"/>
      <c r="J280" s="479">
        <f t="shared" ref="J280" si="1391">+D280/H279</f>
        <v>1.2010366735423992E-2</v>
      </c>
      <c r="K280" s="16"/>
      <c r="L280" s="16"/>
      <c r="M280" s="16"/>
      <c r="N280" s="16">
        <f t="shared" ref="N280" si="1392">SUM(D274:D280)</f>
        <v>1508994</v>
      </c>
      <c r="O280" s="16">
        <f t="shared" ref="O280" si="1393">+H280/BW280</f>
        <v>62196.420664206642</v>
      </c>
      <c r="P280" s="41"/>
      <c r="Q280" s="17">
        <f t="shared" ref="Q280" si="1394">SUM(D274:D280)</f>
        <v>1508994</v>
      </c>
      <c r="R280" s="16"/>
      <c r="S280" s="60">
        <f t="shared" ref="S280" si="1395">+(Q280-Q273)/Q273</f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ref="AA280" si="1396">+AA279+W280</f>
        <v>309855</v>
      </c>
      <c r="AB280" s="33"/>
      <c r="AC280" s="46">
        <f t="shared" ref="AC280" si="1397">+AA280/H280</f>
        <v>1.8383314852422662E-2</v>
      </c>
      <c r="AD280" s="33"/>
      <c r="AE280" s="33">
        <f t="shared" ref="AE280" si="1398">+AA280/BW280</f>
        <v>1143.3763837638376</v>
      </c>
      <c r="AF280" s="50"/>
      <c r="AG280" s="33">
        <f t="shared" ref="AG280" si="1399">SUM(W274:W280)</f>
        <v>17692</v>
      </c>
      <c r="AH280" s="33">
        <f t="shared" ref="AH280" si="1400">SUM(D251:D446)</f>
        <v>791263715.34662843</v>
      </c>
      <c r="AI280" s="231">
        <f t="shared" ref="AI280" si="1401">+(AG280-AG273)/AG273</f>
        <v>8.3736600306278719E-2</v>
      </c>
      <c r="AJ280" s="50"/>
      <c r="AK280" s="10"/>
      <c r="AL280" s="23">
        <f t="shared" ref="AL280" si="1402">+AP280-AP279</f>
        <v>134832</v>
      </c>
      <c r="AM280" s="24"/>
      <c r="AN280" s="24"/>
      <c r="AO280" s="24">
        <v>178263</v>
      </c>
      <c r="AP280" s="24">
        <v>10007956</v>
      </c>
      <c r="AQ280" s="24"/>
      <c r="AR280" s="504">
        <f t="shared" ref="AR280" si="1403">+AL280/AP279</f>
        <v>1.3656467800870322E-2</v>
      </c>
      <c r="AS280" s="25"/>
      <c r="AT280" s="25"/>
      <c r="AU280" s="24"/>
      <c r="AV280" s="341">
        <f t="shared" ref="AV280" si="1404">+AP280/H280</f>
        <v>0.59375968171303506</v>
      </c>
      <c r="AW280" s="341"/>
      <c r="AX280" s="24">
        <f t="shared" ref="AX280" si="1405">+AP280/BW280</f>
        <v>36929.72693726937</v>
      </c>
      <c r="AY280" s="351"/>
      <c r="AZ280" s="10"/>
      <c r="BA280" s="66">
        <f t="shared" ref="BA280" si="1406">+BC280-BC279</f>
        <v>1753436</v>
      </c>
      <c r="BB280" s="67"/>
      <c r="BC280" s="67">
        <v>224938642</v>
      </c>
      <c r="BD280" s="67"/>
      <c r="BE280" s="67">
        <f t="shared" ref="BE280" si="1407">+D280</f>
        <v>200035</v>
      </c>
      <c r="BF280" s="67"/>
      <c r="BG280" s="156">
        <f t="shared" ref="BG280" si="1408">+BE280/BA280</f>
        <v>0.11408172297135453</v>
      </c>
      <c r="BH280" s="67"/>
      <c r="BI280" s="183"/>
      <c r="BJ280" s="67"/>
      <c r="BK280" s="67">
        <f t="shared" ref="BK280" si="1409">SUM(BA274:BA280)</f>
        <v>13739696</v>
      </c>
      <c r="BL280" s="67"/>
      <c r="BM280" s="156">
        <f t="shared" ref="BM280" si="1410">+Q280/BK280</f>
        <v>0.1098273207791497</v>
      </c>
      <c r="BN280" s="66">
        <f t="shared" ref="BN280" si="1411">+BC280/BW280</f>
        <v>830031.88929889305</v>
      </c>
      <c r="BO280" s="67"/>
      <c r="BP280" s="67">
        <f t="shared" ref="BP280" si="1412">+BP279+BE280</f>
        <v>16512583</v>
      </c>
      <c r="BQ280" s="67"/>
      <c r="BR280" s="478">
        <f t="shared" ref="BR280" si="1413">+BP280/BC280</f>
        <v>7.3409276650652139E-2</v>
      </c>
      <c r="BS280" s="67"/>
      <c r="BT280" s="86"/>
      <c r="BU280" s="183"/>
      <c r="BV280" s="1"/>
      <c r="BW280" s="61">
        <f t="shared" si="186"/>
        <v>271</v>
      </c>
    </row>
    <row r="281" spans="2:75" x14ac:dyDescent="0.3">
      <c r="B281" s="171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ref="H281" si="1414">+H280+D281</f>
        <v>17105403</v>
      </c>
      <c r="I281" s="16"/>
      <c r="J281" s="479">
        <f t="shared" ref="J281" si="1415">+D281/H280</f>
        <v>1.4842455427781169E-2</v>
      </c>
      <c r="K281" s="16"/>
      <c r="L281" s="16"/>
      <c r="M281" s="16"/>
      <c r="N281" s="16">
        <f t="shared" ref="N281" si="1416">SUM(D275:D281)</f>
        <v>1532214</v>
      </c>
      <c r="O281" s="16">
        <f t="shared" ref="O281" si="1417">+H281/BW281</f>
        <v>62887.511029411762</v>
      </c>
      <c r="P281" s="41"/>
      <c r="Q281" s="17">
        <f t="shared" ref="Q281" si="1418">SUM(D275:D281)</f>
        <v>1532214</v>
      </c>
      <c r="R281" s="16"/>
      <c r="S281" s="60">
        <f t="shared" ref="S281" si="1419">+(Q281-Q274)/Q274</f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ref="AA281" si="1420">+AA280+W281</f>
        <v>313416</v>
      </c>
      <c r="AB281" s="33"/>
      <c r="AC281" s="46">
        <f t="shared" ref="AC281" si="1421">+AA281/H281</f>
        <v>1.8322631743899868E-2</v>
      </c>
      <c r="AD281" s="33"/>
      <c r="AE281" s="33">
        <f t="shared" ref="AE281" si="1422">+AA281/BW281</f>
        <v>1152.2647058823529</v>
      </c>
      <c r="AF281" s="50"/>
      <c r="AG281" s="33">
        <f t="shared" ref="AG281" si="1423">SUM(W275:W281)</f>
        <v>17988</v>
      </c>
      <c r="AH281" s="33">
        <f t="shared" ref="AH281" si="1424">SUM(D252:D447)</f>
        <v>791101566.34662843</v>
      </c>
      <c r="AI281" s="231">
        <f t="shared" ref="AI281" si="1425">+(AG281-AG274)/AG274</f>
        <v>7.3461836844303879E-2</v>
      </c>
      <c r="AJ281" s="50"/>
      <c r="AK281" s="10"/>
      <c r="AL281" s="23">
        <f t="shared" ref="AL281" si="1426">+AP281-AP280</f>
        <v>162832</v>
      </c>
      <c r="AM281" s="24"/>
      <c r="AN281" s="24"/>
      <c r="AO281" s="24">
        <v>178263</v>
      </c>
      <c r="AP281" s="24">
        <v>10170788</v>
      </c>
      <c r="AQ281" s="24"/>
      <c r="AR281" s="504">
        <f t="shared" ref="AR281" si="1427">+AL281/AP280</f>
        <v>1.627025538481584E-2</v>
      </c>
      <c r="AS281" s="25"/>
      <c r="AT281" s="25"/>
      <c r="AU281" s="24"/>
      <c r="AV281" s="341">
        <f t="shared" ref="AV281" si="1428">+AP281/H281</f>
        <v>0.59459505280290681</v>
      </c>
      <c r="AW281" s="341"/>
      <c r="AX281" s="24">
        <f t="shared" ref="AX281" si="1429">+AP281/BW281</f>
        <v>37392.602941176468</v>
      </c>
      <c r="AY281" s="351"/>
      <c r="AZ281" s="10"/>
      <c r="BA281" s="66">
        <f t="shared" ref="BA281" si="1430">+BC281-BC280</f>
        <v>1784514</v>
      </c>
      <c r="BB281" s="67"/>
      <c r="BC281" s="67">
        <v>226723156</v>
      </c>
      <c r="BD281" s="67"/>
      <c r="BE281" s="67">
        <f t="shared" ref="BE281" si="1431">+D281</f>
        <v>250173</v>
      </c>
      <c r="BF281" s="67"/>
      <c r="BG281" s="156">
        <f t="shared" ref="BG281" si="1432">+BE281/BA281</f>
        <v>0.1401911108570737</v>
      </c>
      <c r="BH281" s="67"/>
      <c r="BI281" s="183"/>
      <c r="BJ281" s="67"/>
      <c r="BK281" s="67">
        <f t="shared" ref="BK281" si="1433">SUM(BA275:BA281)</f>
        <v>13608992</v>
      </c>
      <c r="BL281" s="67"/>
      <c r="BM281" s="156">
        <f t="shared" ref="BM281" si="1434">+Q281/BK281</f>
        <v>0.11258835334755138</v>
      </c>
      <c r="BN281" s="66">
        <f t="shared" ref="BN281" si="1435">+BC281/BW281</f>
        <v>833541.01470588241</v>
      </c>
      <c r="BO281" s="67"/>
      <c r="BP281" s="67">
        <f t="shared" ref="BP281" si="1436">+BP280+BE281</f>
        <v>16762756</v>
      </c>
      <c r="BQ281" s="67"/>
      <c r="BR281" s="478">
        <f t="shared" ref="BR281" si="1437">+BP281/BC281</f>
        <v>7.393490940995899E-2</v>
      </c>
      <c r="BS281" s="67"/>
      <c r="BT281" s="86"/>
      <c r="BU281" s="183"/>
      <c r="BV281" s="1"/>
      <c r="BW281" s="61">
        <f t="shared" si="186"/>
        <v>272</v>
      </c>
    </row>
    <row r="282" spans="2:75" x14ac:dyDescent="0.3">
      <c r="B282" s="171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ref="H282" si="1438">+H281+D282</f>
        <v>17343275</v>
      </c>
      <c r="I282" s="16"/>
      <c r="J282" s="479">
        <f t="shared" ref="J282" si="1439">+D282/H281</f>
        <v>1.3906249387985773E-2</v>
      </c>
      <c r="K282" s="16"/>
      <c r="L282" s="16"/>
      <c r="M282" s="16"/>
      <c r="N282" s="16">
        <f t="shared" ref="N282" si="1440">SUM(D276:D282)</f>
        <v>1542772</v>
      </c>
      <c r="O282" s="16">
        <f t="shared" ref="O282" si="1441">+H282/BW282</f>
        <v>63528.479853479854</v>
      </c>
      <c r="P282" s="41"/>
      <c r="Q282" s="17">
        <f t="shared" ref="Q282" si="1442">SUM(D276:D282)</f>
        <v>1542772</v>
      </c>
      <c r="R282" s="16"/>
      <c r="S282" s="60">
        <f t="shared" ref="S282" si="1443">+(Q282-Q275)/Q275</f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ref="AA282" si="1444">+AA281+W282</f>
        <v>316816</v>
      </c>
      <c r="AB282" s="33"/>
      <c r="AC282" s="46">
        <f t="shared" ref="AC282" si="1445">+AA282/H282</f>
        <v>1.8267368763973356E-2</v>
      </c>
      <c r="AD282" s="33"/>
      <c r="AE282" s="33">
        <f t="shared" ref="AE282" si="1446">+AA282/BW282</f>
        <v>1160.4981684981685</v>
      </c>
      <c r="AF282" s="50"/>
      <c r="AG282" s="33">
        <f t="shared" ref="AG282" si="1447">SUM(W276:W282)</f>
        <v>18281</v>
      </c>
      <c r="AH282" s="33">
        <f t="shared" ref="AH282" si="1448">SUM(D253:D448)</f>
        <v>790944305.34662843</v>
      </c>
      <c r="AI282" s="231">
        <f t="shared" ref="AI282" si="1449">+(AG282-AG275)/AG275</f>
        <v>7.8779653015460874E-2</v>
      </c>
      <c r="AJ282" s="50"/>
      <c r="AK282" s="10"/>
      <c r="AL282" s="23">
        <f t="shared" ref="AL282" si="1450">+AP282-AP281</f>
        <v>120817</v>
      </c>
      <c r="AM282" s="24"/>
      <c r="AN282" s="24"/>
      <c r="AO282" s="24">
        <v>178263</v>
      </c>
      <c r="AP282" s="24">
        <v>10291605</v>
      </c>
      <c r="AQ282" s="24"/>
      <c r="AR282" s="504">
        <f t="shared" ref="AR282" si="1451">+AL282/AP281</f>
        <v>1.187882394166509E-2</v>
      </c>
      <c r="AS282" s="25"/>
      <c r="AT282" s="25"/>
      <c r="AU282" s="24"/>
      <c r="AV282" s="341">
        <f t="shared" ref="AV282" si="1452">+AP282/H282</f>
        <v>0.59340608968029396</v>
      </c>
      <c r="AW282" s="341"/>
      <c r="AX282" s="24">
        <f t="shared" ref="AX282" si="1453">+AP282/BW282</f>
        <v>37698.18681318681</v>
      </c>
      <c r="AY282" s="351"/>
      <c r="AZ282" s="10"/>
      <c r="BA282" s="66">
        <f t="shared" ref="BA282" si="1454">+BC282-BC281</f>
        <v>1885917</v>
      </c>
      <c r="BB282" s="67"/>
      <c r="BC282" s="67">
        <v>228609073</v>
      </c>
      <c r="BD282" s="67"/>
      <c r="BE282" s="67">
        <f t="shared" ref="BE282" si="1455">+D282</f>
        <v>237872</v>
      </c>
      <c r="BF282" s="67"/>
      <c r="BG282" s="156">
        <f t="shared" ref="BG282" si="1456">+BE282/BA282</f>
        <v>0.12613068337577954</v>
      </c>
      <c r="BH282" s="67"/>
      <c r="BI282" s="183"/>
      <c r="BJ282" s="67"/>
      <c r="BK282" s="67">
        <f t="shared" ref="BK282" si="1457">SUM(BA276:BA282)</f>
        <v>13487629</v>
      </c>
      <c r="BL282" s="67"/>
      <c r="BM282" s="156">
        <f t="shared" ref="BM282" si="1458">+Q282/BK282</f>
        <v>0.11438422572269745</v>
      </c>
      <c r="BN282" s="66">
        <f t="shared" ref="BN282" si="1459">+BC282/BW282</f>
        <v>837395.87179487175</v>
      </c>
      <c r="BO282" s="67"/>
      <c r="BP282" s="67">
        <f t="shared" ref="BP282" si="1460">+BP281+BE282</f>
        <v>17000628</v>
      </c>
      <c r="BQ282" s="67"/>
      <c r="BR282" s="478">
        <f t="shared" ref="BR282" si="1461">+BP282/BC282</f>
        <v>7.4365499920469036E-2</v>
      </c>
      <c r="BS282" s="67"/>
      <c r="BT282" s="86"/>
      <c r="BU282" s="183"/>
      <c r="BV282" s="1"/>
      <c r="BW282" s="61">
        <f t="shared" si="186"/>
        <v>273</v>
      </c>
    </row>
    <row r="283" spans="2:75" x14ac:dyDescent="0.3">
      <c r="B283" s="171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ref="H283" si="1462">+H282+D283</f>
        <v>17597955</v>
      </c>
      <c r="I283" s="16"/>
      <c r="J283" s="479">
        <f t="shared" ref="J283" si="1463">+D283/H282</f>
        <v>1.4684654426571683E-2</v>
      </c>
      <c r="K283" s="16"/>
      <c r="L283" s="16"/>
      <c r="M283" s="16"/>
      <c r="N283" s="16">
        <f t="shared" ref="N283" si="1464">SUM(D277:D283)</f>
        <v>1550691</v>
      </c>
      <c r="O283" s="16">
        <f t="shared" ref="O283" si="1465">+H283/BW283</f>
        <v>64226.113138686131</v>
      </c>
      <c r="P283" s="41"/>
      <c r="Q283" s="17">
        <f t="shared" ref="Q283" si="1466">SUM(D277:D283)</f>
        <v>1550691</v>
      </c>
      <c r="R283" s="16"/>
      <c r="S283" s="60">
        <f t="shared" ref="S283" si="1467">+(Q283-Q276)/Q276</f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ref="AA283" si="1468">+AA282+W283</f>
        <v>319610</v>
      </c>
      <c r="AB283" s="33"/>
      <c r="AC283" s="46">
        <f t="shared" ref="AC283" si="1469">+AA283/H283</f>
        <v>1.8161769364679021E-2</v>
      </c>
      <c r="AD283" s="33"/>
      <c r="AE283" s="33">
        <f t="shared" ref="AE283" si="1470">+AA283/BW283</f>
        <v>1166.4598540145985</v>
      </c>
      <c r="AF283" s="50"/>
      <c r="AG283" s="33">
        <f t="shared" ref="AG283" si="1471">SUM(W277:W283)</f>
        <v>18044</v>
      </c>
      <c r="AH283" s="33">
        <f t="shared" ref="AH283" si="1472">SUM(D254:D449)</f>
        <v>790770537.34662843</v>
      </c>
      <c r="AI283" s="231">
        <f t="shared" ref="AI283" si="1473">+(AG283-AG276)/AG276</f>
        <v>4.5483515846804566E-2</v>
      </c>
      <c r="AJ283" s="50"/>
      <c r="AK283" s="10"/>
      <c r="AL283" s="23">
        <f t="shared" ref="AL283" si="1474">+AP283-AP282</f>
        <v>102681</v>
      </c>
      <c r="AM283" s="24"/>
      <c r="AN283" s="24"/>
      <c r="AO283" s="24">
        <v>178263</v>
      </c>
      <c r="AP283" s="24">
        <v>10394286</v>
      </c>
      <c r="AQ283" s="24"/>
      <c r="AR283" s="504">
        <f t="shared" ref="AR283" si="1475">+AL283/AP282</f>
        <v>9.9771609967541502E-3</v>
      </c>
      <c r="AS283" s="25"/>
      <c r="AT283" s="25"/>
      <c r="AU283" s="24"/>
      <c r="AV283" s="341">
        <f t="shared" ref="AV283" si="1476">+AP283/H283</f>
        <v>0.59065306167676868</v>
      </c>
      <c r="AW283" s="341"/>
      <c r="AX283" s="24">
        <f t="shared" ref="AX283" si="1477">+AP283/BW283</f>
        <v>37935.350364963502</v>
      </c>
      <c r="AY283" s="351"/>
      <c r="AZ283" s="10"/>
      <c r="BA283" s="66">
        <f t="shared" ref="BA283" si="1478">+BC283-BC282</f>
        <v>2207096</v>
      </c>
      <c r="BB283" s="67"/>
      <c r="BC283" s="67">
        <v>230816169</v>
      </c>
      <c r="BD283" s="67"/>
      <c r="BE283" s="67">
        <f t="shared" ref="BE283" si="1479">+D283</f>
        <v>254680</v>
      </c>
      <c r="BF283" s="67"/>
      <c r="BG283" s="156">
        <f t="shared" ref="BG283" si="1480">+BE283/BA283</f>
        <v>0.11539144649802274</v>
      </c>
      <c r="BH283" s="67"/>
      <c r="BI283" s="183"/>
      <c r="BJ283" s="67"/>
      <c r="BK283" s="67">
        <f t="shared" ref="BK283" si="1481">SUM(BA277:BA283)</f>
        <v>13623472</v>
      </c>
      <c r="BL283" s="67"/>
      <c r="BM283" s="156">
        <f t="shared" ref="BM283" si="1482">+Q283/BK283</f>
        <v>0.11382494858872981</v>
      </c>
      <c r="BN283" s="66">
        <f t="shared" ref="BN283" si="1483">+BC283/BW283</f>
        <v>842394.77737226279</v>
      </c>
      <c r="BO283" s="67"/>
      <c r="BP283" s="67">
        <f t="shared" ref="BP283" si="1484">+BP282+BE283</f>
        <v>17255308</v>
      </c>
      <c r="BQ283" s="67"/>
      <c r="BR283" s="478">
        <f t="shared" ref="BR283" si="1485">+BP283/BC283</f>
        <v>7.4757795672451346E-2</v>
      </c>
      <c r="BS283" s="67"/>
      <c r="BT283" s="86"/>
      <c r="BU283" s="183"/>
      <c r="BV283" s="1"/>
      <c r="BW283" s="61">
        <f t="shared" si="186"/>
        <v>274</v>
      </c>
    </row>
    <row r="284" spans="2:75" x14ac:dyDescent="0.3">
      <c r="B284" s="171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ref="H284" si="1486">+H283+D284</f>
        <v>17787605</v>
      </c>
      <c r="I284" s="16"/>
      <c r="J284" s="479">
        <f t="shared" ref="J284" si="1487">+D284/H283</f>
        <v>1.0776820374867421E-2</v>
      </c>
      <c r="K284" s="16"/>
      <c r="L284" s="16"/>
      <c r="M284" s="16"/>
      <c r="N284" s="16">
        <f t="shared" ref="N284" si="1488">SUM(D278:D284)</f>
        <v>1520043</v>
      </c>
      <c r="O284" s="16">
        <f t="shared" ref="O284" si="1489">+H284/BW284</f>
        <v>64682.2</v>
      </c>
      <c r="P284" s="41"/>
      <c r="Q284" s="17">
        <f t="shared" ref="Q284" si="1490">SUM(D278:D284)</f>
        <v>1520043</v>
      </c>
      <c r="R284" s="16"/>
      <c r="S284" s="60">
        <f t="shared" ref="S284" si="1491">+(Q284-Q277)/Q277</f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ref="AA284" si="1492">+AA283+W284</f>
        <v>322169</v>
      </c>
      <c r="AB284" s="33"/>
      <c r="AC284" s="46">
        <f t="shared" ref="AC284" si="1493">+AA284/H284</f>
        <v>1.8111994279162373E-2</v>
      </c>
      <c r="AD284" s="33"/>
      <c r="AE284" s="33">
        <f t="shared" ref="AE284" si="1494">+AA284/BW284</f>
        <v>1171.5236363636363</v>
      </c>
      <c r="AF284" s="50"/>
      <c r="AG284" s="33">
        <f t="shared" ref="AG284" si="1495">SUM(W278:W284)</f>
        <v>18296</v>
      </c>
      <c r="AH284" s="33">
        <f t="shared" ref="AH284" si="1496">SUM(D255:D450)</f>
        <v>790578351.34662843</v>
      </c>
      <c r="AI284" s="231">
        <f t="shared" ref="AI284" si="1497">+(AG284-AG277)/AG277</f>
        <v>5.7572254335260115E-2</v>
      </c>
      <c r="AJ284" s="50"/>
      <c r="AK284" s="10"/>
      <c r="AL284" s="23">
        <f t="shared" ref="AL284" si="1498">+AP284-AP283</f>
        <v>151159</v>
      </c>
      <c r="AM284" s="24"/>
      <c r="AN284" s="24"/>
      <c r="AO284" s="24">
        <v>178263</v>
      </c>
      <c r="AP284" s="24">
        <v>10545445</v>
      </c>
      <c r="AQ284" s="24"/>
      <c r="AR284" s="504">
        <f t="shared" ref="AR284" si="1499">+AL284/AP283</f>
        <v>1.4542509220931577E-2</v>
      </c>
      <c r="AS284" s="25"/>
      <c r="AT284" s="25"/>
      <c r="AU284" s="24"/>
      <c r="AV284" s="341">
        <f t="shared" ref="AV284" si="1500">+AP284/H284</f>
        <v>0.5928535629164241</v>
      </c>
      <c r="AW284" s="341"/>
      <c r="AX284" s="24">
        <f t="shared" ref="AX284" si="1501">+AP284/BW284</f>
        <v>38347.072727272731</v>
      </c>
      <c r="AY284" s="351"/>
      <c r="AZ284" s="10"/>
      <c r="BA284" s="66">
        <f t="shared" ref="BA284" si="1502">+BC284-BC283</f>
        <v>1780784</v>
      </c>
      <c r="BB284" s="67"/>
      <c r="BC284" s="67">
        <v>232596953</v>
      </c>
      <c r="BD284" s="67"/>
      <c r="BE284" s="67">
        <f t="shared" ref="BE284" si="1503">+D284</f>
        <v>189650</v>
      </c>
      <c r="BF284" s="67"/>
      <c r="BG284" s="156">
        <f t="shared" ref="BG284" si="1504">+BE284/BA284</f>
        <v>0.10649803681973782</v>
      </c>
      <c r="BH284" s="67"/>
      <c r="BI284" s="183"/>
      <c r="BJ284" s="67"/>
      <c r="BK284" s="67">
        <f t="shared" ref="BK284" si="1505">SUM(BA278:BA284)</f>
        <v>13091881</v>
      </c>
      <c r="BL284" s="67"/>
      <c r="BM284" s="156">
        <f t="shared" ref="BM284" si="1506">+Q284/BK284</f>
        <v>0.11610577578577135</v>
      </c>
      <c r="BN284" s="66">
        <f t="shared" ref="BN284" si="1507">+BC284/BW284</f>
        <v>845807.10181818181</v>
      </c>
      <c r="BO284" s="67"/>
      <c r="BP284" s="67">
        <f t="shared" ref="BP284" si="1508">+BP283+BE284</f>
        <v>17444958</v>
      </c>
      <c r="BQ284" s="67"/>
      <c r="BR284" s="478">
        <f t="shared" ref="BR284" si="1509">+BP284/BC284</f>
        <v>7.5000801923660626E-2</v>
      </c>
      <c r="BS284" s="67"/>
      <c r="BT284" s="86"/>
      <c r="BU284" s="183"/>
      <c r="BV284" s="1"/>
      <c r="BW284" s="61">
        <f t="shared" si="186"/>
        <v>275</v>
      </c>
    </row>
    <row r="285" spans="2:75" x14ac:dyDescent="0.3">
      <c r="B285" s="390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ref="H285" si="1510">+H284+D285</f>
        <v>17975885</v>
      </c>
      <c r="I285" s="16"/>
      <c r="J285" s="479">
        <f t="shared" ref="J285" si="1511">+D285/H284</f>
        <v>1.0584898866373522E-2</v>
      </c>
      <c r="K285" s="16"/>
      <c r="L285" s="16"/>
      <c r="M285" s="16"/>
      <c r="N285" s="16">
        <f t="shared" ref="N285" si="1512">SUM(D279:D285)</f>
        <v>1520422</v>
      </c>
      <c r="O285" s="16">
        <f t="shared" ref="O285" si="1513">+H285/BW285</f>
        <v>65130.018115942032</v>
      </c>
      <c r="P285" s="41"/>
      <c r="Q285" s="17">
        <f t="shared" ref="Q285" si="1514">SUM(D279:D285)</f>
        <v>1520422</v>
      </c>
      <c r="R285" s="16"/>
      <c r="S285" s="60">
        <f t="shared" ref="S285" si="1515">+(Q285-Q278)/Q278</f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ref="AA285" si="1516">+AA284+W285</f>
        <v>323627</v>
      </c>
      <c r="AB285" s="33"/>
      <c r="AC285" s="46">
        <f t="shared" ref="AC285" si="1517">+AA285/H285</f>
        <v>1.8003397329255277E-2</v>
      </c>
      <c r="AD285" s="33"/>
      <c r="AE285" s="33">
        <f t="shared" ref="AE285" si="1518">+AA285/BW285</f>
        <v>1172.5615942028985</v>
      </c>
      <c r="AF285" s="50"/>
      <c r="AG285" s="33">
        <f t="shared" ref="AG285" si="1519">SUM(W279:W285)</f>
        <v>18375</v>
      </c>
      <c r="AH285" s="33">
        <f t="shared" ref="AH285" si="1520">SUM(D256:D451)</f>
        <v>790374172.34662843</v>
      </c>
      <c r="AI285" s="231">
        <f t="shared" ref="AI285" si="1521">+(AG285-AG278)/AG278</f>
        <v>4.4805822482515495E-2</v>
      </c>
      <c r="AJ285" s="50"/>
      <c r="AK285" s="10"/>
      <c r="AL285" s="23">
        <f t="shared" ref="AL285" si="1522">+AP285-AP284</f>
        <v>76637</v>
      </c>
      <c r="AM285" s="24"/>
      <c r="AN285" s="24"/>
      <c r="AO285" s="24">
        <v>178263</v>
      </c>
      <c r="AP285" s="24">
        <v>10622082</v>
      </c>
      <c r="AQ285" s="24"/>
      <c r="AR285" s="504">
        <f t="shared" ref="AR285" si="1523">+AL285/AP284</f>
        <v>7.2673083023049286E-3</v>
      </c>
      <c r="AS285" s="25"/>
      <c r="AT285" s="25"/>
      <c r="AU285" s="24"/>
      <c r="AV285" s="341">
        <f t="shared" ref="AV285" si="1524">+AP285/H285</f>
        <v>0.59090731833231025</v>
      </c>
      <c r="AW285" s="341"/>
      <c r="AX285" s="24">
        <f t="shared" ref="AX285" si="1525">+AP285/BW285</f>
        <v>38485.804347826088</v>
      </c>
      <c r="AY285" s="351"/>
      <c r="AZ285" s="10"/>
      <c r="BA285" s="66">
        <f t="shared" ref="BA285" si="1526">+BC285-BC284</f>
        <v>1620242</v>
      </c>
      <c r="BB285" s="67"/>
      <c r="BC285" s="67">
        <v>234217195</v>
      </c>
      <c r="BD285" s="67"/>
      <c r="BE285" s="67">
        <f t="shared" ref="BE285" si="1527">+D285</f>
        <v>188280</v>
      </c>
      <c r="BF285" s="67"/>
      <c r="BG285" s="156">
        <f t="shared" ref="BG285" si="1528">+BE285/BA285</f>
        <v>0.11620486322413566</v>
      </c>
      <c r="BH285" s="67"/>
      <c r="BI285" s="183"/>
      <c r="BJ285" s="67"/>
      <c r="BK285" s="67">
        <f t="shared" ref="BK285" si="1529">SUM(BA279:BA285)</f>
        <v>13021565</v>
      </c>
      <c r="BL285" s="67"/>
      <c r="BM285" s="156">
        <f t="shared" ref="BM285" si="1530">+Q285/BK285</f>
        <v>0.11676184851820806</v>
      </c>
      <c r="BN285" s="66">
        <f t="shared" ref="BN285" si="1531">+BC285/BW285</f>
        <v>848613.02536231885</v>
      </c>
      <c r="BO285" s="67"/>
      <c r="BP285" s="67">
        <f t="shared" ref="BP285" si="1532">+BP284+BE285</f>
        <v>17633238</v>
      </c>
      <c r="BQ285" s="67"/>
      <c r="BR285" s="478">
        <f t="shared" ref="BR285" si="1533">+BP285/BC285</f>
        <v>7.5285838855682644E-2</v>
      </c>
      <c r="BS285" s="67"/>
      <c r="BT285" s="86"/>
      <c r="BU285" s="183"/>
      <c r="BV285" s="1"/>
      <c r="BW285" s="61">
        <f t="shared" si="186"/>
        <v>276</v>
      </c>
    </row>
    <row r="286" spans="2:75" x14ac:dyDescent="0.3">
      <c r="B286" s="171">
        <f t="shared" si="161"/>
        <v>44186</v>
      </c>
      <c r="C286" s="61"/>
      <c r="D286" s="17"/>
      <c r="E286" s="16"/>
      <c r="F286" s="16"/>
      <c r="G286" s="16"/>
      <c r="H286" s="16"/>
      <c r="I286" s="16"/>
      <c r="J286" s="479"/>
      <c r="K286" s="16"/>
      <c r="L286" s="16"/>
      <c r="M286" s="16"/>
      <c r="N286" s="16"/>
      <c r="O286" s="16"/>
      <c r="P286" s="41"/>
      <c r="Q286" s="17"/>
      <c r="R286" s="16"/>
      <c r="S286" s="60"/>
      <c r="T286" s="16"/>
      <c r="U286" s="41"/>
      <c r="V286" s="10"/>
      <c r="W286" s="34"/>
      <c r="X286" s="33"/>
      <c r="Y286" s="33"/>
      <c r="Z286" s="33"/>
      <c r="AA286" s="33"/>
      <c r="AB286" s="33"/>
      <c r="AC286" s="46"/>
      <c r="AD286" s="33"/>
      <c r="AE286" s="33"/>
      <c r="AF286" s="50"/>
      <c r="AG286" s="33"/>
      <c r="AH286" s="33"/>
      <c r="AI286" s="231"/>
      <c r="AJ286" s="50"/>
      <c r="AK286" s="10"/>
      <c r="AL286" s="23"/>
      <c r="AM286" s="24"/>
      <c r="AN286" s="24"/>
      <c r="AO286" s="24"/>
      <c r="AP286" s="24"/>
      <c r="AQ286" s="24"/>
      <c r="AR286" s="504"/>
      <c r="AS286" s="25"/>
      <c r="AT286" s="25"/>
      <c r="AU286" s="24"/>
      <c r="AV286" s="341"/>
      <c r="AW286" s="341"/>
      <c r="AX286" s="24"/>
      <c r="AY286" s="351"/>
      <c r="AZ286" s="10"/>
      <c r="BA286" s="66"/>
      <c r="BB286" s="67"/>
      <c r="BC286" s="67"/>
      <c r="BD286" s="67"/>
      <c r="BE286" s="67"/>
      <c r="BF286" s="67"/>
      <c r="BG286" s="156"/>
      <c r="BH286" s="67"/>
      <c r="BI286" s="183"/>
      <c r="BJ286" s="67"/>
      <c r="BK286" s="67"/>
      <c r="BL286" s="67"/>
      <c r="BM286" s="156"/>
      <c r="BN286" s="66"/>
      <c r="BO286" s="67"/>
      <c r="BP286" s="67"/>
      <c r="BQ286" s="67"/>
      <c r="BR286" s="478"/>
      <c r="BS286" s="67"/>
      <c r="BT286" s="86"/>
      <c r="BU286" s="183"/>
      <c r="BV286" s="1"/>
      <c r="BW286" s="61"/>
    </row>
    <row r="287" spans="2:75" x14ac:dyDescent="0.3">
      <c r="B287" s="171">
        <f t="shared" si="161"/>
        <v>44187</v>
      </c>
      <c r="C287" s="61"/>
      <c r="D287" s="17"/>
      <c r="E287" s="16"/>
      <c r="F287" s="16"/>
      <c r="G287" s="16"/>
      <c r="H287" s="16"/>
      <c r="I287" s="16"/>
      <c r="J287" s="479"/>
      <c r="K287" s="16"/>
      <c r="L287" s="16"/>
      <c r="M287" s="16"/>
      <c r="N287" s="16"/>
      <c r="O287" s="16"/>
      <c r="P287" s="41"/>
      <c r="Q287" s="17"/>
      <c r="R287" s="16"/>
      <c r="S287" s="60"/>
      <c r="T287" s="16"/>
      <c r="U287" s="41"/>
      <c r="V287" s="10"/>
      <c r="W287" s="34"/>
      <c r="X287" s="33"/>
      <c r="Y287" s="33"/>
      <c r="Z287" s="33"/>
      <c r="AA287" s="33"/>
      <c r="AB287" s="33"/>
      <c r="AC287" s="46"/>
      <c r="AD287" s="33"/>
      <c r="AE287" s="33"/>
      <c r="AF287" s="50"/>
      <c r="AG287" s="33"/>
      <c r="AH287" s="33"/>
      <c r="AI287" s="231"/>
      <c r="AJ287" s="50"/>
      <c r="AK287" s="10"/>
      <c r="AL287" s="23"/>
      <c r="AM287" s="24"/>
      <c r="AN287" s="24"/>
      <c r="AO287" s="24"/>
      <c r="AP287" s="24"/>
      <c r="AQ287" s="24"/>
      <c r="AR287" s="504"/>
      <c r="AS287" s="25"/>
      <c r="AT287" s="25"/>
      <c r="AU287" s="24"/>
      <c r="AV287" s="341"/>
      <c r="AW287" s="341"/>
      <c r="AX287" s="24"/>
      <c r="AY287" s="351"/>
      <c r="AZ287" s="10"/>
      <c r="BA287" s="66"/>
      <c r="BB287" s="67"/>
      <c r="BC287" s="67"/>
      <c r="BD287" s="67"/>
      <c r="BE287" s="67"/>
      <c r="BF287" s="67"/>
      <c r="BG287" s="156"/>
      <c r="BH287" s="67"/>
      <c r="BI287" s="183"/>
      <c r="BJ287" s="67"/>
      <c r="BK287" s="67"/>
      <c r="BL287" s="67"/>
      <c r="BM287" s="156"/>
      <c r="BN287" s="66"/>
      <c r="BO287" s="67"/>
      <c r="BP287" s="67"/>
      <c r="BQ287" s="67"/>
      <c r="BR287" s="478"/>
      <c r="BS287" s="67"/>
      <c r="BT287" s="86"/>
      <c r="BU287" s="183"/>
      <c r="BV287" s="1"/>
      <c r="BW287" s="61"/>
    </row>
    <row r="288" spans="2:75" x14ac:dyDescent="0.3">
      <c r="B288" s="171">
        <f t="shared" si="161"/>
        <v>44188</v>
      </c>
      <c r="C288" s="61"/>
      <c r="D288" s="17"/>
      <c r="E288" s="16"/>
      <c r="F288" s="16"/>
      <c r="G288" s="16"/>
      <c r="H288" s="16"/>
      <c r="I288" s="16"/>
      <c r="J288" s="479"/>
      <c r="K288" s="16"/>
      <c r="L288" s="16"/>
      <c r="M288" s="16"/>
      <c r="N288" s="16"/>
      <c r="O288" s="16"/>
      <c r="P288" s="41"/>
      <c r="Q288" s="17"/>
      <c r="R288" s="16"/>
      <c r="S288" s="60"/>
      <c r="T288" s="16"/>
      <c r="U288" s="41"/>
      <c r="V288" s="10"/>
      <c r="W288" s="34"/>
      <c r="X288" s="33"/>
      <c r="Y288" s="33"/>
      <c r="Z288" s="33"/>
      <c r="AA288" s="33"/>
      <c r="AB288" s="33"/>
      <c r="AC288" s="46"/>
      <c r="AD288" s="33"/>
      <c r="AE288" s="33"/>
      <c r="AF288" s="50"/>
      <c r="AG288" s="33"/>
      <c r="AH288" s="33"/>
      <c r="AI288" s="231"/>
      <c r="AJ288" s="50"/>
      <c r="AK288" s="10"/>
      <c r="AL288" s="23"/>
      <c r="AM288" s="24"/>
      <c r="AN288" s="24"/>
      <c r="AO288" s="24"/>
      <c r="AP288" s="24"/>
      <c r="AQ288" s="24"/>
      <c r="AR288" s="504"/>
      <c r="AS288" s="25"/>
      <c r="AT288" s="25"/>
      <c r="AU288" s="24"/>
      <c r="AV288" s="341"/>
      <c r="AW288" s="341"/>
      <c r="AX288" s="24"/>
      <c r="AY288" s="351"/>
      <c r="AZ288" s="10"/>
      <c r="BA288" s="66"/>
      <c r="BB288" s="67"/>
      <c r="BC288" s="67"/>
      <c r="BD288" s="67"/>
      <c r="BE288" s="67"/>
      <c r="BF288" s="67"/>
      <c r="BG288" s="156"/>
      <c r="BH288" s="67"/>
      <c r="BI288" s="183"/>
      <c r="BJ288" s="67"/>
      <c r="BK288" s="67"/>
      <c r="BL288" s="67"/>
      <c r="BM288" s="156"/>
      <c r="BN288" s="66"/>
      <c r="BO288" s="67"/>
      <c r="BP288" s="67"/>
      <c r="BQ288" s="67"/>
      <c r="BR288" s="478"/>
      <c r="BS288" s="67"/>
      <c r="BT288" s="86"/>
      <c r="BU288" s="183"/>
      <c r="BV288" s="1"/>
      <c r="BW288" s="61"/>
    </row>
    <row r="289" spans="2:85" x14ac:dyDescent="0.3">
      <c r="B289" s="171">
        <f t="shared" si="161"/>
        <v>44189</v>
      </c>
      <c r="C289" s="61"/>
      <c r="D289" s="17"/>
      <c r="E289" s="16"/>
      <c r="F289" s="16"/>
      <c r="G289" s="16"/>
      <c r="H289" s="16"/>
      <c r="I289" s="16"/>
      <c r="J289" s="479"/>
      <c r="K289" s="16"/>
      <c r="L289" s="16"/>
      <c r="M289" s="16"/>
      <c r="N289" s="16"/>
      <c r="O289" s="16"/>
      <c r="P289" s="41"/>
      <c r="Q289" s="17"/>
      <c r="R289" s="16"/>
      <c r="S289" s="60"/>
      <c r="T289" s="16"/>
      <c r="U289" s="41"/>
      <c r="V289" s="10"/>
      <c r="W289" s="34"/>
      <c r="X289" s="33"/>
      <c r="Y289" s="33"/>
      <c r="Z289" s="33"/>
      <c r="AA289" s="33"/>
      <c r="AB289" s="33"/>
      <c r="AC289" s="46"/>
      <c r="AD289" s="33"/>
      <c r="AE289" s="33"/>
      <c r="AF289" s="50"/>
      <c r="AG289" s="33"/>
      <c r="AH289" s="33"/>
      <c r="AI289" s="231"/>
      <c r="AJ289" s="50"/>
      <c r="AK289" s="10"/>
      <c r="AL289" s="23"/>
      <c r="AM289" s="24"/>
      <c r="AN289" s="24"/>
      <c r="AO289" s="24"/>
      <c r="AP289" s="24"/>
      <c r="AQ289" s="24"/>
      <c r="AR289" s="504"/>
      <c r="AS289" s="25"/>
      <c r="AT289" s="25"/>
      <c r="AU289" s="24"/>
      <c r="AV289" s="341"/>
      <c r="AW289" s="341"/>
      <c r="AX289" s="24"/>
      <c r="AY289" s="351"/>
      <c r="AZ289" s="10"/>
      <c r="BA289" s="66"/>
      <c r="BB289" s="67"/>
      <c r="BC289" s="67"/>
      <c r="BD289" s="67"/>
      <c r="BE289" s="67"/>
      <c r="BF289" s="67"/>
      <c r="BG289" s="156"/>
      <c r="BH289" s="67"/>
      <c r="BI289" s="183"/>
      <c r="BJ289" s="67"/>
      <c r="BK289" s="67"/>
      <c r="BL289" s="67"/>
      <c r="BM289" s="156"/>
      <c r="BN289" s="66"/>
      <c r="BO289" s="67"/>
      <c r="BP289" s="67"/>
      <c r="BQ289" s="67"/>
      <c r="BR289" s="478"/>
      <c r="BS289" s="67"/>
      <c r="BT289" s="86"/>
      <c r="BU289" s="183"/>
      <c r="BV289" s="1"/>
      <c r="BW289" s="61"/>
    </row>
    <row r="290" spans="2:85" x14ac:dyDescent="0.3">
      <c r="B290" s="171">
        <f t="shared" si="161"/>
        <v>44190</v>
      </c>
      <c r="C290" s="61"/>
      <c r="D290" s="17"/>
      <c r="E290" s="16"/>
      <c r="F290" s="16"/>
      <c r="G290" s="16"/>
      <c r="H290" s="16"/>
      <c r="I290" s="16"/>
      <c r="J290" s="479"/>
      <c r="K290" s="16"/>
      <c r="L290" s="16"/>
      <c r="M290" s="16"/>
      <c r="N290" s="16"/>
      <c r="O290" s="16"/>
      <c r="P290" s="41"/>
      <c r="Q290" s="17"/>
      <c r="R290" s="16"/>
      <c r="S290" s="60"/>
      <c r="T290" s="16"/>
      <c r="U290" s="41"/>
      <c r="V290" s="10"/>
      <c r="W290" s="34"/>
      <c r="X290" s="33"/>
      <c r="Y290" s="33"/>
      <c r="Z290" s="33"/>
      <c r="AA290" s="33"/>
      <c r="AB290" s="33"/>
      <c r="AC290" s="46"/>
      <c r="AD290" s="33"/>
      <c r="AE290" s="33"/>
      <c r="AF290" s="50"/>
      <c r="AG290" s="33"/>
      <c r="AH290" s="33"/>
      <c r="AI290" s="231"/>
      <c r="AJ290" s="50"/>
      <c r="AK290" s="10"/>
      <c r="AL290" s="23"/>
      <c r="AM290" s="24"/>
      <c r="AN290" s="24"/>
      <c r="AO290" s="24"/>
      <c r="AP290" s="24"/>
      <c r="AQ290" s="24"/>
      <c r="AR290" s="504"/>
      <c r="AS290" s="25"/>
      <c r="AT290" s="25"/>
      <c r="AU290" s="24"/>
      <c r="AV290" s="341"/>
      <c r="AW290" s="341"/>
      <c r="AX290" s="24"/>
      <c r="AY290" s="351"/>
      <c r="AZ290" s="10"/>
      <c r="BA290" s="66"/>
      <c r="BB290" s="67"/>
      <c r="BC290" s="67"/>
      <c r="BD290" s="67"/>
      <c r="BE290" s="67"/>
      <c r="BF290" s="67"/>
      <c r="BG290" s="156"/>
      <c r="BH290" s="67"/>
      <c r="BI290" s="183"/>
      <c r="BJ290" s="67"/>
      <c r="BK290" s="67"/>
      <c r="BL290" s="67"/>
      <c r="BM290" s="156"/>
      <c r="BN290" s="66"/>
      <c r="BO290" s="67"/>
      <c r="BP290" s="67"/>
      <c r="BQ290" s="67"/>
      <c r="BR290" s="478"/>
      <c r="BS290" s="67"/>
      <c r="BT290" s="86"/>
      <c r="BU290" s="183"/>
      <c r="BV290" s="1"/>
      <c r="BW290" s="61"/>
    </row>
    <row r="291" spans="2:85" x14ac:dyDescent="0.3">
      <c r="B291" s="171">
        <f t="shared" si="161"/>
        <v>44191</v>
      </c>
      <c r="C291" s="61"/>
      <c r="D291" s="17"/>
      <c r="E291" s="16"/>
      <c r="F291" s="16"/>
      <c r="G291" s="16"/>
      <c r="H291" s="16"/>
      <c r="I291" s="16"/>
      <c r="J291" s="479"/>
      <c r="K291" s="16"/>
      <c r="L291" s="16"/>
      <c r="M291" s="16"/>
      <c r="N291" s="16"/>
      <c r="O291" s="16"/>
      <c r="P291" s="41"/>
      <c r="Q291" s="17"/>
      <c r="R291" s="16"/>
      <c r="S291" s="60"/>
      <c r="T291" s="16"/>
      <c r="U291" s="41"/>
      <c r="V291" s="10"/>
      <c r="W291" s="34"/>
      <c r="X291" s="33"/>
      <c r="Y291" s="33"/>
      <c r="Z291" s="33"/>
      <c r="AA291" s="33"/>
      <c r="AB291" s="33"/>
      <c r="AC291" s="46"/>
      <c r="AD291" s="33"/>
      <c r="AE291" s="33"/>
      <c r="AF291" s="50"/>
      <c r="AG291" s="33"/>
      <c r="AH291" s="33"/>
      <c r="AI291" s="231"/>
      <c r="AJ291" s="50"/>
      <c r="AK291" s="10"/>
      <c r="AL291" s="23"/>
      <c r="AM291" s="24"/>
      <c r="AN291" s="24"/>
      <c r="AO291" s="24"/>
      <c r="AP291" s="24"/>
      <c r="AQ291" s="24"/>
      <c r="AR291" s="504"/>
      <c r="AS291" s="25"/>
      <c r="AT291" s="25"/>
      <c r="AU291" s="24"/>
      <c r="AV291" s="341"/>
      <c r="AW291" s="341"/>
      <c r="AX291" s="24"/>
      <c r="AY291" s="351"/>
      <c r="AZ291" s="10"/>
      <c r="BA291" s="66"/>
      <c r="BB291" s="67"/>
      <c r="BC291" s="67"/>
      <c r="BD291" s="67"/>
      <c r="BE291" s="67"/>
      <c r="BF291" s="67"/>
      <c r="BG291" s="156"/>
      <c r="BH291" s="67"/>
      <c r="BI291" s="183"/>
      <c r="BJ291" s="67"/>
      <c r="BK291" s="592"/>
      <c r="BL291" s="67"/>
      <c r="BM291" s="156"/>
      <c r="BN291" s="66"/>
      <c r="BO291" s="67"/>
      <c r="BP291" s="67"/>
      <c r="BQ291" s="67"/>
      <c r="BR291" s="478"/>
      <c r="BS291" s="67"/>
      <c r="BT291" s="86"/>
      <c r="BU291" s="183"/>
      <c r="BV291" s="1"/>
      <c r="BW291" s="61">
        <f>+BW246+1</f>
        <v>238</v>
      </c>
    </row>
    <row r="292" spans="2:85" x14ac:dyDescent="0.3">
      <c r="B292" s="171">
        <f t="shared" si="161"/>
        <v>44192</v>
      </c>
      <c r="C292" s="61"/>
      <c r="D292" s="17"/>
      <c r="E292" s="16"/>
      <c r="F292" s="16"/>
      <c r="G292" s="16"/>
      <c r="H292" s="16"/>
      <c r="I292" s="16"/>
      <c r="J292" s="479"/>
      <c r="K292" s="16"/>
      <c r="L292" s="16"/>
      <c r="M292" s="16"/>
      <c r="N292" s="16"/>
      <c r="O292" s="16"/>
      <c r="P292" s="41"/>
      <c r="Q292" s="453"/>
      <c r="R292" s="16"/>
      <c r="S292" s="60"/>
      <c r="T292" s="16"/>
      <c r="U292" s="41"/>
      <c r="V292" s="10"/>
      <c r="W292" s="34"/>
      <c r="X292" s="33"/>
      <c r="Y292" s="33"/>
      <c r="Z292" s="33"/>
      <c r="AA292" s="33"/>
      <c r="AB292" s="33"/>
      <c r="AC292" s="46"/>
      <c r="AD292" s="33"/>
      <c r="AE292" s="33"/>
      <c r="AF292" s="50"/>
      <c r="AG292" s="33"/>
      <c r="AH292" s="33"/>
      <c r="AI292" s="231"/>
      <c r="AJ292" s="50"/>
      <c r="AK292" s="10"/>
      <c r="AL292" s="23"/>
      <c r="AM292" s="24"/>
      <c r="AN292" s="24"/>
      <c r="AO292" s="24"/>
      <c r="AP292" s="24"/>
      <c r="AQ292" s="24"/>
      <c r="AR292" s="504"/>
      <c r="AS292" s="25"/>
      <c r="AT292" s="25"/>
      <c r="AU292" s="24"/>
      <c r="AV292" s="341"/>
      <c r="AW292" s="341"/>
      <c r="AX292" s="24"/>
      <c r="AY292" s="351"/>
      <c r="AZ292" s="10"/>
      <c r="BA292" s="66"/>
      <c r="BB292" s="67"/>
      <c r="BC292" s="67"/>
      <c r="BD292" s="67"/>
      <c r="BE292" s="67"/>
      <c r="BF292" s="67"/>
      <c r="BG292" s="156"/>
      <c r="BH292" s="67"/>
      <c r="BI292" s="183"/>
      <c r="BJ292" s="67"/>
      <c r="BK292" s="67"/>
      <c r="BL292" s="67"/>
      <c r="BM292" s="156"/>
      <c r="BN292" s="66"/>
      <c r="BO292" s="67"/>
      <c r="BP292" s="67"/>
      <c r="BQ292" s="67"/>
      <c r="BR292" s="478"/>
      <c r="BS292" s="67"/>
      <c r="BT292" s="86"/>
      <c r="BU292" s="183"/>
      <c r="BV292" s="1"/>
      <c r="BW292" s="61">
        <f t="shared" si="186"/>
        <v>239</v>
      </c>
    </row>
    <row r="293" spans="2:85" x14ac:dyDescent="0.3">
      <c r="B293" s="171">
        <f t="shared" si="161"/>
        <v>44193</v>
      </c>
      <c r="D293" s="18"/>
      <c r="E293" s="19"/>
      <c r="F293" s="19"/>
      <c r="G293" s="19"/>
      <c r="H293" s="19"/>
      <c r="I293" s="19"/>
      <c r="J293" s="39"/>
      <c r="K293" s="19"/>
      <c r="L293" s="19"/>
      <c r="M293" s="19"/>
      <c r="N293" s="19"/>
      <c r="O293" s="19"/>
      <c r="P293" s="43"/>
      <c r="Q293" s="18"/>
      <c r="R293" s="19"/>
      <c r="S293" s="19"/>
      <c r="T293" s="19"/>
      <c r="U293" s="43"/>
      <c r="V293" s="1"/>
      <c r="W293" s="35"/>
      <c r="X293" s="36"/>
      <c r="Y293" s="36"/>
      <c r="Z293" s="36"/>
      <c r="AA293" s="36"/>
      <c r="AB293" s="36"/>
      <c r="AC293" s="47"/>
      <c r="AD293" s="36"/>
      <c r="AE293" s="36"/>
      <c r="AF293" s="51"/>
      <c r="AG293" s="36"/>
      <c r="AH293" s="36"/>
      <c r="AI293" s="36"/>
      <c r="AJ293" s="51"/>
      <c r="AK293" s="1"/>
      <c r="AL293" s="26"/>
      <c r="AM293" s="27"/>
      <c r="AN293" s="27"/>
      <c r="AO293" s="27"/>
      <c r="AP293" s="27"/>
      <c r="AQ293" s="27"/>
      <c r="AR293" s="27"/>
      <c r="AS293" s="27"/>
      <c r="AT293" s="27"/>
      <c r="AU293" s="27"/>
      <c r="AV293" s="343"/>
      <c r="AW293" s="343"/>
      <c r="AX293" s="27"/>
      <c r="AY293" s="350"/>
      <c r="AZ293" s="1"/>
      <c r="BA293" s="68"/>
      <c r="BB293" s="69"/>
      <c r="BC293" s="69"/>
      <c r="BD293" s="69"/>
      <c r="BE293" s="69"/>
      <c r="BF293" s="69"/>
      <c r="BG293" s="69"/>
      <c r="BH293" s="69"/>
      <c r="BI293" s="184"/>
      <c r="BJ293" s="69"/>
      <c r="BK293" s="69"/>
      <c r="BL293" s="69"/>
      <c r="BM293" s="69"/>
      <c r="BN293" s="68"/>
      <c r="BO293" s="69"/>
      <c r="BP293" s="69"/>
      <c r="BQ293" s="69"/>
      <c r="BR293" s="71"/>
      <c r="BS293" s="69"/>
      <c r="BT293" s="69"/>
      <c r="BU293" s="184"/>
      <c r="BV293" s="1"/>
      <c r="BW293" s="61">
        <f t="shared" si="186"/>
        <v>240</v>
      </c>
    </row>
    <row r="294" spans="2:85" x14ac:dyDescent="0.3">
      <c r="B294" s="56"/>
      <c r="D294" s="1"/>
      <c r="E294" s="1"/>
      <c r="F294" s="1"/>
      <c r="G294" s="1"/>
      <c r="H294" s="59"/>
      <c r="I294" s="1"/>
      <c r="J294" s="5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59"/>
      <c r="X294" s="1"/>
      <c r="Y294" s="1"/>
      <c r="Z294" s="1"/>
      <c r="AA294" s="1"/>
      <c r="AB294" s="1"/>
      <c r="AC294" s="59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59"/>
      <c r="BD294" s="1"/>
      <c r="BE294" s="59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2:85" x14ac:dyDescent="0.3">
      <c r="B295" s="179" t="s">
        <v>82</v>
      </c>
      <c r="D295" s="56">
        <f>+D285</f>
        <v>188280</v>
      </c>
      <c r="E295" s="56">
        <f t="shared" ref="E295:G295" si="1534">+E238</f>
        <v>0</v>
      </c>
      <c r="F295" s="56">
        <f t="shared" si="1534"/>
        <v>0</v>
      </c>
      <c r="G295" s="56">
        <f t="shared" si="1534"/>
        <v>0</v>
      </c>
      <c r="H295" s="56">
        <f t="shared" ref="H295:BS295" si="1535">+H285</f>
        <v>17975885</v>
      </c>
      <c r="I295" s="56">
        <f t="shared" si="1535"/>
        <v>0</v>
      </c>
      <c r="J295" s="56">
        <f t="shared" si="1535"/>
        <v>1.0584898866373522E-2</v>
      </c>
      <c r="K295" s="56">
        <f t="shared" si="1535"/>
        <v>0</v>
      </c>
      <c r="L295" s="56">
        <f t="shared" si="1535"/>
        <v>0</v>
      </c>
      <c r="M295" s="56">
        <f t="shared" si="1535"/>
        <v>0</v>
      </c>
      <c r="N295" s="56">
        <f t="shared" si="1535"/>
        <v>1520422</v>
      </c>
      <c r="O295" s="56">
        <f t="shared" si="1535"/>
        <v>65130.018115942032</v>
      </c>
      <c r="P295" s="56">
        <f t="shared" si="1535"/>
        <v>0</v>
      </c>
      <c r="Q295" s="56">
        <f t="shared" si="1535"/>
        <v>1520422</v>
      </c>
      <c r="R295" s="56">
        <f t="shared" si="1535"/>
        <v>0</v>
      </c>
      <c r="S295" s="56">
        <f t="shared" si="1535"/>
        <v>8.9133600339155327E-4</v>
      </c>
      <c r="T295" s="56">
        <f t="shared" si="1535"/>
        <v>0</v>
      </c>
      <c r="U295" s="56">
        <f t="shared" si="1535"/>
        <v>0</v>
      </c>
      <c r="V295" s="56">
        <f t="shared" si="1535"/>
        <v>177</v>
      </c>
      <c r="W295" s="56">
        <f t="shared" si="1535"/>
        <v>1458</v>
      </c>
      <c r="X295" s="56">
        <f t="shared" si="1535"/>
        <v>0</v>
      </c>
      <c r="Y295" s="56">
        <f t="shared" si="1535"/>
        <v>0</v>
      </c>
      <c r="Z295" s="56">
        <f t="shared" si="1535"/>
        <v>0</v>
      </c>
      <c r="AA295" s="56">
        <f t="shared" si="1535"/>
        <v>323627</v>
      </c>
      <c r="AB295" s="56">
        <f t="shared" si="1535"/>
        <v>0</v>
      </c>
      <c r="AC295" s="56">
        <f t="shared" si="1535"/>
        <v>1.8003397329255277E-2</v>
      </c>
      <c r="AD295" s="56">
        <f t="shared" si="1535"/>
        <v>0</v>
      </c>
      <c r="AE295" s="56">
        <f t="shared" si="1535"/>
        <v>1172.5615942028985</v>
      </c>
      <c r="AF295" s="56">
        <f t="shared" si="1535"/>
        <v>0</v>
      </c>
      <c r="AG295" s="56">
        <f t="shared" si="1535"/>
        <v>18375</v>
      </c>
      <c r="AH295" s="56">
        <f t="shared" si="1535"/>
        <v>790374172.34662843</v>
      </c>
      <c r="AI295" s="56">
        <f t="shared" si="1535"/>
        <v>4.4805822482515495E-2</v>
      </c>
      <c r="AJ295" s="56">
        <f t="shared" si="1535"/>
        <v>0</v>
      </c>
      <c r="AK295" s="56">
        <f t="shared" si="1535"/>
        <v>0</v>
      </c>
      <c r="AL295" s="56">
        <f t="shared" si="1535"/>
        <v>76637</v>
      </c>
      <c r="AM295" s="56">
        <f t="shared" si="1535"/>
        <v>0</v>
      </c>
      <c r="AN295" s="56">
        <f t="shared" si="1535"/>
        <v>0</v>
      </c>
      <c r="AO295" s="56">
        <f t="shared" si="1535"/>
        <v>178263</v>
      </c>
      <c r="AP295" s="56">
        <f t="shared" si="1535"/>
        <v>10622082</v>
      </c>
      <c r="AQ295" s="56">
        <f t="shared" si="1535"/>
        <v>0</v>
      </c>
      <c r="AR295" s="56">
        <f t="shared" si="1535"/>
        <v>7.2673083023049286E-3</v>
      </c>
      <c r="AS295" s="56">
        <f t="shared" si="1535"/>
        <v>0</v>
      </c>
      <c r="AT295" s="56">
        <f t="shared" si="1535"/>
        <v>0</v>
      </c>
      <c r="AU295" s="56">
        <f t="shared" si="1535"/>
        <v>0</v>
      </c>
      <c r="AV295" s="56">
        <f t="shared" si="1535"/>
        <v>0.59090731833231025</v>
      </c>
      <c r="AW295" s="56">
        <f t="shared" si="1535"/>
        <v>0</v>
      </c>
      <c r="AX295" s="56">
        <f t="shared" si="1535"/>
        <v>38485.804347826088</v>
      </c>
      <c r="AY295" s="56">
        <f t="shared" si="1535"/>
        <v>0</v>
      </c>
      <c r="AZ295" s="56">
        <f t="shared" si="1535"/>
        <v>0</v>
      </c>
      <c r="BA295" s="56">
        <f t="shared" si="1535"/>
        <v>1620242</v>
      </c>
      <c r="BB295" s="56">
        <f t="shared" si="1535"/>
        <v>0</v>
      </c>
      <c r="BC295" s="56">
        <f t="shared" si="1535"/>
        <v>234217195</v>
      </c>
      <c r="BD295" s="56">
        <f t="shared" si="1535"/>
        <v>0</v>
      </c>
      <c r="BE295" s="56">
        <f t="shared" si="1535"/>
        <v>188280</v>
      </c>
      <c r="BF295" s="56">
        <f t="shared" si="1535"/>
        <v>0</v>
      </c>
      <c r="BG295" s="56">
        <f t="shared" si="1535"/>
        <v>0.11620486322413566</v>
      </c>
      <c r="BH295" s="56">
        <f t="shared" si="1535"/>
        <v>0</v>
      </c>
      <c r="BI295" s="56">
        <f t="shared" si="1535"/>
        <v>0</v>
      </c>
      <c r="BJ295" s="56">
        <f t="shared" si="1535"/>
        <v>0</v>
      </c>
      <c r="BK295" s="56">
        <f t="shared" si="1535"/>
        <v>13021565</v>
      </c>
      <c r="BL295" s="56">
        <f t="shared" si="1535"/>
        <v>0</v>
      </c>
      <c r="BM295" s="56">
        <f t="shared" si="1535"/>
        <v>0.11676184851820806</v>
      </c>
      <c r="BN295" s="56">
        <f t="shared" si="1535"/>
        <v>848613.02536231885</v>
      </c>
      <c r="BO295" s="56">
        <f t="shared" si="1535"/>
        <v>0</v>
      </c>
      <c r="BP295" s="56">
        <f t="shared" si="1535"/>
        <v>17633238</v>
      </c>
      <c r="BQ295" s="56">
        <f t="shared" si="1535"/>
        <v>0</v>
      </c>
      <c r="BR295" s="56">
        <f t="shared" si="1535"/>
        <v>7.5285838855682644E-2</v>
      </c>
      <c r="BS295" s="56">
        <f t="shared" si="1535"/>
        <v>0</v>
      </c>
      <c r="BT295" s="56">
        <f t="shared" ref="BT295" si="1536">+BT285</f>
        <v>0</v>
      </c>
      <c r="BU295" s="56">
        <f t="shared" ref="BT295:BV295" si="1537">+BU282</f>
        <v>0</v>
      </c>
      <c r="BV295" s="56">
        <f t="shared" si="1537"/>
        <v>0</v>
      </c>
      <c r="BW295" s="160"/>
      <c r="BX295" s="10"/>
      <c r="BY295" s="62"/>
      <c r="BZ295" s="10"/>
      <c r="CA295" s="160"/>
      <c r="CB295" s="61"/>
      <c r="CC295" s="61"/>
      <c r="CD295" s="61"/>
      <c r="CE295" s="61"/>
      <c r="CF295" s="61"/>
      <c r="CG295" s="157"/>
    </row>
    <row r="296" spans="2:85" x14ac:dyDescent="0.3">
      <c r="B296" t="s">
        <v>118</v>
      </c>
      <c r="D296" s="56">
        <f>+D284-D295</f>
        <v>1370</v>
      </c>
      <c r="E296" s="56">
        <f t="shared" ref="E296:G296" si="1538">+E237-E295</f>
        <v>0</v>
      </c>
      <c r="F296" s="56">
        <f t="shared" si="1538"/>
        <v>0</v>
      </c>
      <c r="G296" s="56">
        <f t="shared" si="1538"/>
        <v>0</v>
      </c>
      <c r="H296" s="56">
        <f t="shared" ref="H296:BS296" si="1539">+H284-H295</f>
        <v>-188280</v>
      </c>
      <c r="I296" s="56">
        <f t="shared" si="1539"/>
        <v>0</v>
      </c>
      <c r="J296" s="56">
        <f t="shared" si="1539"/>
        <v>1.9192150849389918E-4</v>
      </c>
      <c r="K296" s="56">
        <f t="shared" si="1539"/>
        <v>0</v>
      </c>
      <c r="L296" s="56">
        <f t="shared" si="1539"/>
        <v>0</v>
      </c>
      <c r="M296" s="56">
        <f t="shared" si="1539"/>
        <v>0</v>
      </c>
      <c r="N296" s="56">
        <f t="shared" si="1539"/>
        <v>-379</v>
      </c>
      <c r="O296" s="56">
        <f t="shared" si="1539"/>
        <v>-447.81811594203464</v>
      </c>
      <c r="P296" s="56">
        <f t="shared" si="1539"/>
        <v>0</v>
      </c>
      <c r="Q296" s="56">
        <f t="shared" si="1539"/>
        <v>-379</v>
      </c>
      <c r="R296" s="56">
        <f t="shared" si="1539"/>
        <v>0</v>
      </c>
      <c r="S296" s="56">
        <f t="shared" si="1539"/>
        <v>3.1358882172873876E-3</v>
      </c>
      <c r="T296" s="56">
        <f t="shared" si="1539"/>
        <v>0</v>
      </c>
      <c r="U296" s="56">
        <f t="shared" si="1539"/>
        <v>0</v>
      </c>
      <c r="V296" s="56">
        <f t="shared" si="1539"/>
        <v>-1</v>
      </c>
      <c r="W296" s="56">
        <f t="shared" si="1539"/>
        <v>1101</v>
      </c>
      <c r="X296" s="56">
        <f t="shared" si="1539"/>
        <v>0</v>
      </c>
      <c r="Y296" s="56">
        <f t="shared" si="1539"/>
        <v>0</v>
      </c>
      <c r="Z296" s="56">
        <f t="shared" si="1539"/>
        <v>0</v>
      </c>
      <c r="AA296" s="56">
        <f t="shared" si="1539"/>
        <v>-1458</v>
      </c>
      <c r="AB296" s="56">
        <f t="shared" si="1539"/>
        <v>0</v>
      </c>
      <c r="AC296" s="56">
        <f t="shared" si="1539"/>
        <v>1.0859694990709642E-4</v>
      </c>
      <c r="AD296" s="56">
        <f t="shared" si="1539"/>
        <v>0</v>
      </c>
      <c r="AE296" s="56">
        <f t="shared" si="1539"/>
        <v>-1.0379578392621625</v>
      </c>
      <c r="AF296" s="56">
        <f t="shared" si="1539"/>
        <v>0</v>
      </c>
      <c r="AG296" s="56">
        <f t="shared" si="1539"/>
        <v>-79</v>
      </c>
      <c r="AH296" s="56">
        <f t="shared" si="1539"/>
        <v>204179</v>
      </c>
      <c r="AI296" s="56">
        <f t="shared" si="1539"/>
        <v>1.276643185274462E-2</v>
      </c>
      <c r="AJ296" s="56">
        <f t="shared" si="1539"/>
        <v>0</v>
      </c>
      <c r="AK296" s="56">
        <f t="shared" si="1539"/>
        <v>0</v>
      </c>
      <c r="AL296" s="56">
        <f t="shared" si="1539"/>
        <v>74522</v>
      </c>
      <c r="AM296" s="56">
        <f t="shared" si="1539"/>
        <v>0</v>
      </c>
      <c r="AN296" s="56">
        <f t="shared" si="1539"/>
        <v>0</v>
      </c>
      <c r="AO296" s="56">
        <f t="shared" si="1539"/>
        <v>0</v>
      </c>
      <c r="AP296" s="56">
        <f t="shared" si="1539"/>
        <v>-76637</v>
      </c>
      <c r="AQ296" s="56">
        <f t="shared" si="1539"/>
        <v>0</v>
      </c>
      <c r="AR296" s="56">
        <f t="shared" si="1539"/>
        <v>7.2752009186266486E-3</v>
      </c>
      <c r="AS296" s="56">
        <f t="shared" si="1539"/>
        <v>0</v>
      </c>
      <c r="AT296" s="56">
        <f t="shared" si="1539"/>
        <v>0</v>
      </c>
      <c r="AU296" s="56">
        <f t="shared" si="1539"/>
        <v>0</v>
      </c>
      <c r="AV296" s="56">
        <f t="shared" si="1539"/>
        <v>1.9462445841138543E-3</v>
      </c>
      <c r="AW296" s="56">
        <f t="shared" si="1539"/>
        <v>0</v>
      </c>
      <c r="AX296" s="56">
        <f t="shared" si="1539"/>
        <v>-138.73162055335706</v>
      </c>
      <c r="AY296" s="56">
        <f t="shared" si="1539"/>
        <v>0</v>
      </c>
      <c r="AZ296" s="56">
        <f t="shared" si="1539"/>
        <v>0</v>
      </c>
      <c r="BA296" s="56">
        <f t="shared" si="1539"/>
        <v>160542</v>
      </c>
      <c r="BB296" s="56">
        <f t="shared" si="1539"/>
        <v>0</v>
      </c>
      <c r="BC296" s="56">
        <f t="shared" si="1539"/>
        <v>-1620242</v>
      </c>
      <c r="BD296" s="56">
        <f t="shared" si="1539"/>
        <v>0</v>
      </c>
      <c r="BE296" s="56">
        <f t="shared" si="1539"/>
        <v>1370</v>
      </c>
      <c r="BF296" s="56">
        <f t="shared" si="1539"/>
        <v>0</v>
      </c>
      <c r="BG296" s="56">
        <f t="shared" si="1539"/>
        <v>-9.7068264043978364E-3</v>
      </c>
      <c r="BH296" s="56">
        <f t="shared" si="1539"/>
        <v>0</v>
      </c>
      <c r="BI296" s="56">
        <f t="shared" si="1539"/>
        <v>0</v>
      </c>
      <c r="BJ296" s="56">
        <f t="shared" si="1539"/>
        <v>0</v>
      </c>
      <c r="BK296" s="56">
        <f t="shared" si="1539"/>
        <v>70316</v>
      </c>
      <c r="BL296" s="56">
        <f t="shared" si="1539"/>
        <v>0</v>
      </c>
      <c r="BM296" s="56">
        <f t="shared" si="1539"/>
        <v>-6.5607273243671604E-4</v>
      </c>
      <c r="BN296" s="56">
        <f t="shared" si="1539"/>
        <v>-2805.9235441370402</v>
      </c>
      <c r="BO296" s="56">
        <f t="shared" si="1539"/>
        <v>0</v>
      </c>
      <c r="BP296" s="56">
        <f t="shared" si="1539"/>
        <v>-188280</v>
      </c>
      <c r="BQ296" s="56">
        <f t="shared" si="1539"/>
        <v>0</v>
      </c>
      <c r="BR296" s="56">
        <f t="shared" si="1539"/>
        <v>-2.8503693202201752E-4</v>
      </c>
      <c r="BS296" s="56">
        <f t="shared" si="1539"/>
        <v>0</v>
      </c>
      <c r="BT296" s="56">
        <f t="shared" ref="BT296" si="1540">+BT284-BT295</f>
        <v>0</v>
      </c>
      <c r="BU296" s="56">
        <f t="shared" ref="BT296:BV296" si="1541">+BU281-BU295</f>
        <v>0</v>
      </c>
      <c r="BV296" s="56">
        <f t="shared" si="1541"/>
        <v>0</v>
      </c>
      <c r="BW296" s="62"/>
      <c r="BX296" s="10"/>
      <c r="BY296" s="10"/>
      <c r="BZ296" s="10"/>
      <c r="CA296" s="62"/>
      <c r="CB296" s="61"/>
      <c r="CC296" s="61"/>
      <c r="CD296" s="61"/>
      <c r="CE296" s="61"/>
      <c r="CF296" s="61"/>
      <c r="CG296" s="117"/>
    </row>
    <row r="297" spans="2:85" x14ac:dyDescent="0.3">
      <c r="B297" s="56"/>
      <c r="D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10"/>
      <c r="BT297" s="10"/>
      <c r="BU297" s="10"/>
      <c r="BV297" s="10"/>
      <c r="BW297" s="10"/>
      <c r="BX297" s="10"/>
      <c r="BY297" s="10"/>
      <c r="BZ297" s="10"/>
      <c r="CA297" s="10"/>
      <c r="CB297" s="61"/>
      <c r="CC297" s="117"/>
      <c r="CD297" s="117"/>
      <c r="CE297" s="117"/>
      <c r="CF297" s="117"/>
    </row>
    <row r="298" spans="2:85" x14ac:dyDescent="0.3">
      <c r="B298" s="56"/>
      <c r="D298" s="56"/>
      <c r="H298" s="1"/>
      <c r="O298" s="1"/>
      <c r="W298" s="56">
        <f>SUM(W213:W243)</f>
        <v>25465</v>
      </c>
      <c r="AA298" s="59">
        <f>+AA299/W299</f>
        <v>0.16106608684193188</v>
      </c>
      <c r="BA298" s="59"/>
      <c r="BC298" s="56"/>
      <c r="BE298" s="59"/>
      <c r="BJ298" s="61"/>
      <c r="BK298" s="10">
        <f>+BK187</f>
        <v>4928581</v>
      </c>
      <c r="BL298" s="61"/>
      <c r="BM298" s="61"/>
      <c r="BN298" s="61"/>
      <c r="BO298" s="61"/>
      <c r="BP298" s="61"/>
      <c r="BQ298" s="61"/>
      <c r="BR298" s="61"/>
      <c r="BS298" s="10"/>
      <c r="BT298" s="10"/>
    </row>
    <row r="299" spans="2:85" x14ac:dyDescent="0.3">
      <c r="B299" s="56"/>
      <c r="D299" s="56"/>
      <c r="H299" s="56"/>
      <c r="W299" s="56">
        <f>SUM(W144:W174)</f>
        <v>30354</v>
      </c>
      <c r="AA299" s="1">
        <f>+W299-W298</f>
        <v>4889</v>
      </c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56"/>
      <c r="AU299" t="s">
        <v>174</v>
      </c>
      <c r="BC299" s="1"/>
      <c r="BE299" s="59"/>
      <c r="BH299" s="108"/>
      <c r="BI299" s="108"/>
      <c r="BJ299" s="108"/>
      <c r="BK299" s="536"/>
      <c r="BL299" s="108"/>
      <c r="BM299" s="108"/>
      <c r="BN299" s="108"/>
      <c r="BO299" s="108"/>
      <c r="BP299" s="108"/>
      <c r="BQ299" s="108"/>
      <c r="BR299" s="90"/>
      <c r="BS299" s="1"/>
      <c r="BT299" s="1"/>
    </row>
    <row r="300" spans="2:85" x14ac:dyDescent="0.3">
      <c r="D300" s="1"/>
      <c r="E300" s="123" t="s">
        <v>28</v>
      </c>
      <c r="F300" s="124"/>
      <c r="H300" s="124" t="s">
        <v>67</v>
      </c>
      <c r="I300" s="116"/>
      <c r="J300" s="116"/>
      <c r="K300" s="61"/>
      <c r="L300" s="10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BC300" s="56"/>
      <c r="BE300" s="59"/>
      <c r="BH300" s="108"/>
      <c r="BI300" s="108"/>
      <c r="BJ300" s="108"/>
      <c r="BK300" s="536">
        <f>+BK194-BK295</f>
        <v>-7258456</v>
      </c>
      <c r="BL300" s="108"/>
      <c r="BM300" s="108"/>
      <c r="BN300" s="108"/>
      <c r="BO300" s="108"/>
      <c r="BP300" s="108"/>
      <c r="BQ300" s="108"/>
      <c r="BR300" s="90"/>
      <c r="BS300" s="1"/>
      <c r="BT300" s="1"/>
    </row>
    <row r="301" spans="2:85" x14ac:dyDescent="0.3">
      <c r="B301" s="56"/>
      <c r="D301" s="1"/>
      <c r="E301" s="123" t="s">
        <v>40</v>
      </c>
      <c r="F301" s="124"/>
      <c r="H301" s="124" t="s">
        <v>42</v>
      </c>
      <c r="I301" s="10"/>
      <c r="J301" s="10"/>
      <c r="K301" s="61"/>
      <c r="L301" s="10"/>
      <c r="AD301" s="1"/>
      <c r="AE301" s="1"/>
      <c r="AF301" s="1"/>
      <c r="AG301" s="1"/>
      <c r="AH301" s="1"/>
      <c r="AI301" s="1">
        <f>SUM(W213:W243)</f>
        <v>25465</v>
      </c>
      <c r="AJ301" s="1"/>
      <c r="AK301" s="1"/>
      <c r="AL301" s="1" t="s">
        <v>17</v>
      </c>
      <c r="AM301" s="1"/>
      <c r="AN301" s="1"/>
      <c r="AO301" s="1"/>
      <c r="BC301" s="56"/>
      <c r="BE301" s="59"/>
      <c r="BH301" s="109"/>
      <c r="BI301" s="109"/>
      <c r="BJ301" s="109"/>
      <c r="BK301" s="536">
        <f>+BK187-BK295</f>
        <v>-8092984</v>
      </c>
      <c r="BL301" s="109"/>
      <c r="BM301" s="109"/>
      <c r="BN301" s="109"/>
      <c r="BO301" s="109"/>
      <c r="BP301" s="109"/>
      <c r="BQ301" s="109"/>
      <c r="BR301" s="90"/>
      <c r="BS301" s="1"/>
      <c r="BT301" s="1"/>
    </row>
    <row r="302" spans="2:85" x14ac:dyDescent="0.3">
      <c r="B302" s="273"/>
      <c r="D302" s="1"/>
      <c r="E302" s="123" t="s">
        <v>47</v>
      </c>
      <c r="F302" s="124"/>
      <c r="H302" s="124" t="s">
        <v>57</v>
      </c>
      <c r="I302" s="10"/>
      <c r="J302" s="10"/>
      <c r="K302" s="61"/>
      <c r="L302" s="10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BC302" s="56"/>
      <c r="BE302" s="59"/>
      <c r="BH302" s="109"/>
      <c r="BI302" s="109"/>
      <c r="BJ302" s="109"/>
      <c r="BK302" s="536"/>
      <c r="BL302" s="109"/>
      <c r="BM302" s="109"/>
      <c r="BN302" s="109"/>
      <c r="BO302" s="109"/>
      <c r="BP302" s="109"/>
      <c r="BQ302" s="109"/>
      <c r="BR302" s="90"/>
      <c r="BS302" s="1"/>
      <c r="BT302" s="1"/>
    </row>
    <row r="303" spans="2:85" x14ac:dyDescent="0.3">
      <c r="D303" s="1"/>
      <c r="E303" s="123" t="s">
        <v>68</v>
      </c>
      <c r="F303" s="61"/>
      <c r="H303" s="93" t="s">
        <v>148</v>
      </c>
      <c r="I303" s="61"/>
      <c r="J303" s="61"/>
      <c r="K303" s="61"/>
      <c r="L303" s="6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BH303" s="109"/>
      <c r="BI303" s="109"/>
      <c r="BJ303" s="109"/>
      <c r="BK303" s="539"/>
      <c r="BL303" s="109"/>
      <c r="BM303" s="109"/>
      <c r="BN303" s="109"/>
      <c r="BO303" s="109"/>
      <c r="BP303" s="109"/>
      <c r="BQ303" s="109"/>
      <c r="BR303" s="90"/>
      <c r="BS303" s="1"/>
      <c r="BT303" s="1"/>
    </row>
    <row r="304" spans="2:85" x14ac:dyDescent="0.3">
      <c r="E304" s="123" t="s">
        <v>149</v>
      </c>
      <c r="H304" s="93" t="s">
        <v>150</v>
      </c>
      <c r="AD304" s="1"/>
      <c r="AE304" s="1"/>
      <c r="AF304" s="1"/>
      <c r="AG304" s="1"/>
      <c r="AH304" s="1"/>
      <c r="AI304" s="1"/>
      <c r="BD304" s="90"/>
      <c r="BE304" s="90"/>
      <c r="BF304" s="90"/>
      <c r="BG304" s="90"/>
      <c r="BH304" s="90"/>
      <c r="BI304" s="90"/>
      <c r="BJ304" s="90"/>
      <c r="BK304" s="537"/>
      <c r="BL304" s="90"/>
      <c r="BM304" s="90"/>
      <c r="BN304" s="90"/>
      <c r="BO304" s="90"/>
      <c r="BP304" s="90"/>
      <c r="BQ304" s="90"/>
      <c r="BR304" s="90"/>
      <c r="BS304" s="1"/>
      <c r="BT304" s="1"/>
    </row>
    <row r="305" spans="2:63" x14ac:dyDescent="0.3">
      <c r="B305" s="56"/>
      <c r="AD305" s="1"/>
      <c r="AE305" s="1"/>
      <c r="AF305" s="1"/>
      <c r="AG305" s="1"/>
      <c r="AH305" s="1"/>
      <c r="AI305" s="1"/>
      <c r="BA305" s="588">
        <v>157602857</v>
      </c>
      <c r="BK305" s="538"/>
    </row>
    <row r="306" spans="2:63" ht="15" thickBot="1" x14ac:dyDescent="0.35">
      <c r="D306" s="56"/>
      <c r="AD306" s="1"/>
      <c r="AE306" s="550"/>
      <c r="AF306" s="590"/>
      <c r="AG306" s="550"/>
      <c r="AH306" s="550"/>
      <c r="AI306" s="550"/>
      <c r="AJ306" s="543"/>
      <c r="AK306" s="543"/>
      <c r="AL306" s="543"/>
      <c r="AM306" s="543"/>
      <c r="AN306" s="543"/>
      <c r="AO306" s="543"/>
      <c r="AP306" s="543"/>
      <c r="AQ306" s="543"/>
      <c r="AR306" s="543"/>
      <c r="AS306" s="543"/>
      <c r="AT306" s="543"/>
      <c r="AU306" s="543"/>
      <c r="AV306" s="543"/>
      <c r="AW306" s="543"/>
      <c r="AX306" s="543"/>
      <c r="AZ306" s="118"/>
      <c r="BA306" s="118"/>
      <c r="BB306" s="118"/>
      <c r="BC306" s="118"/>
      <c r="BK306" s="1"/>
    </row>
    <row r="307" spans="2:63" x14ac:dyDescent="0.3">
      <c r="D307" s="574"/>
      <c r="J307" s="529"/>
      <c r="V307" s="118"/>
      <c r="AA307" s="56"/>
      <c r="AD307" s="1"/>
      <c r="AE307" s="550"/>
      <c r="AF307" s="589"/>
      <c r="AG307" s="1"/>
      <c r="AH307" s="1"/>
      <c r="AI307" s="528"/>
      <c r="AJ307" s="507"/>
      <c r="AK307" s="508"/>
      <c r="AL307" s="508"/>
      <c r="AM307" s="508"/>
      <c r="AN307" s="508"/>
      <c r="AO307" s="508"/>
      <c r="AP307" s="508"/>
      <c r="AQ307" s="508"/>
      <c r="AR307" s="508"/>
      <c r="AS307" s="508"/>
      <c r="AT307" s="508"/>
      <c r="AU307" s="508"/>
      <c r="AV307" s="508"/>
      <c r="AW307" s="509"/>
      <c r="AX307" s="543"/>
      <c r="AZ307" s="118"/>
      <c r="BA307" s="89"/>
      <c r="BB307" s="118"/>
      <c r="BC307" s="118"/>
      <c r="BK307" s="56"/>
    </row>
    <row r="308" spans="2:63" x14ac:dyDescent="0.3">
      <c r="D308" s="1"/>
      <c r="J308" s="232"/>
      <c r="AD308" s="1"/>
      <c r="AE308" s="550"/>
      <c r="AF308" s="589"/>
      <c r="AG308" s="1"/>
      <c r="AH308" s="1"/>
      <c r="AI308" s="528"/>
      <c r="AJ308" s="510"/>
      <c r="AK308" s="606" t="s">
        <v>155</v>
      </c>
      <c r="AL308" s="606"/>
      <c r="AM308" s="606"/>
      <c r="AN308" s="606"/>
      <c r="AO308" s="606"/>
      <c r="AP308" s="606"/>
      <c r="AQ308" s="606"/>
      <c r="AR308" s="606"/>
      <c r="AS308" s="606"/>
      <c r="AT308" s="606"/>
      <c r="AU308" s="606"/>
      <c r="AV308" s="606"/>
      <c r="AW308" s="511"/>
      <c r="AX308" s="543"/>
      <c r="AZ308" s="118"/>
      <c r="BA308" s="118"/>
      <c r="BB308" s="118"/>
      <c r="BC308" s="118"/>
    </row>
    <row r="309" spans="2:63" ht="15.6" x14ac:dyDescent="0.3">
      <c r="D309" s="1">
        <v>331000000</v>
      </c>
      <c r="H309" s="277">
        <f>+H269/D309</f>
        <v>4.3930915407854987E-2</v>
      </c>
      <c r="J309" s="57"/>
      <c r="AD309" s="1"/>
      <c r="AE309" s="550"/>
      <c r="AF309" s="589"/>
      <c r="AG309" s="1"/>
      <c r="AH309" s="1"/>
      <c r="AI309" s="528"/>
      <c r="AJ309" s="510"/>
      <c r="AK309" s="606" t="s">
        <v>154</v>
      </c>
      <c r="AL309" s="606"/>
      <c r="AM309" s="606"/>
      <c r="AN309" s="606"/>
      <c r="AO309" s="516"/>
      <c r="AP309" s="517" t="s">
        <v>20</v>
      </c>
      <c r="AQ309" s="516"/>
      <c r="AR309" s="517" t="s">
        <v>4</v>
      </c>
      <c r="AS309" s="518"/>
      <c r="AT309" s="518"/>
      <c r="AU309" s="518"/>
      <c r="AV309" s="522" t="s">
        <v>10</v>
      </c>
      <c r="AW309" s="511"/>
      <c r="AX309" s="543"/>
      <c r="AZ309" s="118"/>
      <c r="BA309" s="118"/>
      <c r="BB309" s="118"/>
      <c r="BC309" s="118"/>
    </row>
    <row r="310" spans="2:63" ht="15.6" x14ac:dyDescent="0.3">
      <c r="H310" s="277">
        <f>+AA269/H269</f>
        <v>1.9551915246219121E-2</v>
      </c>
      <c r="AD310" s="1"/>
      <c r="AE310" s="550"/>
      <c r="AF310" s="589"/>
      <c r="AG310" s="1"/>
      <c r="AH310" s="1"/>
      <c r="AI310" s="528"/>
      <c r="AJ310" s="510"/>
      <c r="AK310" s="607" t="s">
        <v>151</v>
      </c>
      <c r="AL310" s="607"/>
      <c r="AM310" s="607"/>
      <c r="AN310" s="607"/>
      <c r="AO310" s="516"/>
      <c r="AP310" s="519">
        <f>+AH50</f>
        <v>898992</v>
      </c>
      <c r="AQ310" s="520"/>
      <c r="AR310" s="519">
        <f>+AH51</f>
        <v>55687</v>
      </c>
      <c r="AS310" s="521"/>
      <c r="AT310" s="521"/>
      <c r="AU310" s="521"/>
      <c r="AV310" s="534">
        <f t="shared" ref="AV310:AV316" si="1542">+AR310/AP310</f>
        <v>6.194382152455194E-2</v>
      </c>
      <c r="AW310" s="511"/>
      <c r="AX310" s="543"/>
      <c r="AZ310" s="118"/>
      <c r="BA310" s="89"/>
      <c r="BB310" s="118"/>
      <c r="BC310" s="118"/>
    </row>
    <row r="311" spans="2:63" ht="15.6" x14ac:dyDescent="0.3">
      <c r="D311" s="277"/>
      <c r="AD311" s="1"/>
      <c r="AE311" s="550"/>
      <c r="AF311" s="589"/>
      <c r="AG311" s="1"/>
      <c r="AH311" s="1"/>
      <c r="AI311" s="528"/>
      <c r="AJ311" s="510"/>
      <c r="AK311" s="609" t="s">
        <v>152</v>
      </c>
      <c r="AL311" s="610"/>
      <c r="AM311" s="610"/>
      <c r="AN311" s="610"/>
      <c r="AO311" s="65"/>
      <c r="AP311" s="512">
        <f>+AG83</f>
        <v>742147</v>
      </c>
      <c r="AQ311" s="65"/>
      <c r="AR311" s="512">
        <f>+AG84</f>
        <v>42339</v>
      </c>
      <c r="AS311" s="65"/>
      <c r="AT311" s="65"/>
      <c r="AU311" s="65"/>
      <c r="AV311" s="532">
        <f t="shared" si="1542"/>
        <v>5.7049344671608188E-2</v>
      </c>
      <c r="AW311" s="511"/>
      <c r="AX311" s="543"/>
      <c r="AZ311" s="118"/>
      <c r="BA311" s="89"/>
      <c r="BB311" s="118"/>
      <c r="BC311" s="118"/>
    </row>
    <row r="312" spans="2:63" ht="15.6" x14ac:dyDescent="0.3">
      <c r="AD312" s="1"/>
      <c r="AE312" s="550"/>
      <c r="AF312" s="589"/>
      <c r="AG312" s="1"/>
      <c r="AH312" s="1"/>
      <c r="AI312" s="528"/>
      <c r="AJ312" s="510"/>
      <c r="AK312" s="610" t="s">
        <v>153</v>
      </c>
      <c r="AL312" s="610"/>
      <c r="AM312" s="610"/>
      <c r="AN312" s="610"/>
      <c r="AO312" s="65"/>
      <c r="AP312" s="512">
        <f>+AH113</f>
        <v>869627</v>
      </c>
      <c r="AQ312" s="65"/>
      <c r="AR312" s="512">
        <f>+AH114</f>
        <v>21252</v>
      </c>
      <c r="AS312" s="65"/>
      <c r="AT312" s="65"/>
      <c r="AU312" s="65"/>
      <c r="AV312" s="532">
        <f t="shared" si="1542"/>
        <v>2.4438063675575852E-2</v>
      </c>
      <c r="AW312" s="511"/>
      <c r="AX312" s="543"/>
      <c r="AZ312" s="118"/>
      <c r="BA312" s="118"/>
      <c r="BB312" s="118"/>
      <c r="BC312" s="118"/>
    </row>
    <row r="313" spans="2:63" ht="15.6" x14ac:dyDescent="0.3">
      <c r="D313" s="471"/>
      <c r="AD313" s="1"/>
      <c r="AE313" s="550"/>
      <c r="AF313" s="589"/>
      <c r="AG313" s="1"/>
      <c r="AH313" s="1"/>
      <c r="AI313" s="528"/>
      <c r="AJ313" s="510"/>
      <c r="AK313" s="610" t="s">
        <v>156</v>
      </c>
      <c r="AL313" s="610"/>
      <c r="AM313" s="610"/>
      <c r="AN313" s="610"/>
      <c r="AO313" s="65"/>
      <c r="AP313" s="512">
        <f>+AG319</f>
        <v>1970617</v>
      </c>
      <c r="AQ313" s="65"/>
      <c r="AR313" s="512">
        <f>+AG321</f>
        <v>25901</v>
      </c>
      <c r="AS313" s="65"/>
      <c r="AT313" s="65"/>
      <c r="AU313" s="65"/>
      <c r="AV313" s="532">
        <f t="shared" si="1542"/>
        <v>1.3143599187462607E-2</v>
      </c>
      <c r="AW313" s="511"/>
      <c r="AX313" s="543"/>
    </row>
    <row r="314" spans="2:63" ht="15.6" x14ac:dyDescent="0.3">
      <c r="D314" s="471"/>
      <c r="AD314" s="1"/>
      <c r="AE314" s="550"/>
      <c r="AF314" s="589"/>
      <c r="AG314" s="1"/>
      <c r="AH314" s="1"/>
      <c r="AI314" s="528"/>
      <c r="AJ314" s="510"/>
      <c r="AK314" s="586"/>
      <c r="AL314" s="586" t="s">
        <v>164</v>
      </c>
      <c r="AM314" s="586"/>
      <c r="AN314" s="586"/>
      <c r="AO314" s="65"/>
      <c r="AP314" s="512">
        <f>SUM(D144:D174)</f>
        <v>1493931</v>
      </c>
      <c r="AQ314" s="65"/>
      <c r="AR314" s="512">
        <f>SUM(W144:W174)</f>
        <v>30354</v>
      </c>
      <c r="AS314" s="65"/>
      <c r="AT314" s="65"/>
      <c r="AU314" s="65"/>
      <c r="AV314" s="532">
        <f t="shared" si="1542"/>
        <v>2.0318207467413155E-2</v>
      </c>
      <c r="AW314" s="511"/>
      <c r="AX314" s="543"/>
    </row>
    <row r="315" spans="2:63" ht="15.6" x14ac:dyDescent="0.3">
      <c r="D315" s="471"/>
      <c r="AD315" s="1"/>
      <c r="AE315" s="550"/>
      <c r="AF315" s="589"/>
      <c r="AG315" s="1"/>
      <c r="AH315" s="1"/>
      <c r="AI315" s="528"/>
      <c r="AJ315" s="510"/>
      <c r="AK315" s="586"/>
      <c r="AL315" s="586" t="s">
        <v>165</v>
      </c>
      <c r="AM315" s="586"/>
      <c r="AN315" s="586"/>
      <c r="AO315" s="65"/>
      <c r="AP315" s="512">
        <f>SUM(D175:D204)</f>
        <v>1202331</v>
      </c>
      <c r="AQ315" s="65"/>
      <c r="AR315" s="587">
        <f>SUM(W175:W204)</f>
        <v>24042</v>
      </c>
      <c r="AS315" s="65"/>
      <c r="AT315" s="65"/>
      <c r="AU315" s="65"/>
      <c r="AV315" s="532">
        <f t="shared" si="1542"/>
        <v>1.9996157464125936E-2</v>
      </c>
      <c r="AW315" s="511"/>
      <c r="AX315" s="543"/>
    </row>
    <row r="316" spans="2:63" ht="15.6" x14ac:dyDescent="0.3">
      <c r="D316" s="471"/>
      <c r="AD316" s="1"/>
      <c r="AE316" s="550"/>
      <c r="AF316" s="589"/>
      <c r="AG316" s="1"/>
      <c r="AH316" s="1"/>
      <c r="AI316" s="528"/>
      <c r="AJ316" s="510"/>
      <c r="AK316" s="586"/>
      <c r="AL316" s="586" t="s">
        <v>166</v>
      </c>
      <c r="AM316" s="586"/>
      <c r="AN316" s="586"/>
      <c r="AO316" s="65"/>
      <c r="AP316" s="512">
        <f>SUM(D205:D230)</f>
        <v>1470960</v>
      </c>
      <c r="AQ316" s="65"/>
      <c r="AR316" s="512">
        <f>SUM(W205:W235)</f>
        <v>24156</v>
      </c>
      <c r="AS316" s="65"/>
      <c r="AT316" s="65"/>
      <c r="AU316" s="65"/>
      <c r="AV316" s="532">
        <f t="shared" si="1542"/>
        <v>1.6421928536465982E-2</v>
      </c>
      <c r="AW316" s="511"/>
      <c r="AX316" s="543"/>
      <c r="BA316" s="529">
        <f>+AV310-AV316</f>
        <v>4.5521892988085955E-2</v>
      </c>
    </row>
    <row r="317" spans="2:63" ht="15" thickBot="1" x14ac:dyDescent="0.35">
      <c r="B317" s="470"/>
      <c r="D317" s="277"/>
      <c r="AD317" s="1"/>
      <c r="AE317" s="550"/>
      <c r="AF317" s="589"/>
      <c r="AG317" s="1"/>
      <c r="AH317" s="1"/>
      <c r="AI317" s="528"/>
      <c r="AJ317" s="510"/>
      <c r="AK317" s="523"/>
      <c r="AL317" s="523"/>
      <c r="AM317" s="523"/>
      <c r="AN317" s="523"/>
      <c r="AO317" s="524"/>
      <c r="AP317" s="525"/>
      <c r="AQ317" s="524"/>
      <c r="AR317" s="525"/>
      <c r="AS317" s="524"/>
      <c r="AT317" s="524"/>
      <c r="AU317" s="524"/>
      <c r="AV317" s="526"/>
      <c r="AW317" s="511"/>
      <c r="AX317" s="543"/>
      <c r="BA317">
        <f>+BA316/AV310</f>
        <v>0.73488996751747038</v>
      </c>
    </row>
    <row r="318" spans="2:63" ht="15.6" x14ac:dyDescent="0.3">
      <c r="B318" s="470"/>
      <c r="D318" s="277"/>
      <c r="AD318" s="1"/>
      <c r="AE318" s="550"/>
      <c r="AF318" s="589"/>
      <c r="AG318" s="1"/>
      <c r="AH318" s="1"/>
      <c r="AI318" s="528"/>
      <c r="AJ318" s="510"/>
      <c r="AK318" s="607" t="s">
        <v>151</v>
      </c>
      <c r="AL318" s="607"/>
      <c r="AM318" s="607"/>
      <c r="AN318" s="607"/>
      <c r="AO318" s="65"/>
      <c r="AP318" s="512"/>
      <c r="AQ318" s="65"/>
      <c r="AR318" s="512">
        <f>+AR310</f>
        <v>55687</v>
      </c>
      <c r="AS318" s="65"/>
      <c r="AT318" s="65"/>
      <c r="AU318" s="65"/>
      <c r="AV318" s="156"/>
      <c r="AW318" s="511"/>
      <c r="AX318" s="543"/>
    </row>
    <row r="319" spans="2:63" ht="15.6" x14ac:dyDescent="0.3">
      <c r="B319" s="470"/>
      <c r="D319" s="277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10"/>
      <c r="AE319" s="550"/>
      <c r="AF319" s="589"/>
      <c r="AG319" s="33">
        <f>SUM(D113:D143)</f>
        <v>1970617</v>
      </c>
      <c r="AH319" s="1"/>
      <c r="AI319" s="528"/>
      <c r="AJ319" s="510"/>
      <c r="AK319" s="605" t="s">
        <v>166</v>
      </c>
      <c r="AL319" s="605"/>
      <c r="AM319" s="605"/>
      <c r="AN319" s="605"/>
      <c r="AO319" s="65"/>
      <c r="AP319" s="512"/>
      <c r="AQ319" s="65"/>
      <c r="AR319" s="512">
        <f>+AR316</f>
        <v>24156</v>
      </c>
      <c r="AS319" s="65"/>
      <c r="AT319" s="65"/>
      <c r="AU319" s="65"/>
      <c r="AV319" s="156"/>
      <c r="AW319" s="511"/>
      <c r="AX319" s="543"/>
    </row>
    <row r="320" spans="2:63" ht="15.6" x14ac:dyDescent="0.3">
      <c r="B320" s="470"/>
      <c r="D320" s="277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10"/>
      <c r="AE320" s="550"/>
      <c r="AF320" s="589"/>
      <c r="AG320" s="33">
        <f>SUM(W125:W138)</f>
        <v>12117</v>
      </c>
      <c r="AH320" s="1"/>
      <c r="AI320" s="528"/>
      <c r="AJ320" s="510"/>
      <c r="AK320" s="64"/>
      <c r="AL320" s="540" t="s">
        <v>3</v>
      </c>
      <c r="AM320" s="64"/>
      <c r="AN320" s="64"/>
      <c r="AO320" s="65"/>
      <c r="AP320" s="512"/>
      <c r="AQ320" s="65"/>
      <c r="AR320" s="512">
        <f>+AR318-AR319</f>
        <v>31531</v>
      </c>
      <c r="AS320" s="65"/>
      <c r="AT320" s="65"/>
      <c r="AU320" s="65"/>
      <c r="AV320" s="527">
        <f>+AR320/AR318</f>
        <v>0.5662183274372834</v>
      </c>
      <c r="AW320" s="511"/>
      <c r="AX320" s="543"/>
    </row>
    <row r="321" spans="4:87" ht="15" thickBot="1" x14ac:dyDescent="0.35">
      <c r="D321" s="470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10"/>
      <c r="AE321" s="550"/>
      <c r="AF321" s="591"/>
      <c r="AG321" s="33">
        <f>SUM(W113:W143)</f>
        <v>25901</v>
      </c>
      <c r="AH321" s="1"/>
      <c r="AI321" s="528"/>
      <c r="AJ321" s="513"/>
      <c r="AK321" s="514"/>
      <c r="AL321" s="514"/>
      <c r="AM321" s="514"/>
      <c r="AN321" s="514"/>
      <c r="AO321" s="514"/>
      <c r="AP321" s="514"/>
      <c r="AQ321" s="514"/>
      <c r="AR321" s="514"/>
      <c r="AS321" s="514"/>
      <c r="AT321" s="514"/>
      <c r="AU321" s="514"/>
      <c r="AV321" s="514"/>
      <c r="AW321" s="515"/>
      <c r="AX321" s="543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1"/>
      <c r="BT321" s="1"/>
      <c r="BU321" s="1"/>
      <c r="BV321" s="1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</row>
    <row r="322" spans="4:87" x14ac:dyDescent="0.3"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10"/>
      <c r="AE322" s="550"/>
      <c r="AF322" s="550"/>
      <c r="AG322" s="550"/>
      <c r="AH322" s="550"/>
      <c r="AI322" s="550"/>
      <c r="AJ322" s="543"/>
      <c r="AK322" s="543"/>
      <c r="AL322" s="543"/>
      <c r="AM322" s="543"/>
      <c r="AN322" s="543"/>
      <c r="AO322" s="543"/>
      <c r="AP322" s="543"/>
      <c r="AQ322" s="543"/>
      <c r="AR322" s="543"/>
      <c r="AS322" s="543"/>
      <c r="AT322" s="543"/>
      <c r="AU322" s="543"/>
      <c r="AV322" s="543"/>
      <c r="AW322" s="543"/>
      <c r="AX322" s="543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89"/>
      <c r="BX322" s="89"/>
      <c r="BY322" s="89"/>
      <c r="BZ322" s="89"/>
      <c r="CA322" s="121"/>
      <c r="CB322" s="1"/>
      <c r="CC322" s="1"/>
      <c r="CD322" s="1"/>
      <c r="CE322" s="1"/>
      <c r="CF322" s="1"/>
      <c r="CG322" s="1"/>
      <c r="CH322" s="1"/>
      <c r="CI322" s="1"/>
    </row>
    <row r="323" spans="4:87" x14ac:dyDescent="0.3">
      <c r="D323">
        <v>10</v>
      </c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10"/>
      <c r="AE323" s="10"/>
      <c r="AF323" s="10"/>
      <c r="AG323" s="10"/>
      <c r="AH323" s="10"/>
      <c r="AI323" s="10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89"/>
      <c r="BX323" s="89"/>
      <c r="BY323" s="89"/>
      <c r="BZ323" s="89"/>
      <c r="CA323" s="89"/>
      <c r="CB323" s="1"/>
      <c r="CC323" s="1"/>
      <c r="CD323" s="1"/>
      <c r="CE323" s="1"/>
      <c r="CF323" s="1"/>
      <c r="CG323" s="1"/>
      <c r="CH323" s="1"/>
      <c r="CI323" s="1"/>
    </row>
    <row r="324" spans="4:87" x14ac:dyDescent="0.3">
      <c r="D324" s="1">
        <v>77000000</v>
      </c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10"/>
      <c r="AE324" s="10"/>
      <c r="AF324" s="10"/>
      <c r="AG324" s="10"/>
      <c r="AH324" s="10"/>
      <c r="AI324" s="10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89"/>
      <c r="BX324" s="89"/>
      <c r="BY324" s="89"/>
      <c r="BZ324" s="89"/>
      <c r="CA324" s="89"/>
      <c r="CB324" s="1"/>
      <c r="CC324" s="1"/>
      <c r="CD324" s="1"/>
      <c r="CE324" s="1"/>
      <c r="CF324" s="1"/>
      <c r="CG324" s="1"/>
    </row>
    <row r="325" spans="4:87" x14ac:dyDescent="0.3">
      <c r="D325" s="57">
        <f>+D324/D327</f>
        <v>0.23262839879154079</v>
      </c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10"/>
      <c r="AE325" s="10"/>
      <c r="AF325" s="10"/>
      <c r="AG325" s="544"/>
      <c r="AH325" s="10"/>
      <c r="AI325" s="10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89"/>
      <c r="BX325" s="89"/>
      <c r="BY325" s="89"/>
      <c r="BZ325" s="89"/>
      <c r="CA325" s="89"/>
      <c r="CB325" s="1"/>
      <c r="CC325" s="1"/>
      <c r="CD325" s="1"/>
      <c r="CE325" s="1"/>
      <c r="CF325" s="1"/>
      <c r="CG325" s="1"/>
    </row>
    <row r="326" spans="4:87" x14ac:dyDescent="0.3"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10"/>
      <c r="AE326" s="10"/>
      <c r="AF326" s="550"/>
      <c r="AG326" s="569"/>
      <c r="AH326" s="550"/>
      <c r="AI326" s="550"/>
      <c r="AJ326" s="543"/>
      <c r="AK326" s="543"/>
      <c r="AL326" s="543"/>
      <c r="AM326" s="543"/>
      <c r="AN326" s="543"/>
      <c r="AO326" s="543"/>
      <c r="AP326" s="543"/>
      <c r="AQ326" s="543"/>
      <c r="AR326" s="543"/>
      <c r="AS326" s="543"/>
      <c r="AT326" s="543"/>
      <c r="AU326" s="543"/>
      <c r="AV326" s="543"/>
      <c r="AW326" s="543"/>
      <c r="AX326" s="543"/>
      <c r="AY326" s="543"/>
      <c r="AZ326" s="543"/>
      <c r="BA326" s="543"/>
      <c r="BB326" s="543"/>
      <c r="BC326" s="543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89"/>
      <c r="BX326" s="89"/>
      <c r="BY326" s="122"/>
      <c r="BZ326" s="89"/>
      <c r="CA326" s="89"/>
    </row>
    <row r="327" spans="4:87" x14ac:dyDescent="0.3">
      <c r="D327" s="1">
        <v>331000000</v>
      </c>
      <c r="H327">
        <v>0.13400000000000001</v>
      </c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10"/>
      <c r="AE327" s="10"/>
      <c r="AF327" s="550"/>
      <c r="AG327" s="570"/>
      <c r="AH327" s="550"/>
      <c r="AI327" s="550"/>
      <c r="AJ327" s="567"/>
      <c r="AK327" s="567"/>
      <c r="AL327" s="568"/>
      <c r="AM327" s="568"/>
      <c r="AN327" s="568"/>
      <c r="AO327" s="568"/>
      <c r="AP327" s="568"/>
      <c r="AQ327" s="568"/>
      <c r="AR327" s="568"/>
      <c r="AS327" s="568"/>
      <c r="AT327" s="568"/>
      <c r="AU327" s="568"/>
      <c r="AV327" s="568"/>
      <c r="AW327" s="568"/>
      <c r="AX327" s="568"/>
      <c r="AY327" s="568"/>
      <c r="AZ327" s="568"/>
      <c r="BA327" s="568"/>
      <c r="BB327" s="567"/>
      <c r="BC327" s="567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89"/>
      <c r="BX327" s="89"/>
      <c r="BY327" s="89"/>
      <c r="BZ327" s="89"/>
      <c r="CA327" s="89"/>
    </row>
    <row r="328" spans="4:87" x14ac:dyDescent="0.3">
      <c r="D328" s="1">
        <f>+D327*H327</f>
        <v>44354000</v>
      </c>
      <c r="H328" s="1">
        <f>+D328*0.001</f>
        <v>44354</v>
      </c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10"/>
      <c r="AE328" s="10"/>
      <c r="AF328" s="550"/>
      <c r="AG328" s="569"/>
      <c r="AH328" s="550"/>
      <c r="AI328" s="550"/>
      <c r="AJ328" s="567"/>
      <c r="AK328" s="567"/>
      <c r="AL328" s="150"/>
      <c r="AM328" s="150"/>
      <c r="AN328" s="150"/>
      <c r="AO328" s="150"/>
      <c r="AP328" s="150"/>
      <c r="AQ328" s="150"/>
      <c r="AR328" s="150"/>
      <c r="AS328" s="90"/>
      <c r="AT328" s="90"/>
      <c r="AU328" s="90"/>
      <c r="AV328" s="110"/>
      <c r="AW328" s="110"/>
      <c r="AX328" s="110"/>
      <c r="AY328" s="110"/>
      <c r="AZ328" s="567"/>
      <c r="BA328" s="567"/>
      <c r="BB328" s="573"/>
      <c r="BC328" s="567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89"/>
      <c r="BX328" s="89"/>
      <c r="BY328" s="89"/>
      <c r="BZ328" s="89"/>
      <c r="CA328" s="89"/>
    </row>
    <row r="329" spans="4:87" x14ac:dyDescent="0.3">
      <c r="D329" s="468">
        <v>7.1999999999999995E-2</v>
      </c>
      <c r="H329" s="1">
        <f>+AA204*H327</f>
        <v>28384.416000000001</v>
      </c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10"/>
      <c r="AE329" s="10"/>
      <c r="AF329" s="550"/>
      <c r="AG329" s="569">
        <v>44031</v>
      </c>
      <c r="AH329" s="550"/>
      <c r="AI329" s="550"/>
      <c r="AJ329" s="567"/>
      <c r="AK329" s="567"/>
      <c r="AL329" s="150"/>
      <c r="AM329" s="150"/>
      <c r="AN329" s="150"/>
      <c r="AO329" s="150"/>
      <c r="AP329" s="150"/>
      <c r="AQ329" s="150"/>
      <c r="AR329" s="150"/>
      <c r="AS329" s="150"/>
      <c r="AT329" s="110"/>
      <c r="AU329" s="90"/>
      <c r="AV329" s="110"/>
      <c r="AW329" s="110"/>
      <c r="AX329" s="110"/>
      <c r="AY329" s="110"/>
      <c r="AZ329" s="567"/>
      <c r="BA329" s="567"/>
      <c r="BB329" s="573"/>
      <c r="BC329" s="567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89"/>
      <c r="BX329" s="89"/>
      <c r="BY329" s="89"/>
      <c r="BZ329" s="89"/>
      <c r="CA329" s="89"/>
    </row>
    <row r="330" spans="4:87" x14ac:dyDescent="0.3"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10"/>
      <c r="AE330" s="10"/>
      <c r="AF330" s="550"/>
      <c r="AG330" s="569">
        <v>44038</v>
      </c>
      <c r="AH330" s="550"/>
      <c r="AI330" s="550"/>
      <c r="AJ330" s="567"/>
      <c r="AK330" s="567"/>
      <c r="AL330" s="90"/>
      <c r="AM330" s="90"/>
      <c r="AN330" s="151"/>
      <c r="AO330" s="151"/>
      <c r="AP330" s="151"/>
      <c r="AQ330" s="151"/>
      <c r="AR330" s="151"/>
      <c r="AS330" s="90"/>
      <c r="AT330" s="90"/>
      <c r="AU330" s="90"/>
      <c r="AV330" s="110"/>
      <c r="AW330" s="110"/>
      <c r="AX330" s="110"/>
      <c r="AY330" s="110"/>
      <c r="AZ330" s="567"/>
      <c r="BA330" s="567"/>
      <c r="BB330" s="573"/>
      <c r="BC330" s="567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89"/>
      <c r="BX330" s="89"/>
      <c r="BY330" s="89"/>
      <c r="BZ330" s="89"/>
      <c r="CA330" s="89"/>
    </row>
    <row r="331" spans="4:87" x14ac:dyDescent="0.3">
      <c r="D331" s="277">
        <v>4.2000000000000003E-2</v>
      </c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10"/>
      <c r="AE331" s="10"/>
      <c r="AF331" s="550"/>
      <c r="AG331" s="569">
        <v>44045</v>
      </c>
      <c r="AH331" s="550"/>
      <c r="AI331" s="550"/>
      <c r="AJ331" s="567"/>
      <c r="AK331" s="567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10"/>
      <c r="AW331" s="110"/>
      <c r="AX331" s="110"/>
      <c r="AY331" s="110"/>
      <c r="AZ331" s="567"/>
      <c r="BA331" s="567"/>
      <c r="BB331" s="573"/>
      <c r="BC331" s="567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4:87" x14ac:dyDescent="0.3">
      <c r="D332" s="574">
        <f>+D327*D329*D331</f>
        <v>1000944.0000000001</v>
      </c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10"/>
      <c r="AE332" s="10"/>
      <c r="AF332" s="550"/>
      <c r="AG332" s="569">
        <v>44052</v>
      </c>
      <c r="AH332" s="550"/>
      <c r="AI332" s="550"/>
      <c r="AJ332" s="567"/>
      <c r="AK332" s="567"/>
      <c r="AL332" s="90"/>
      <c r="AM332" s="90"/>
      <c r="AN332" s="151"/>
      <c r="AO332" s="151"/>
      <c r="AP332" s="151"/>
      <c r="AQ332" s="151"/>
      <c r="AR332" s="151"/>
      <c r="AS332" s="151"/>
      <c r="AT332" s="151"/>
      <c r="AU332" s="90"/>
      <c r="AV332" s="110"/>
      <c r="AW332" s="110"/>
      <c r="AX332" s="110"/>
      <c r="AY332" s="110"/>
      <c r="AZ332" s="567"/>
      <c r="BA332" s="567"/>
      <c r="BB332" s="573"/>
      <c r="BC332" s="567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4:87" x14ac:dyDescent="0.3"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10"/>
      <c r="AE333" s="10"/>
      <c r="AF333" s="550"/>
      <c r="AG333" s="569"/>
      <c r="AH333" s="550"/>
      <c r="AI333" s="550"/>
      <c r="AJ333" s="567"/>
      <c r="AK333" s="567"/>
      <c r="AL333" s="90"/>
      <c r="AM333" s="90"/>
      <c r="AN333" s="151"/>
      <c r="AO333" s="151"/>
      <c r="AP333" s="151"/>
      <c r="AQ333" s="151"/>
      <c r="AR333" s="151"/>
      <c r="AS333" s="151"/>
      <c r="AT333" s="151"/>
      <c r="AU333" s="90"/>
      <c r="AV333" s="110"/>
      <c r="AW333" s="110"/>
      <c r="AX333" s="110"/>
      <c r="AY333" s="110"/>
      <c r="AZ333" s="567"/>
      <c r="BA333" s="567"/>
      <c r="BB333" s="573"/>
      <c r="BC333" s="567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4:87" x14ac:dyDescent="0.3"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10"/>
      <c r="AE334" s="10"/>
      <c r="AF334" s="550"/>
      <c r="AG334" s="569"/>
      <c r="AH334" s="550"/>
      <c r="AI334" s="550"/>
      <c r="AJ334" s="567"/>
      <c r="AK334" s="567"/>
      <c r="AL334" s="90"/>
      <c r="AM334" s="90"/>
      <c r="AN334" s="151"/>
      <c r="AO334" s="151"/>
      <c r="AP334" s="151"/>
      <c r="AQ334" s="151"/>
      <c r="AR334" s="151"/>
      <c r="AS334" s="151"/>
      <c r="AT334" s="151"/>
      <c r="AU334" s="90"/>
      <c r="AV334" s="110"/>
      <c r="AW334" s="110"/>
      <c r="AX334" s="110"/>
      <c r="AY334" s="110"/>
      <c r="AZ334" s="567"/>
      <c r="BA334" s="567"/>
      <c r="BB334" s="573"/>
      <c r="BC334" s="567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4:87" x14ac:dyDescent="0.3"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10"/>
      <c r="AE335" s="10"/>
      <c r="AF335" s="550"/>
      <c r="AG335" s="571"/>
      <c r="AH335" s="550"/>
      <c r="AI335" s="550"/>
      <c r="AJ335" s="567"/>
      <c r="AK335" s="567"/>
      <c r="AL335" s="90"/>
      <c r="AM335" s="90"/>
      <c r="AN335" s="151"/>
      <c r="AO335" s="151"/>
      <c r="AP335" s="151"/>
      <c r="AQ335" s="151"/>
      <c r="AR335" s="151"/>
      <c r="AS335" s="151"/>
      <c r="AT335" s="151"/>
      <c r="AU335" s="90"/>
      <c r="AV335" s="110"/>
      <c r="AW335" s="110"/>
      <c r="AX335" s="110"/>
      <c r="AY335" s="110"/>
      <c r="AZ335" s="567"/>
      <c r="BA335" s="567"/>
      <c r="BB335" s="573"/>
      <c r="BC335" s="567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4:87" x14ac:dyDescent="0.3"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10"/>
      <c r="AE336" s="10"/>
      <c r="AF336" s="550"/>
      <c r="AG336" s="550"/>
      <c r="AH336" s="550"/>
      <c r="AI336" s="550"/>
      <c r="AJ336" s="567"/>
      <c r="AK336" s="567"/>
      <c r="AL336" s="90"/>
      <c r="AM336" s="90"/>
      <c r="AN336" s="151"/>
      <c r="AO336" s="151"/>
      <c r="AP336" s="151"/>
      <c r="AQ336" s="151"/>
      <c r="AR336" s="151"/>
      <c r="AS336" s="151"/>
      <c r="AT336" s="151"/>
      <c r="AU336" s="90"/>
      <c r="AV336" s="110"/>
      <c r="AW336" s="110"/>
      <c r="AX336" s="110"/>
      <c r="AY336" s="110"/>
      <c r="AZ336" s="567"/>
      <c r="BA336" s="567"/>
      <c r="BB336" s="573"/>
      <c r="BC336" s="567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2:79" x14ac:dyDescent="0.3"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10"/>
      <c r="AE337" s="10"/>
      <c r="AF337" s="550"/>
      <c r="AG337" s="550"/>
      <c r="AH337" s="550"/>
      <c r="AI337" s="550"/>
      <c r="AJ337" s="567"/>
      <c r="AK337" s="567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90"/>
      <c r="AW337" s="90"/>
      <c r="AX337" s="90"/>
      <c r="AY337" s="90"/>
      <c r="AZ337" s="567"/>
      <c r="BA337" s="573"/>
      <c r="BB337" s="573"/>
      <c r="BC337" s="567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2:79" x14ac:dyDescent="0.3">
      <c r="AD338" s="10"/>
      <c r="AE338" s="10"/>
      <c r="AF338" s="550"/>
      <c r="AG338" s="550"/>
      <c r="AH338" s="550"/>
      <c r="AI338" s="550"/>
      <c r="AJ338" s="567"/>
      <c r="AK338" s="567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90"/>
      <c r="AW338" s="90"/>
      <c r="AX338" s="90"/>
      <c r="AY338" s="90"/>
      <c r="AZ338" s="567"/>
      <c r="BA338" s="573"/>
      <c r="BB338" s="573"/>
      <c r="BC338" s="567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2:79" ht="15" thickBot="1" x14ac:dyDescent="0.35">
      <c r="B339" s="543"/>
      <c r="C339" s="543"/>
      <c r="D339" s="543"/>
      <c r="E339" s="543"/>
      <c r="F339" s="543"/>
      <c r="G339" s="543"/>
      <c r="H339" s="543"/>
      <c r="I339" s="543"/>
      <c r="J339" s="543"/>
      <c r="K339" s="543"/>
      <c r="L339" s="543"/>
      <c r="M339" s="543"/>
      <c r="N339" s="543"/>
      <c r="O339" s="543"/>
      <c r="P339" s="543"/>
      <c r="Q339" s="543"/>
      <c r="R339" s="543"/>
      <c r="S339" s="543"/>
      <c r="T339" s="543"/>
      <c r="U339" s="543"/>
      <c r="V339" s="543"/>
      <c r="AD339" s="10"/>
      <c r="AE339" s="10"/>
      <c r="AF339" s="550"/>
      <c r="AG339" s="550"/>
      <c r="AH339" s="550"/>
      <c r="AI339" s="550"/>
      <c r="AJ339" s="567"/>
      <c r="AK339" s="567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90"/>
      <c r="AW339" s="90"/>
      <c r="AX339" s="90"/>
      <c r="AY339" s="90"/>
      <c r="AZ339" s="567"/>
      <c r="BA339" s="573"/>
      <c r="BB339" s="573"/>
      <c r="BC339" s="567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2:79" x14ac:dyDescent="0.3">
      <c r="B340" s="543"/>
      <c r="C340" s="553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554"/>
      <c r="V340" s="543"/>
      <c r="AD340" s="10"/>
      <c r="AE340" s="10"/>
      <c r="AF340" s="550"/>
      <c r="AG340" s="550"/>
      <c r="AH340" s="550"/>
      <c r="AI340" s="550"/>
      <c r="AJ340" s="567"/>
      <c r="AK340" s="567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90"/>
      <c r="AW340" s="90"/>
      <c r="AX340" s="90"/>
      <c r="AY340" s="90"/>
      <c r="AZ340" s="567"/>
      <c r="BA340" s="573"/>
      <c r="BB340" s="573"/>
      <c r="BC340" s="567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2:79" x14ac:dyDescent="0.3">
      <c r="B341" s="543"/>
      <c r="C341" s="555"/>
      <c r="D341" s="545" t="s">
        <v>162</v>
      </c>
      <c r="E341" s="430"/>
      <c r="F341" s="430"/>
      <c r="G341" s="430"/>
      <c r="H341" s="630" t="s">
        <v>20</v>
      </c>
      <c r="I341" s="630"/>
      <c r="J341" s="630"/>
      <c r="K341" s="430"/>
      <c r="L341" s="430"/>
      <c r="M341" s="430"/>
      <c r="N341" s="430"/>
      <c r="O341" s="430"/>
      <c r="P341" s="556"/>
      <c r="V341" s="543"/>
      <c r="AD341" s="10"/>
      <c r="AE341" s="10"/>
      <c r="AF341" s="550"/>
      <c r="AG341" s="550"/>
      <c r="AH341" s="550"/>
      <c r="AI341" s="550"/>
      <c r="AJ341" s="567"/>
      <c r="AK341" s="567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90"/>
      <c r="AW341" s="90"/>
      <c r="AX341" s="90"/>
      <c r="AY341" s="90"/>
      <c r="AZ341" s="567"/>
      <c r="BA341" s="573"/>
      <c r="BB341" s="573"/>
      <c r="BC341" s="567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2:79" x14ac:dyDescent="0.3">
      <c r="B342" s="543"/>
      <c r="C342" s="555"/>
      <c r="D342" s="557" t="s">
        <v>163</v>
      </c>
      <c r="E342" s="430"/>
      <c r="F342" s="430"/>
      <c r="G342" s="430"/>
      <c r="H342" s="558" t="s">
        <v>160</v>
      </c>
      <c r="I342" s="545"/>
      <c r="J342" s="559" t="s">
        <v>161</v>
      </c>
      <c r="K342" s="545"/>
      <c r="L342" s="545"/>
      <c r="M342" s="545"/>
      <c r="N342" s="545"/>
      <c r="O342" s="560" t="s">
        <v>3</v>
      </c>
      <c r="P342" s="556"/>
      <c r="V342" s="543"/>
      <c r="AD342" s="10"/>
      <c r="AE342" s="10"/>
      <c r="AF342" s="550"/>
      <c r="AG342" s="550"/>
      <c r="AH342" s="550"/>
      <c r="AI342" s="550"/>
      <c r="AJ342" s="567"/>
      <c r="AK342" s="567"/>
      <c r="AL342" s="572"/>
      <c r="AM342" s="572"/>
      <c r="AN342" s="572"/>
      <c r="AO342" s="572"/>
      <c r="AP342" s="572"/>
      <c r="AQ342" s="572"/>
      <c r="AR342" s="572"/>
      <c r="AS342" s="572"/>
      <c r="AT342" s="572"/>
      <c r="AU342" s="572"/>
      <c r="AV342" s="567"/>
      <c r="AW342" s="567"/>
      <c r="AX342" s="567"/>
      <c r="AY342" s="567"/>
      <c r="AZ342" s="567"/>
      <c r="BA342" s="573"/>
      <c r="BB342" s="573"/>
      <c r="BC342" s="567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2:79" x14ac:dyDescent="0.3">
      <c r="B343" s="543"/>
      <c r="C343" s="555"/>
      <c r="D343" s="546" t="s">
        <v>159</v>
      </c>
      <c r="E343" s="15"/>
      <c r="F343" s="15"/>
      <c r="G343" s="15"/>
      <c r="H343" s="561">
        <f>SUM(D133:D139)</f>
        <v>471981</v>
      </c>
      <c r="I343" s="15"/>
      <c r="J343" s="16">
        <f>+H343/7</f>
        <v>67425.857142857145</v>
      </c>
      <c r="K343" s="15"/>
      <c r="L343" s="15"/>
      <c r="M343" s="15"/>
      <c r="N343" s="15"/>
      <c r="O343" s="15"/>
      <c r="P343" s="556"/>
      <c r="V343" s="543"/>
      <c r="AD343" s="10"/>
      <c r="AE343" s="10"/>
      <c r="AF343" s="550"/>
      <c r="AG343" s="550"/>
      <c r="AH343" s="550"/>
      <c r="AI343" s="550"/>
      <c r="AJ343" s="567"/>
      <c r="AK343" s="567"/>
      <c r="AL343" s="572"/>
      <c r="AM343" s="572"/>
      <c r="AN343" s="572"/>
      <c r="AO343" s="572"/>
      <c r="AP343" s="572"/>
      <c r="AQ343" s="572"/>
      <c r="AR343" s="572"/>
      <c r="AS343" s="572"/>
      <c r="AT343" s="572"/>
      <c r="AU343" s="572"/>
      <c r="AV343" s="572"/>
      <c r="AW343" s="572"/>
      <c r="AX343" s="572"/>
      <c r="AY343" s="572"/>
      <c r="AZ343" s="567"/>
      <c r="BA343" s="567"/>
      <c r="BB343" s="573"/>
      <c r="BC343" s="567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2:79" x14ac:dyDescent="0.3">
      <c r="B344" s="543"/>
      <c r="C344" s="555"/>
      <c r="D344" s="546" t="s">
        <v>158</v>
      </c>
      <c r="E344" s="15"/>
      <c r="F344" s="15"/>
      <c r="G344" s="15"/>
      <c r="H344" s="16">
        <f>SUM(D140:D146)</f>
        <v>427527</v>
      </c>
      <c r="I344" s="15"/>
      <c r="J344" s="16">
        <f>+H344/7</f>
        <v>61075.285714285717</v>
      </c>
      <c r="K344" s="15"/>
      <c r="L344" s="15"/>
      <c r="M344" s="15"/>
      <c r="N344" s="15"/>
      <c r="O344" s="15"/>
      <c r="P344" s="556"/>
      <c r="V344" s="543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90"/>
      <c r="AU344" s="110"/>
      <c r="AV344" s="152"/>
      <c r="AW344" s="152"/>
      <c r="AX344" s="152"/>
      <c r="AY344" s="152"/>
      <c r="AZ344" s="110"/>
      <c r="BA344" s="110"/>
      <c r="BB344" s="110"/>
      <c r="BC344" s="110"/>
    </row>
    <row r="345" spans="2:79" x14ac:dyDescent="0.3">
      <c r="B345" s="549"/>
      <c r="C345" s="555"/>
      <c r="D345" s="546" t="s">
        <v>157</v>
      </c>
      <c r="E345" s="15"/>
      <c r="F345" s="15"/>
      <c r="G345" s="15"/>
      <c r="H345" s="16">
        <f>SUM(D147:D153)</f>
        <v>383516</v>
      </c>
      <c r="I345" s="15"/>
      <c r="J345" s="16">
        <f>+H345/7</f>
        <v>54788</v>
      </c>
      <c r="K345" s="15"/>
      <c r="L345" s="15"/>
      <c r="M345" s="15"/>
      <c r="N345" s="15"/>
      <c r="O345" s="561">
        <f>+H343-H345</f>
        <v>88465</v>
      </c>
      <c r="P345" s="556"/>
      <c r="V345" s="543"/>
      <c r="AA345">
        <f>+O345/7</f>
        <v>12637.857142857143</v>
      </c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90"/>
      <c r="AW345" s="90"/>
      <c r="AX345" s="90"/>
      <c r="AY345" s="90"/>
      <c r="AZ345" s="110"/>
      <c r="BA345" s="153"/>
      <c r="BB345" s="110"/>
      <c r="BC345" s="110"/>
    </row>
    <row r="346" spans="2:79" x14ac:dyDescent="0.3">
      <c r="B346" s="550"/>
      <c r="C346" s="555"/>
      <c r="D346" s="562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60">
        <f>+O345/H343</f>
        <v>0.18743339244588236</v>
      </c>
      <c r="P346" s="556"/>
      <c r="V346" s="543"/>
      <c r="X346" s="61"/>
      <c r="Y346" s="61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0"/>
      <c r="AP346" s="90">
        <v>480454</v>
      </c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</row>
    <row r="347" spans="2:79" ht="15" thickBot="1" x14ac:dyDescent="0.35">
      <c r="B347" s="550"/>
      <c r="C347" s="563"/>
      <c r="D347" s="564"/>
      <c r="E347" s="564"/>
      <c r="F347" s="564"/>
      <c r="G347" s="564"/>
      <c r="H347" s="564"/>
      <c r="I347" s="564"/>
      <c r="J347" s="565"/>
      <c r="K347" s="564"/>
      <c r="L347" s="564"/>
      <c r="M347" s="564"/>
      <c r="N347" s="564"/>
      <c r="O347" s="564"/>
      <c r="P347" s="566"/>
      <c r="V347" s="543"/>
      <c r="X347" s="61"/>
      <c r="Y347" s="61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52">
        <f>+N201</f>
        <v>290088</v>
      </c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</row>
    <row r="348" spans="2:79" x14ac:dyDescent="0.3">
      <c r="B348" s="550"/>
      <c r="C348" s="543"/>
      <c r="D348" s="551"/>
      <c r="E348" s="543"/>
      <c r="F348" s="543"/>
      <c r="G348" s="543"/>
      <c r="H348" s="552"/>
      <c r="I348" s="543"/>
      <c r="J348" s="543"/>
      <c r="K348" s="543"/>
      <c r="L348" s="543"/>
      <c r="M348" s="543"/>
      <c r="N348" s="543"/>
      <c r="O348" s="543"/>
      <c r="P348" s="543"/>
      <c r="Q348" s="543"/>
      <c r="R348" s="543"/>
      <c r="S348" s="543"/>
      <c r="T348" s="543"/>
      <c r="U348" s="543"/>
      <c r="V348" s="543"/>
      <c r="X348" s="61"/>
      <c r="Y348" s="61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52">
        <f>+AP346-AP347</f>
        <v>190366</v>
      </c>
      <c r="AQ348" s="110"/>
      <c r="AR348" s="110"/>
    </row>
    <row r="349" spans="2:79" x14ac:dyDescent="0.3">
      <c r="B349" s="1"/>
      <c r="D349" s="55"/>
      <c r="X349" s="61"/>
      <c r="Y349" s="61"/>
      <c r="Z349" s="110"/>
      <c r="AA349" s="110"/>
      <c r="AB349" s="110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96">
        <f>+AP348/AP346</f>
        <v>0.3962210742339537</v>
      </c>
      <c r="AQ349" s="110"/>
      <c r="AR349" s="110"/>
    </row>
    <row r="350" spans="2:79" x14ac:dyDescent="0.3">
      <c r="B350" s="55"/>
      <c r="D350" s="55"/>
      <c r="J350" s="56">
        <f>+J343-J345</f>
        <v>12637.857142857145</v>
      </c>
      <c r="X350" s="61"/>
      <c r="Y350" s="61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</row>
    <row r="351" spans="2:79" x14ac:dyDescent="0.3">
      <c r="B351" s="57"/>
      <c r="D351" s="55"/>
      <c r="X351" s="61"/>
      <c r="Y351" s="61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</row>
    <row r="352" spans="2:79" x14ac:dyDescent="0.3">
      <c r="B352" s="1"/>
      <c r="D352" s="55"/>
      <c r="X352" s="61"/>
      <c r="Y352" s="61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</row>
    <row r="353" spans="2:61" x14ac:dyDescent="0.3">
      <c r="B353" s="1"/>
      <c r="D353" s="55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</row>
    <row r="354" spans="2:61" x14ac:dyDescent="0.3">
      <c r="B354" s="1"/>
      <c r="D354" s="55"/>
      <c r="AT354" s="543"/>
      <c r="AU354" s="543"/>
      <c r="AV354" s="543"/>
      <c r="AW354" s="543"/>
      <c r="AX354" s="543"/>
      <c r="AY354" s="543"/>
      <c r="AZ354" s="543"/>
      <c r="BA354" s="543"/>
      <c r="BB354" s="543"/>
      <c r="BC354" s="543"/>
      <c r="BD354" s="543"/>
      <c r="BE354" s="543"/>
      <c r="BF354" s="543"/>
      <c r="BG354" s="543"/>
      <c r="BH354" s="543"/>
      <c r="BI354" s="543"/>
    </row>
    <row r="355" spans="2:61" ht="15.6" x14ac:dyDescent="0.3">
      <c r="B355" s="1"/>
      <c r="D355" s="55"/>
      <c r="AT355" s="543"/>
      <c r="AU355" s="576"/>
      <c r="AV355" s="577"/>
      <c r="AW355" s="577"/>
      <c r="AX355" s="577"/>
      <c r="AY355" s="577"/>
      <c r="AZ355" s="577"/>
      <c r="BA355" s="577"/>
      <c r="BB355" s="577"/>
      <c r="BC355" s="577"/>
      <c r="BD355" s="577"/>
      <c r="BE355" s="577" t="s">
        <v>169</v>
      </c>
      <c r="BF355" s="577"/>
      <c r="BG355" s="577" t="s">
        <v>2</v>
      </c>
      <c r="BH355" s="576"/>
      <c r="BI355" s="543"/>
    </row>
    <row r="356" spans="2:61" ht="16.2" thickBot="1" x14ac:dyDescent="0.35">
      <c r="B356" s="57" t="e">
        <f>+B355/B354</f>
        <v>#DIV/0!</v>
      </c>
      <c r="D356" s="55"/>
      <c r="AT356" s="543"/>
      <c r="AU356" s="576"/>
      <c r="AV356" s="608" t="s">
        <v>168</v>
      </c>
      <c r="AW356" s="608"/>
      <c r="AX356" s="608"/>
      <c r="AY356" s="577"/>
      <c r="AZ356" s="577"/>
      <c r="BA356" s="578" t="s">
        <v>20</v>
      </c>
      <c r="BB356" s="577"/>
      <c r="BC356" s="578" t="s">
        <v>3</v>
      </c>
      <c r="BD356" s="577"/>
      <c r="BE356" s="578" t="s">
        <v>73</v>
      </c>
      <c r="BF356" s="577"/>
      <c r="BG356" s="578" t="s">
        <v>73</v>
      </c>
      <c r="BH356" s="576"/>
      <c r="BI356" s="543"/>
    </row>
    <row r="357" spans="2:61" ht="21" x14ac:dyDescent="0.4">
      <c r="B357" s="1"/>
      <c r="D357" s="55"/>
      <c r="AT357" s="543"/>
      <c r="AU357" s="576"/>
      <c r="AV357" s="579" t="s">
        <v>156</v>
      </c>
      <c r="AW357" s="576"/>
      <c r="AX357" s="580"/>
      <c r="AY357" s="576"/>
      <c r="AZ357" s="576"/>
      <c r="BA357" s="581">
        <f>+N143</f>
        <v>1970617</v>
      </c>
      <c r="BB357" s="580"/>
      <c r="BC357" s="580"/>
      <c r="BD357" s="580"/>
      <c r="BE357" s="580"/>
      <c r="BF357" s="580"/>
      <c r="BG357" s="580"/>
      <c r="BH357" s="576"/>
      <c r="BI357" s="543"/>
    </row>
    <row r="358" spans="2:61" ht="21" x14ac:dyDescent="0.4">
      <c r="B358" s="1"/>
      <c r="D358" s="55"/>
      <c r="AT358" s="543"/>
      <c r="AU358" s="576"/>
      <c r="AV358" s="579" t="s">
        <v>164</v>
      </c>
      <c r="AW358" s="576"/>
      <c r="AX358" s="580"/>
      <c r="AY358" s="576"/>
      <c r="AZ358" s="576"/>
      <c r="BA358" s="581">
        <f>+N174</f>
        <v>1493931</v>
      </c>
      <c r="BB358" s="580"/>
      <c r="BC358" s="581">
        <f>+BA358-BA357</f>
        <v>-476686</v>
      </c>
      <c r="BD358" s="580"/>
      <c r="BE358" s="582">
        <f>+BC358/BA357</f>
        <v>-0.24189682723735764</v>
      </c>
      <c r="BF358" s="580"/>
      <c r="BG358" s="580"/>
      <c r="BH358" s="576"/>
      <c r="BI358" s="543"/>
    </row>
    <row r="359" spans="2:61" ht="21" x14ac:dyDescent="0.4">
      <c r="B359" s="1">
        <f>+B355*50</f>
        <v>0</v>
      </c>
      <c r="D359" s="55"/>
      <c r="AT359" s="543"/>
      <c r="AU359" s="576"/>
      <c r="AV359" s="579" t="s">
        <v>165</v>
      </c>
      <c r="AW359" s="576"/>
      <c r="AX359" s="580"/>
      <c r="AY359" s="576"/>
      <c r="AZ359" s="576"/>
      <c r="BA359" s="581">
        <f>+N204</f>
        <v>1202331</v>
      </c>
      <c r="BB359" s="580"/>
      <c r="BC359" s="581">
        <f>+BA359-BA358</f>
        <v>-291600</v>
      </c>
      <c r="BD359" s="580"/>
      <c r="BE359" s="582">
        <f>+BC359/BA358</f>
        <v>-0.19518973767864781</v>
      </c>
      <c r="BF359" s="580"/>
      <c r="BG359" s="580"/>
      <c r="BH359" s="576"/>
      <c r="BI359" s="543"/>
    </row>
    <row r="360" spans="2:61" ht="21" x14ac:dyDescent="0.4">
      <c r="B360" s="1"/>
      <c r="D360" s="55"/>
      <c r="AT360" s="543"/>
      <c r="AU360" s="576"/>
      <c r="AV360" s="579" t="s">
        <v>166</v>
      </c>
      <c r="AW360" s="576"/>
      <c r="AX360" s="580"/>
      <c r="AY360" s="576"/>
      <c r="AZ360" s="583" t="s">
        <v>28</v>
      </c>
      <c r="BA360" s="581">
        <f>+N218</f>
        <v>371489</v>
      </c>
      <c r="BB360" s="580"/>
      <c r="BC360" s="581">
        <f>+BA360-BA359</f>
        <v>-830842</v>
      </c>
      <c r="BD360" s="580"/>
      <c r="BE360" s="582">
        <f>+BC360/BA359</f>
        <v>-0.69102601529861574</v>
      </c>
      <c r="BF360" s="580"/>
      <c r="BG360" s="582">
        <f>+(BA360-BA357)/BA357</f>
        <v>-0.81148594577231392</v>
      </c>
      <c r="BH360" s="576"/>
      <c r="BI360" s="543"/>
    </row>
    <row r="361" spans="2:61" x14ac:dyDescent="0.3">
      <c r="B361" s="1"/>
      <c r="D361" s="55"/>
      <c r="AT361" s="543"/>
      <c r="AU361" s="576"/>
      <c r="AV361" s="576"/>
      <c r="AW361" s="576"/>
      <c r="AX361" s="576"/>
      <c r="AY361" s="576"/>
      <c r="AZ361" s="576"/>
      <c r="BA361" s="576"/>
      <c r="BB361" s="576"/>
      <c r="BC361" s="576"/>
      <c r="BD361" s="576"/>
      <c r="BE361" s="576"/>
      <c r="BF361" s="576"/>
      <c r="BG361" s="576"/>
      <c r="BH361" s="576"/>
      <c r="BI361" s="543"/>
    </row>
    <row r="362" spans="2:61" ht="16.2" x14ac:dyDescent="0.3">
      <c r="B362" s="1"/>
      <c r="D362" s="55"/>
      <c r="AT362" s="543"/>
      <c r="AU362" s="576"/>
      <c r="AV362" s="576"/>
      <c r="AW362" s="576"/>
      <c r="AX362" s="584" t="s">
        <v>28</v>
      </c>
      <c r="AY362" s="576"/>
      <c r="AZ362" s="585" t="s">
        <v>167</v>
      </c>
      <c r="BA362" s="576"/>
      <c r="BB362" s="576"/>
      <c r="BC362" s="576"/>
      <c r="BD362" s="576"/>
      <c r="BE362" s="576"/>
      <c r="BF362" s="576"/>
      <c r="BG362" s="576"/>
      <c r="BH362" s="576"/>
      <c r="BI362" s="543"/>
    </row>
    <row r="363" spans="2:61" x14ac:dyDescent="0.3">
      <c r="B363" s="1"/>
      <c r="D363" s="55"/>
      <c r="AT363" s="543"/>
      <c r="AU363" s="576"/>
      <c r="AV363" s="576"/>
      <c r="AW363" s="576"/>
      <c r="AX363" s="576"/>
      <c r="AY363" s="576"/>
      <c r="AZ363" s="576"/>
      <c r="BA363" s="576"/>
      <c r="BB363" s="576"/>
      <c r="BC363" s="576"/>
      <c r="BD363" s="576"/>
      <c r="BE363" s="576"/>
      <c r="BF363" s="576"/>
      <c r="BG363" s="576"/>
      <c r="BH363" s="576"/>
      <c r="BI363" s="543"/>
    </row>
    <row r="364" spans="2:61" x14ac:dyDescent="0.3">
      <c r="B364" s="1"/>
      <c r="D364" s="55"/>
      <c r="AT364" s="575"/>
      <c r="AU364" s="575"/>
      <c r="AV364" s="575"/>
      <c r="AW364" s="575"/>
      <c r="AX364" s="575"/>
      <c r="AY364" s="575"/>
      <c r="AZ364" s="575"/>
      <c r="BA364" s="575"/>
      <c r="BB364" s="575"/>
      <c r="BC364" s="575"/>
      <c r="BD364" s="575"/>
      <c r="BE364" s="575"/>
      <c r="BF364" s="575"/>
      <c r="BG364" s="575"/>
      <c r="BH364" s="575"/>
      <c r="BI364" s="575"/>
    </row>
    <row r="365" spans="2:61" x14ac:dyDescent="0.3">
      <c r="B365" s="1"/>
      <c r="D365" s="55"/>
    </row>
    <row r="366" spans="2:61" x14ac:dyDescent="0.3">
      <c r="B366" s="1"/>
      <c r="D366" s="55"/>
      <c r="AS366" s="543"/>
      <c r="AT366" s="543"/>
      <c r="AU366" s="543"/>
      <c r="AV366" s="543"/>
      <c r="AW366" s="543"/>
      <c r="AX366" s="543"/>
      <c r="AY366" s="543"/>
      <c r="AZ366" s="543"/>
      <c r="BA366" s="543"/>
      <c r="BB366" s="543"/>
      <c r="BC366" s="543"/>
      <c r="BD366" s="543"/>
      <c r="BE366" s="543"/>
      <c r="BF366" s="543"/>
      <c r="BG366" s="543"/>
      <c r="BH366" s="543"/>
      <c r="BI366" s="543"/>
    </row>
    <row r="367" spans="2:61" x14ac:dyDescent="0.3">
      <c r="B367" s="1"/>
      <c r="D367" s="55"/>
      <c r="AT367" s="543"/>
      <c r="AU367" s="594"/>
      <c r="AV367" s="594"/>
      <c r="AW367" s="594"/>
      <c r="AX367" s="594"/>
      <c r="AY367" s="594"/>
      <c r="AZ367" s="594"/>
      <c r="BA367" s="594"/>
      <c r="BB367" s="594"/>
      <c r="BC367" s="594"/>
      <c r="BD367" s="594"/>
      <c r="BE367" s="594"/>
      <c r="BF367" s="594"/>
      <c r="BG367" s="594"/>
      <c r="BH367" s="594"/>
      <c r="BI367" s="543"/>
    </row>
    <row r="368" spans="2:61" ht="15" thickBot="1" x14ac:dyDescent="0.35">
      <c r="B368" s="1"/>
      <c r="D368" s="55"/>
      <c r="AT368" s="543"/>
      <c r="AU368" s="594"/>
      <c r="AV368" s="603" t="s">
        <v>173</v>
      </c>
      <c r="AW368" s="603"/>
      <c r="AX368" s="603"/>
      <c r="AY368" s="595"/>
      <c r="AZ368" s="595"/>
      <c r="BA368" s="596" t="s">
        <v>25</v>
      </c>
      <c r="BB368" s="597"/>
      <c r="BC368" s="596" t="s">
        <v>3</v>
      </c>
      <c r="BD368" s="597"/>
      <c r="BE368" s="596" t="s">
        <v>20</v>
      </c>
      <c r="BF368" s="597"/>
      <c r="BG368" s="596" t="s">
        <v>22</v>
      </c>
      <c r="BH368" s="594"/>
      <c r="BI368" s="543"/>
    </row>
    <row r="369" spans="2:61" x14ac:dyDescent="0.3">
      <c r="B369" s="1"/>
      <c r="AT369" s="543"/>
      <c r="AU369" s="594"/>
      <c r="AV369" s="595" t="s">
        <v>156</v>
      </c>
      <c r="AW369" s="595"/>
      <c r="AX369" s="595"/>
      <c r="AY369" s="595"/>
      <c r="AZ369" s="595"/>
      <c r="BA369" s="598">
        <f>+BK275</f>
        <v>13351981</v>
      </c>
      <c r="BB369" s="595"/>
      <c r="BC369" s="595"/>
      <c r="BD369" s="595"/>
      <c r="BE369" s="599">
        <f>+N143</f>
        <v>1970617</v>
      </c>
      <c r="BF369" s="595"/>
      <c r="BG369" s="600">
        <f>+BE369/BA369</f>
        <v>0.14758985951223269</v>
      </c>
      <c r="BH369" s="594"/>
      <c r="BI369" s="543"/>
    </row>
    <row r="370" spans="2:61" x14ac:dyDescent="0.3">
      <c r="B370" s="1"/>
      <c r="AT370" s="543"/>
      <c r="AU370" s="594"/>
      <c r="AV370" s="595"/>
      <c r="AW370" s="595"/>
      <c r="AX370" s="595"/>
      <c r="AY370" s="595"/>
      <c r="AZ370" s="595"/>
      <c r="BA370" s="598"/>
      <c r="BB370" s="595"/>
      <c r="BC370" s="595"/>
      <c r="BD370" s="595"/>
      <c r="BE370" s="595"/>
      <c r="BF370" s="595"/>
      <c r="BG370" s="600"/>
      <c r="BH370" s="594"/>
      <c r="BI370" s="543"/>
    </row>
    <row r="371" spans="2:61" x14ac:dyDescent="0.3">
      <c r="B371" s="1"/>
      <c r="AT371" s="543"/>
      <c r="AU371" s="594"/>
      <c r="AV371" s="595" t="s">
        <v>172</v>
      </c>
      <c r="AW371" s="595"/>
      <c r="AX371" s="595"/>
      <c r="AY371" s="595"/>
      <c r="AZ371" s="595"/>
      <c r="BA371" s="598">
        <v>52440389</v>
      </c>
      <c r="BB371" s="595"/>
      <c r="BC371" s="600">
        <f>+(BA371-BA369)/BA369</f>
        <v>2.9275362210296736</v>
      </c>
      <c r="BD371" s="595"/>
      <c r="BE371" s="599">
        <f>+N273</f>
        <v>1462688</v>
      </c>
      <c r="BF371" s="595"/>
      <c r="BG371" s="600">
        <f>+BE371/BA371</f>
        <v>2.7892394162064665E-2</v>
      </c>
      <c r="BH371" s="594"/>
      <c r="BI371" s="543"/>
    </row>
    <row r="372" spans="2:61" x14ac:dyDescent="0.3">
      <c r="B372" s="1"/>
      <c r="AT372" s="543"/>
      <c r="AU372" s="594"/>
      <c r="AV372" s="595"/>
      <c r="AW372" s="595"/>
      <c r="AX372" s="595"/>
      <c r="AY372" s="595"/>
      <c r="AZ372" s="595"/>
      <c r="BA372" s="598"/>
      <c r="BB372" s="595"/>
      <c r="BC372" s="595"/>
      <c r="BD372" s="595"/>
      <c r="BE372" s="595"/>
      <c r="BF372" s="595"/>
      <c r="BG372" s="595"/>
      <c r="BH372" s="594"/>
      <c r="BI372" s="543"/>
    </row>
    <row r="373" spans="2:61" x14ac:dyDescent="0.3">
      <c r="B373" s="1"/>
      <c r="AT373" s="543"/>
      <c r="AU373" s="594"/>
      <c r="AV373" s="604" t="s">
        <v>118</v>
      </c>
      <c r="AW373" s="604"/>
      <c r="AX373" s="604"/>
      <c r="AY373" s="604"/>
      <c r="AZ373" s="595"/>
      <c r="BA373" s="599">
        <f>+BA371-BA369</f>
        <v>39088408</v>
      </c>
      <c r="BB373" s="595"/>
      <c r="BC373" s="595"/>
      <c r="BD373" s="595"/>
      <c r="BE373" s="599">
        <f>+BE371-BE369</f>
        <v>-507929</v>
      </c>
      <c r="BF373" s="595"/>
      <c r="BG373" s="602"/>
      <c r="BH373" s="594"/>
      <c r="BI373" s="543"/>
    </row>
    <row r="374" spans="2:61" x14ac:dyDescent="0.3">
      <c r="B374" s="1"/>
      <c r="AT374" s="543"/>
      <c r="AU374" s="594"/>
      <c r="AV374" s="594"/>
      <c r="AW374" s="594"/>
      <c r="AX374" s="594"/>
      <c r="AY374" s="594"/>
      <c r="AZ374" s="594"/>
      <c r="BA374" s="594"/>
      <c r="BB374" s="594"/>
      <c r="BC374" s="594"/>
      <c r="BD374" s="594"/>
      <c r="BE374" s="594"/>
      <c r="BF374" s="594"/>
      <c r="BG374" s="594"/>
      <c r="BH374" s="594"/>
      <c r="BI374" s="543"/>
    </row>
    <row r="375" spans="2:61" x14ac:dyDescent="0.3">
      <c r="B375" s="1"/>
      <c r="AT375" s="543"/>
      <c r="AU375" s="543"/>
      <c r="AV375" s="543"/>
      <c r="AW375" s="543"/>
      <c r="AX375" s="543"/>
      <c r="AY375" s="543"/>
      <c r="AZ375" s="543"/>
      <c r="BA375" s="543"/>
      <c r="BB375" s="543"/>
      <c r="BC375" s="543"/>
      <c r="BD375" s="543"/>
      <c r="BE375" s="601"/>
      <c r="BF375" s="543"/>
      <c r="BG375" s="550"/>
      <c r="BH375" s="543"/>
      <c r="BI375" s="543"/>
    </row>
    <row r="376" spans="2:61" x14ac:dyDescent="0.3">
      <c r="B376" s="1"/>
    </row>
    <row r="377" spans="2:61" x14ac:dyDescent="0.3">
      <c r="BE377" s="56"/>
    </row>
    <row r="378" spans="2:61" x14ac:dyDescent="0.3">
      <c r="BE378" s="273"/>
    </row>
  </sheetData>
  <mergeCells count="31">
    <mergeCell ref="H341:J341"/>
    <mergeCell ref="AK318:AN318"/>
    <mergeCell ref="AK309:AN309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368:AX368"/>
    <mergeCell ref="AV373:AY373"/>
    <mergeCell ref="AK319:AN319"/>
    <mergeCell ref="AK308:AV308"/>
    <mergeCell ref="AK310:AN310"/>
    <mergeCell ref="AV356:AX356"/>
    <mergeCell ref="AK311:AN311"/>
    <mergeCell ref="AK312:AN312"/>
    <mergeCell ref="AK313:AN313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314:AP316 AR314:AR3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303"/>
  <sheetViews>
    <sheetView topLeftCell="A275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43" t="s">
        <v>7</v>
      </c>
      <c r="F7" s="644"/>
      <c r="G7" s="648">
        <v>0.7</v>
      </c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9"/>
    </row>
    <row r="8" spans="3:40" x14ac:dyDescent="0.3">
      <c r="E8" s="645" t="s">
        <v>123</v>
      </c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7"/>
    </row>
    <row r="9" spans="3:40" x14ac:dyDescent="0.3">
      <c r="E9" s="663" t="s">
        <v>37</v>
      </c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5"/>
      <c r="Q9" s="661" t="s">
        <v>116</v>
      </c>
      <c r="R9" s="5"/>
      <c r="S9" s="658" t="s">
        <v>4</v>
      </c>
      <c r="T9" s="659"/>
      <c r="U9" s="660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62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55" t="s">
        <v>48</v>
      </c>
      <c r="AE14" s="656"/>
      <c r="AF14" s="657"/>
      <c r="AG14" s="206"/>
      <c r="AH14" s="653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54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+K291</f>
        <v>1443416</v>
      </c>
      <c r="AG16" s="200"/>
      <c r="AH16" s="214">
        <f>+AJ31</f>
        <v>4564.5145236387962</v>
      </c>
      <c r="AI16" s="214"/>
      <c r="AJ16" s="215">
        <f>+S291</f>
        <v>60206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323531</v>
      </c>
      <c r="AG17" s="201"/>
      <c r="AH17" s="162">
        <v>4694</v>
      </c>
      <c r="AI17" s="214"/>
      <c r="AJ17" s="161">
        <v>11717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559256</v>
      </c>
      <c r="AG18" s="201"/>
      <c r="AH18" s="162">
        <v>4369</v>
      </c>
      <c r="AI18" s="214"/>
      <c r="AJ18" s="161">
        <v>13834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2326203</v>
      </c>
      <c r="AG19" s="201"/>
      <c r="AH19" s="201"/>
      <c r="AI19" s="201"/>
      <c r="AJ19" s="219">
        <f>SUM(AJ16:AJ18)</f>
        <v>85757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Table'!H295</f>
        <v>0.12940686925845377</v>
      </c>
      <c r="AG21" s="201"/>
      <c r="AH21" s="201"/>
      <c r="AI21" s="201"/>
      <c r="AJ21" s="221">
        <f>+AJ19/'Main Table'!AA295</f>
        <v>0.26498716114539267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55" t="s">
        <v>133</v>
      </c>
      <c r="AB25" s="656"/>
      <c r="AC25" s="656"/>
      <c r="AD25" s="656"/>
      <c r="AE25" s="656"/>
      <c r="AF25" s="656"/>
      <c r="AG25" s="656"/>
      <c r="AH25" s="656"/>
      <c r="AI25" s="656"/>
      <c r="AJ25" s="656"/>
      <c r="AK25" s="657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+E291</f>
        <v>848042</v>
      </c>
      <c r="AE27" s="168"/>
      <c r="AF27" s="199">
        <v>4359</v>
      </c>
      <c r="AG27" s="168"/>
      <c r="AH27" s="190">
        <f>+AD27/AD$31</f>
        <v>0.47994761585944568</v>
      </c>
      <c r="AI27" s="190"/>
      <c r="AJ27" s="168">
        <f>+AF27*AH27</f>
        <v>2092.0916575313236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+G291</f>
        <v>432592</v>
      </c>
      <c r="AE28" s="168"/>
      <c r="AF28" s="199">
        <v>4870</v>
      </c>
      <c r="AG28" s="168"/>
      <c r="AH28" s="190">
        <f>+AD28/AD$31</f>
        <v>0.24482454765196693</v>
      </c>
      <c r="AI28" s="190"/>
      <c r="AJ28" s="168">
        <f>+AF28*AH28</f>
        <v>1192.2955470650788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+I291</f>
        <v>162782</v>
      </c>
      <c r="AE29" s="168"/>
      <c r="AF29" s="199">
        <v>4566</v>
      </c>
      <c r="AG29" s="168"/>
      <c r="AH29" s="190">
        <f>+AD29/AD$31</f>
        <v>9.2126136211216292E-2</v>
      </c>
      <c r="AI29" s="190"/>
      <c r="AJ29" s="168">
        <f>+AF29*AH29</f>
        <v>420.64793794041361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323531</v>
      </c>
      <c r="AE30" s="280"/>
      <c r="AF30" s="168">
        <f>+AH17</f>
        <v>4694</v>
      </c>
      <c r="AG30" s="280"/>
      <c r="AH30" s="190">
        <f>+AD30/AD$31</f>
        <v>0.18310170027737108</v>
      </c>
      <c r="AI30" s="280"/>
      <c r="AJ30" s="168">
        <f>+AF30*AH30</f>
        <v>859.47938110197981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1766947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4564.5145236387962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50" t="s">
        <v>31</v>
      </c>
      <c r="AB36" s="651"/>
      <c r="AC36" s="651"/>
      <c r="AD36" s="651"/>
      <c r="AE36" s="651"/>
      <c r="AF36" s="651"/>
      <c r="AG36" s="651"/>
      <c r="AH36" s="651"/>
      <c r="AI36" s="652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Table'!AA295</f>
        <v>323627</v>
      </c>
      <c r="AJ49" s="56">
        <f>+AJ19</f>
        <v>85757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85757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237870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99905.4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137964.6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0.42630744653567226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89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89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>
        <v>532180</v>
      </c>
      <c r="F246" s="7"/>
      <c r="G246" s="7">
        <v>260430</v>
      </c>
      <c r="H246" s="7"/>
      <c r="I246" s="7">
        <v>82953</v>
      </c>
      <c r="J246" s="287"/>
      <c r="K246" s="7">
        <f t="shared" ref="K246" si="109">SUM(E246:I246)</f>
        <v>875563</v>
      </c>
      <c r="L246" s="6"/>
      <c r="M246" s="481">
        <f t="shared" ref="M246" si="110">+(K246-K245)/K245</f>
        <v>6.0878008422721817E-3</v>
      </c>
      <c r="N246" s="29"/>
      <c r="O246" s="29"/>
      <c r="P246" s="29"/>
      <c r="Q246" s="375">
        <f t="shared" ref="Q246" si="111">+K246-K245</f>
        <v>5298</v>
      </c>
      <c r="R246" s="6"/>
      <c r="S246" s="7">
        <f>33706+16461+4707</f>
        <v>54874</v>
      </c>
      <c r="T246" s="6"/>
      <c r="U246" s="286">
        <f t="shared" ref="U246" si="112">+S246/K246</f>
        <v>6.2672817375791348E-2</v>
      </c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>
        <v>540965</v>
      </c>
      <c r="F247" s="7"/>
      <c r="G247" s="7">
        <v>263495</v>
      </c>
      <c r="H247" s="7"/>
      <c r="I247" s="7">
        <v>84707</v>
      </c>
      <c r="J247" s="287"/>
      <c r="K247" s="7">
        <f t="shared" ref="K247" si="113">SUM(E247:I247)</f>
        <v>889167</v>
      </c>
      <c r="L247" s="6"/>
      <c r="M247" s="481">
        <f t="shared" ref="M247" si="114">+(K247-K246)/K246</f>
        <v>1.553743134417512E-2</v>
      </c>
      <c r="N247" s="29"/>
      <c r="O247" s="29"/>
      <c r="P247" s="29"/>
      <c r="Q247" s="375">
        <f t="shared" ref="Q247" si="115">+K247-K246</f>
        <v>13604</v>
      </c>
      <c r="R247" s="6"/>
      <c r="S247" s="7">
        <f>33716+16476+4716</f>
        <v>54908</v>
      </c>
      <c r="T247" s="6"/>
      <c r="U247" s="286">
        <f t="shared" ref="U247" si="116">+S247/K247</f>
        <v>6.1752179286905608E-2</v>
      </c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>
        <v>545762</v>
      </c>
      <c r="F248" s="7"/>
      <c r="G248" s="7">
        <v>266986</v>
      </c>
      <c r="H248" s="7"/>
      <c r="I248" s="7">
        <v>85899</v>
      </c>
      <c r="J248" s="287"/>
      <c r="K248" s="7">
        <f t="shared" ref="K248" si="117">SUM(E248:I248)</f>
        <v>898647</v>
      </c>
      <c r="L248" s="6"/>
      <c r="M248" s="481">
        <f t="shared" ref="M248" si="118">+(K248-K247)/K247</f>
        <v>1.0661664231803475E-2</v>
      </c>
      <c r="N248" s="29"/>
      <c r="O248" s="29"/>
      <c r="P248" s="29"/>
      <c r="Q248" s="375">
        <f t="shared" ref="Q248" si="119">+K248-K247</f>
        <v>9480</v>
      </c>
      <c r="R248" s="6"/>
      <c r="S248" s="7">
        <f>33741+16495+4726</f>
        <v>54962</v>
      </c>
      <c r="T248" s="6"/>
      <c r="U248" s="286">
        <f t="shared" ref="U248" si="120">+S248/K248</f>
        <v>6.1160834009349609E-2</v>
      </c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>
        <v>545762</v>
      </c>
      <c r="F249" s="7"/>
      <c r="G249" s="7">
        <v>270383</v>
      </c>
      <c r="H249" s="7"/>
      <c r="I249" s="7">
        <v>88645</v>
      </c>
      <c r="J249" s="287"/>
      <c r="K249" s="7">
        <f t="shared" ref="K249" si="121">SUM(E249:I249)</f>
        <v>904790</v>
      </c>
      <c r="L249" s="6"/>
      <c r="M249" s="481">
        <f t="shared" ref="M249" si="122">+(K249-K248)/K248</f>
        <v>6.8358320897972174E-3</v>
      </c>
      <c r="N249" s="29"/>
      <c r="O249" s="29"/>
      <c r="P249" s="29"/>
      <c r="Q249" s="375">
        <f t="shared" ref="Q249" si="123">+K249-K248</f>
        <v>6143</v>
      </c>
      <c r="R249" s="6"/>
      <c r="S249" s="7">
        <f>33993+16522+4737</f>
        <v>55252</v>
      </c>
      <c r="T249" s="6"/>
      <c r="U249" s="286">
        <f t="shared" ref="U249" si="124">+S249/K249</f>
        <v>6.1066103736778697E-2</v>
      </c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>
        <v>556551</v>
      </c>
      <c r="F250" s="7"/>
      <c r="G250" s="7">
        <v>274736</v>
      </c>
      <c r="H250" s="7"/>
      <c r="I250" s="7">
        <v>88645</v>
      </c>
      <c r="J250" s="287"/>
      <c r="K250" s="7">
        <f t="shared" ref="K250" si="125">SUM(E250:I250)</f>
        <v>919932</v>
      </c>
      <c r="L250" s="6"/>
      <c r="M250" s="481">
        <f t="shared" ref="M250" si="126">+(K250-K249)/K249</f>
        <v>1.673537505940605E-2</v>
      </c>
      <c r="N250" s="29"/>
      <c r="O250" s="29"/>
      <c r="P250" s="29"/>
      <c r="Q250" s="375">
        <f t="shared" ref="Q250" si="127">+K250-K249</f>
        <v>15142</v>
      </c>
      <c r="R250" s="6"/>
      <c r="S250" s="7">
        <f>33993+16522+4737</f>
        <v>55252</v>
      </c>
      <c r="T250" s="6"/>
      <c r="U250" s="286">
        <f t="shared" ref="U250" si="128">+S250/K250</f>
        <v>6.0060961027554212E-2</v>
      </c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>
        <v>563690</v>
      </c>
      <c r="F251" s="7"/>
      <c r="G251" s="7">
        <v>281493</v>
      </c>
      <c r="H251" s="7"/>
      <c r="I251" s="7">
        <v>93284</v>
      </c>
      <c r="J251" s="287"/>
      <c r="K251" s="7">
        <f t="shared" ref="K251" si="129">SUM(E251:I251)</f>
        <v>938467</v>
      </c>
      <c r="L251" s="6"/>
      <c r="M251" s="481">
        <f t="shared" ref="M251" si="130">+(K251-K250)/K250</f>
        <v>2.0148228347312627E-2</v>
      </c>
      <c r="N251" s="29"/>
      <c r="O251" s="29"/>
      <c r="P251" s="29"/>
      <c r="Q251" s="375">
        <f t="shared" ref="Q251" si="131">+K251-K250</f>
        <v>18535</v>
      </c>
      <c r="R251" s="6"/>
      <c r="S251" s="7">
        <f>34054+16580+4759</f>
        <v>55393</v>
      </c>
      <c r="T251" s="6"/>
      <c r="U251" s="286">
        <f t="shared" ref="U251" si="132">+S251/K251</f>
        <v>5.9024984362795921E-2</v>
      </c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>
        <v>568778</v>
      </c>
      <c r="F252" s="7"/>
      <c r="G252" s="7">
        <v>285519</v>
      </c>
      <c r="H252" s="7"/>
      <c r="I252" s="7">
        <v>94986</v>
      </c>
      <c r="J252" s="287"/>
      <c r="K252" s="7">
        <f t="shared" ref="K252" si="133">SUM(E252:I252)</f>
        <v>949283</v>
      </c>
      <c r="L252" s="6"/>
      <c r="M252" s="481">
        <f t="shared" ref="M252" si="134">+(K252-K251)/K251</f>
        <v>1.1525178828877308E-2</v>
      </c>
      <c r="N252" s="29"/>
      <c r="O252" s="29"/>
      <c r="P252" s="29"/>
      <c r="Q252" s="375">
        <f t="shared" ref="Q252" si="135">+K252-K251</f>
        <v>10816</v>
      </c>
      <c r="R252" s="6"/>
      <c r="S252" s="7">
        <f>34076+16618+4771</f>
        <v>55465</v>
      </c>
      <c r="T252" s="6"/>
      <c r="U252" s="286">
        <f t="shared" ref="U252" si="136">+S252/K252</f>
        <v>5.8428308523380275E-2</v>
      </c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>
        <v>574072</v>
      </c>
      <c r="F253" s="7"/>
      <c r="G253" s="7">
        <v>289562</v>
      </c>
      <c r="H253" s="7"/>
      <c r="I253" s="7">
        <v>97028</v>
      </c>
      <c r="J253" s="287"/>
      <c r="K253" s="7">
        <f t="shared" ref="K253" si="137">SUM(E253:I253)</f>
        <v>960662</v>
      </c>
      <c r="L253" s="6"/>
      <c r="M253" s="481">
        <f t="shared" ref="M253" si="138">+(K253-K252)/K252</f>
        <v>1.1986941723384912E-2</v>
      </c>
      <c r="N253" s="29"/>
      <c r="O253" s="29"/>
      <c r="P253" s="29"/>
      <c r="Q253" s="375">
        <f t="shared" ref="Q253" si="139">+K253-K252</f>
        <v>11379</v>
      </c>
      <c r="R253" s="6"/>
      <c r="S253" s="7">
        <f>34076+16618+4771</f>
        <v>55465</v>
      </c>
      <c r="T253" s="6"/>
      <c r="U253" s="286">
        <f t="shared" ref="U253" si="140">+S253/K253</f>
        <v>5.7736227726297072E-2</v>
      </c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>
        <v>574072</v>
      </c>
      <c r="F254" s="7"/>
      <c r="G254" s="7">
        <v>289562</v>
      </c>
      <c r="H254" s="7"/>
      <c r="I254" s="7">
        <v>97028</v>
      </c>
      <c r="J254" s="287"/>
      <c r="K254" s="7">
        <f t="shared" ref="K254" si="141">SUM(E254:I254)</f>
        <v>960662</v>
      </c>
      <c r="L254" s="6"/>
      <c r="M254" s="481">
        <f t="shared" ref="M254" si="142">+(K254-K253)/K253</f>
        <v>0</v>
      </c>
      <c r="N254" s="29"/>
      <c r="O254" s="29"/>
      <c r="P254" s="29"/>
      <c r="Q254" s="375">
        <f t="shared" ref="Q254" si="143">+K254-K253</f>
        <v>0</v>
      </c>
      <c r="R254" s="6"/>
      <c r="S254" s="7">
        <f>34076+16618+4771</f>
        <v>55465</v>
      </c>
      <c r="T254" s="6"/>
      <c r="U254" s="286">
        <f t="shared" ref="U254" si="144">+S254/K254</f>
        <v>5.7736227726297072E-2</v>
      </c>
      <c r="W254">
        <f t="shared" si="20"/>
        <v>244</v>
      </c>
      <c r="Y254" s="56"/>
    </row>
    <row r="255" spans="3:25" x14ac:dyDescent="0.3">
      <c r="C255" s="170">
        <f t="shared" si="15"/>
        <v>44154</v>
      </c>
      <c r="E255" s="284">
        <v>579382</v>
      </c>
      <c r="F255" s="7"/>
      <c r="G255" s="7">
        <v>293744</v>
      </c>
      <c r="H255" s="7"/>
      <c r="I255" s="7">
        <v>99381</v>
      </c>
      <c r="J255" s="287"/>
      <c r="K255" s="7">
        <f t="shared" ref="K255" si="145">SUM(E255:I255)</f>
        <v>972507</v>
      </c>
      <c r="L255" s="6"/>
      <c r="M255" s="481">
        <f t="shared" ref="M255" si="146">+(K255-K254)/K254</f>
        <v>1.2330039077219667E-2</v>
      </c>
      <c r="N255" s="29"/>
      <c r="O255" s="29"/>
      <c r="P255" s="29"/>
      <c r="Q255" s="375">
        <f t="shared" ref="Q255" si="147">+K255-K254</f>
        <v>11845</v>
      </c>
      <c r="R255" s="6"/>
      <c r="S255" s="7">
        <f>34076+16618+4771</f>
        <v>55465</v>
      </c>
      <c r="T255" s="6"/>
      <c r="U255" s="286">
        <f t="shared" ref="U255" si="148">+S255/K255</f>
        <v>5.7033008502766561E-2</v>
      </c>
      <c r="W255">
        <f t="shared" si="20"/>
        <v>245</v>
      </c>
      <c r="Y255" s="56"/>
    </row>
    <row r="256" spans="3:25" x14ac:dyDescent="0.3">
      <c r="C256" s="170">
        <f t="shared" si="15"/>
        <v>44155</v>
      </c>
      <c r="E256" s="284">
        <v>584850</v>
      </c>
      <c r="F256" s="7"/>
      <c r="G256" s="7">
        <v>297370</v>
      </c>
      <c r="H256" s="7"/>
      <c r="I256" s="7">
        <v>101469</v>
      </c>
      <c r="J256" s="287"/>
      <c r="K256" s="7">
        <f t="shared" ref="K256" si="149">SUM(E256:I256)</f>
        <v>983689</v>
      </c>
      <c r="L256" s="6"/>
      <c r="M256" s="481">
        <f t="shared" ref="M256" si="150">+(K256-K255)/K255</f>
        <v>1.1498117751337522E-2</v>
      </c>
      <c r="N256" s="29"/>
      <c r="O256" s="29"/>
      <c r="P256" s="29"/>
      <c r="Q256" s="375">
        <f t="shared" ref="Q256" si="151">+K256-K255</f>
        <v>11182</v>
      </c>
      <c r="R256" s="6"/>
      <c r="S256" s="7">
        <f>34252+16712+4828</f>
        <v>55792</v>
      </c>
      <c r="T256" s="6"/>
      <c r="U256" s="286">
        <f t="shared" ref="U256" si="152">+S256/K256</f>
        <v>5.671711282732652E-2</v>
      </c>
      <c r="W256">
        <f t="shared" si="20"/>
        <v>246</v>
      </c>
      <c r="Y256" s="56"/>
    </row>
    <row r="257" spans="3:25" x14ac:dyDescent="0.3">
      <c r="C257" s="170">
        <f t="shared" si="15"/>
        <v>44156</v>
      </c>
      <c r="E257" s="284">
        <v>590823</v>
      </c>
      <c r="F257" s="7"/>
      <c r="G257" s="7">
        <v>302039</v>
      </c>
      <c r="H257" s="7"/>
      <c r="I257" s="7">
        <v>101469</v>
      </c>
      <c r="J257" s="287"/>
      <c r="K257" s="7">
        <f t="shared" ref="K257" si="153">SUM(E257:I257)</f>
        <v>994331</v>
      </c>
      <c r="L257" s="6"/>
      <c r="M257" s="481">
        <f t="shared" ref="M257" si="154">+(K257-K256)/K256</f>
        <v>1.081845989941943E-2</v>
      </c>
      <c r="N257" s="29"/>
      <c r="O257" s="29"/>
      <c r="P257" s="29"/>
      <c r="Q257" s="375">
        <f t="shared" ref="Q257" si="155">+K257-K256</f>
        <v>10642</v>
      </c>
      <c r="R257" s="6"/>
      <c r="S257" s="7">
        <f>34287+16746+4828</f>
        <v>55861</v>
      </c>
      <c r="T257" s="6"/>
      <c r="U257" s="286">
        <f t="shared" ref="U257" si="156">+S257/K257</f>
        <v>5.6179481480513029E-2</v>
      </c>
      <c r="W257">
        <f t="shared" si="20"/>
        <v>247</v>
      </c>
      <c r="Y257" s="56"/>
    </row>
    <row r="258" spans="3:25" x14ac:dyDescent="0.3">
      <c r="C258" s="170">
        <f t="shared" si="15"/>
        <v>44157</v>
      </c>
      <c r="E258" s="284">
        <v>596214</v>
      </c>
      <c r="F258" s="7"/>
      <c r="G258" s="7">
        <v>313358</v>
      </c>
      <c r="H258" s="7"/>
      <c r="I258" s="7">
        <v>101469</v>
      </c>
      <c r="J258" s="287"/>
      <c r="K258" s="7">
        <f t="shared" ref="K258" si="157">SUM(E258:I258)</f>
        <v>1011041</v>
      </c>
      <c r="L258" s="6"/>
      <c r="M258" s="481">
        <f t="shared" ref="M258" si="158">+(K258-K257)/K257</f>
        <v>1.6805269070359868E-2</v>
      </c>
      <c r="N258" s="29"/>
      <c r="O258" s="29"/>
      <c r="P258" s="29"/>
      <c r="Q258" s="375">
        <f t="shared" ref="Q258" si="159">+K258-K257</f>
        <v>16710</v>
      </c>
      <c r="R258" s="6"/>
      <c r="S258" s="7">
        <f>34319+16761+4828</f>
        <v>55908</v>
      </c>
      <c r="T258" s="6"/>
      <c r="U258" s="286">
        <f t="shared" ref="U258" si="160">+S258/K258</f>
        <v>5.5297460736013673E-2</v>
      </c>
      <c r="W258">
        <f t="shared" si="20"/>
        <v>248</v>
      </c>
      <c r="Y258" s="56"/>
    </row>
    <row r="259" spans="3:25" x14ac:dyDescent="0.3">
      <c r="C259" s="170">
        <f t="shared" si="15"/>
        <v>44158</v>
      </c>
      <c r="E259" s="284">
        <v>602120</v>
      </c>
      <c r="F259" s="7"/>
      <c r="G259" s="7">
        <v>309588</v>
      </c>
      <c r="H259" s="7"/>
      <c r="I259" s="7">
        <v>106740</v>
      </c>
      <c r="J259" s="287"/>
      <c r="K259" s="7">
        <f t="shared" ref="K259" si="161">SUM(E259:I259)</f>
        <v>1018448</v>
      </c>
      <c r="L259" s="6"/>
      <c r="M259" s="481">
        <f t="shared" ref="M259" si="162">+(K259-K258)/K258</f>
        <v>7.3261123930681345E-3</v>
      </c>
      <c r="N259" s="29"/>
      <c r="O259" s="29"/>
      <c r="P259" s="29"/>
      <c r="Q259" s="375">
        <f t="shared" ref="Q259" si="163">+K259-K258</f>
        <v>7407</v>
      </c>
      <c r="R259" s="6"/>
      <c r="S259" s="7">
        <f>34339+16772+4871</f>
        <v>55982</v>
      </c>
      <c r="T259" s="6"/>
      <c r="U259" s="286">
        <f t="shared" ref="U259" si="164">+S259/K259</f>
        <v>5.496795123560555E-2</v>
      </c>
      <c r="W259">
        <f t="shared" si="20"/>
        <v>249</v>
      </c>
      <c r="Y259" s="56"/>
    </row>
    <row r="260" spans="3:25" x14ac:dyDescent="0.3">
      <c r="C260" s="170">
        <f t="shared" si="15"/>
        <v>44159</v>
      </c>
      <c r="E260" s="284">
        <v>607001</v>
      </c>
      <c r="F260" s="7"/>
      <c r="G260" s="7">
        <v>313863</v>
      </c>
      <c r="H260" s="7"/>
      <c r="I260" s="7">
        <v>107280</v>
      </c>
      <c r="J260" s="287"/>
      <c r="K260" s="7">
        <f t="shared" ref="K260" si="165">SUM(E260:I260)</f>
        <v>1028144</v>
      </c>
      <c r="L260" s="6"/>
      <c r="M260" s="481">
        <f t="shared" ref="M260" si="166">+(K260-K259)/K259</f>
        <v>9.5203682465869639E-3</v>
      </c>
      <c r="N260" s="29"/>
      <c r="O260" s="29"/>
      <c r="P260" s="29"/>
      <c r="Q260" s="375">
        <f t="shared" ref="Q260" si="167">+K260-K259</f>
        <v>9696</v>
      </c>
      <c r="R260" s="6"/>
      <c r="S260" s="7">
        <f>34339+16772+4871</f>
        <v>55982</v>
      </c>
      <c r="T260" s="6"/>
      <c r="U260" s="286">
        <f t="shared" ref="U260" si="168">+S260/K260</f>
        <v>5.4449571266281763E-2</v>
      </c>
      <c r="W260">
        <f t="shared" si="20"/>
        <v>250</v>
      </c>
      <c r="Y260" s="56"/>
    </row>
    <row r="261" spans="3:25" x14ac:dyDescent="0.3">
      <c r="C261" s="170">
        <f t="shared" si="15"/>
        <v>44160</v>
      </c>
      <c r="E261" s="284">
        <v>613266</v>
      </c>
      <c r="F261" s="7"/>
      <c r="G261" s="7">
        <v>317905</v>
      </c>
      <c r="H261" s="7"/>
      <c r="I261" s="7">
        <v>109152</v>
      </c>
      <c r="J261" s="287"/>
      <c r="K261" s="7">
        <f t="shared" ref="K261" si="169">SUM(E261:I261)</f>
        <v>1040323</v>
      </c>
      <c r="L261" s="6"/>
      <c r="M261" s="481">
        <f t="shared" ref="M261" si="170">+(K261-K260)/K260</f>
        <v>1.1845616956379651E-2</v>
      </c>
      <c r="N261" s="29"/>
      <c r="O261" s="29"/>
      <c r="P261" s="29"/>
      <c r="Q261" s="375">
        <f t="shared" ref="Q261" si="171">+K261-K260</f>
        <v>12179</v>
      </c>
      <c r="R261" s="6"/>
      <c r="S261" s="7">
        <f>34388+16886+4926</f>
        <v>56200</v>
      </c>
      <c r="T261" s="6"/>
      <c r="U261" s="286">
        <f t="shared" ref="U261" si="172">+S261/K261</f>
        <v>5.4021683650174034E-2</v>
      </c>
      <c r="W261">
        <f t="shared" si="20"/>
        <v>251</v>
      </c>
      <c r="Y261" s="56"/>
    </row>
    <row r="262" spans="3:25" x14ac:dyDescent="0.3">
      <c r="C262" s="170">
        <f t="shared" si="15"/>
        <v>44161</v>
      </c>
      <c r="E262" s="284">
        <v>620199</v>
      </c>
      <c r="F262" s="7"/>
      <c r="G262" s="7">
        <v>322378</v>
      </c>
      <c r="H262" s="7"/>
      <c r="I262" s="7">
        <v>109152</v>
      </c>
      <c r="J262" s="287"/>
      <c r="K262" s="7">
        <f t="shared" ref="K262" si="173">SUM(E262:I262)</f>
        <v>1051729</v>
      </c>
      <c r="L262" s="6"/>
      <c r="M262" s="481">
        <f t="shared" ref="M262" si="174">+(K262-K261)/K261</f>
        <v>1.0963902557186565E-2</v>
      </c>
      <c r="N262" s="29"/>
      <c r="O262" s="29"/>
      <c r="P262" s="29"/>
      <c r="Q262" s="375">
        <f t="shared" ref="Q262" si="175">+K262-K261</f>
        <v>11406</v>
      </c>
      <c r="R262" s="6"/>
      <c r="S262" s="7">
        <f>34443+16925+4926</f>
        <v>56294</v>
      </c>
      <c r="T262" s="6"/>
      <c r="U262" s="286">
        <f t="shared" ref="U262" si="176">+S262/K262</f>
        <v>5.3525195178605899E-2</v>
      </c>
      <c r="W262">
        <f t="shared" si="20"/>
        <v>252</v>
      </c>
      <c r="Y262" s="56"/>
    </row>
    <row r="263" spans="3:25" x14ac:dyDescent="0.3">
      <c r="C263" s="170">
        <f t="shared" si="15"/>
        <v>44162</v>
      </c>
      <c r="E263" s="284">
        <v>628375</v>
      </c>
      <c r="F263" s="7"/>
      <c r="G263" s="7">
        <v>326473</v>
      </c>
      <c r="H263" s="7"/>
      <c r="I263" s="7">
        <v>112581</v>
      </c>
      <c r="J263" s="287"/>
      <c r="K263" s="7">
        <f t="shared" ref="K263" si="177">SUM(E263:I263)</f>
        <v>1067429</v>
      </c>
      <c r="L263" s="6"/>
      <c r="M263" s="481">
        <f t="shared" ref="M263" si="178">+(K263-K262)/K262</f>
        <v>1.4927799841974501E-2</v>
      </c>
      <c r="N263" s="29"/>
      <c r="O263" s="29"/>
      <c r="P263" s="29"/>
      <c r="Q263" s="375">
        <f t="shared" ref="Q263" si="179">+K263-K262</f>
        <v>15700</v>
      </c>
      <c r="R263" s="6"/>
      <c r="S263" s="7">
        <f>34443+16925+4926</f>
        <v>56294</v>
      </c>
      <c r="T263" s="6"/>
      <c r="U263" s="286">
        <f t="shared" ref="U263" si="180">+S263/K263</f>
        <v>5.2737933857895936E-2</v>
      </c>
      <c r="W263">
        <f t="shared" si="20"/>
        <v>253</v>
      </c>
      <c r="Y263" s="56"/>
    </row>
    <row r="264" spans="3:25" x14ac:dyDescent="0.3">
      <c r="C264" s="170">
        <f t="shared" si="15"/>
        <v>44163</v>
      </c>
      <c r="E264" s="284">
        <v>634438</v>
      </c>
      <c r="F264" s="7"/>
      <c r="G264" s="7">
        <v>329553</v>
      </c>
      <c r="H264" s="7"/>
      <c r="I264" s="7">
        <v>112581</v>
      </c>
      <c r="J264" s="287"/>
      <c r="K264" s="7">
        <f t="shared" ref="K264" si="181">SUM(E264:I264)</f>
        <v>1076572</v>
      </c>
      <c r="L264" s="6"/>
      <c r="M264" s="481">
        <f t="shared" ref="M264" si="182">+(K264-K263)/K263</f>
        <v>8.5654408864664529E-3</v>
      </c>
      <c r="N264" s="29"/>
      <c r="O264" s="29"/>
      <c r="P264" s="29"/>
      <c r="Q264" s="375">
        <f t="shared" ref="Q264" si="183">+K264-K263</f>
        <v>9143</v>
      </c>
      <c r="R264" s="6"/>
      <c r="S264" s="7">
        <f>34443+16925+4926</f>
        <v>56294</v>
      </c>
      <c r="T264" s="6"/>
      <c r="U264" s="286">
        <f t="shared" ref="U264" si="184">+S264/K264</f>
        <v>5.2290046555176987E-2</v>
      </c>
      <c r="W264">
        <f t="shared" si="20"/>
        <v>254</v>
      </c>
      <c r="Y264" s="56"/>
    </row>
    <row r="265" spans="3:25" x14ac:dyDescent="0.3">
      <c r="C265" s="170">
        <f t="shared" si="15"/>
        <v>44164</v>
      </c>
      <c r="E265" s="284">
        <v>641161</v>
      </c>
      <c r="F265" s="7"/>
      <c r="G265" s="7">
        <v>334114</v>
      </c>
      <c r="H265" s="7"/>
      <c r="I265" s="7">
        <v>112581</v>
      </c>
      <c r="J265" s="287"/>
      <c r="K265" s="7">
        <f t="shared" ref="K265" si="185">SUM(E265:I265)</f>
        <v>1087856</v>
      </c>
      <c r="L265" s="6"/>
      <c r="M265" s="481">
        <f t="shared" ref="M265" si="186">+(K265-K264)/K264</f>
        <v>1.0481416941923068E-2</v>
      </c>
      <c r="N265" s="29"/>
      <c r="O265" s="29"/>
      <c r="P265" s="29"/>
      <c r="Q265" s="375">
        <f t="shared" ref="Q265" si="187">+K265-K264</f>
        <v>11284</v>
      </c>
      <c r="R265" s="6"/>
      <c r="S265" s="7">
        <f>34561+16978+4961</f>
        <v>56500</v>
      </c>
      <c r="T265" s="6"/>
      <c r="U265" s="286">
        <f t="shared" ref="U265" si="188">+S265/K265</f>
        <v>5.1937021076318923E-2</v>
      </c>
      <c r="W265">
        <f t="shared" si="20"/>
        <v>255</v>
      </c>
      <c r="Y265" s="56"/>
    </row>
    <row r="266" spans="3:25" x14ac:dyDescent="0.3">
      <c r="C266" s="170">
        <f t="shared" si="15"/>
        <v>44165</v>
      </c>
      <c r="E266" s="284">
        <v>647980</v>
      </c>
      <c r="F266" s="7"/>
      <c r="G266" s="7">
        <v>337304</v>
      </c>
      <c r="H266" s="7"/>
      <c r="I266" s="7">
        <v>117295</v>
      </c>
      <c r="J266" s="287"/>
      <c r="K266" s="7">
        <f t="shared" ref="K266" si="189">SUM(E266:I266)</f>
        <v>1102579</v>
      </c>
      <c r="L266" s="6"/>
      <c r="M266" s="481">
        <f t="shared" ref="M266" si="190">+(K266-K265)/K265</f>
        <v>1.3533960377108734E-2</v>
      </c>
      <c r="N266" s="29"/>
      <c r="O266" s="29"/>
      <c r="P266" s="29"/>
      <c r="Q266" s="375">
        <f t="shared" ref="Q266" si="191">+K266-K265</f>
        <v>14723</v>
      </c>
      <c r="R266" s="6"/>
      <c r="S266" s="7">
        <f>34605+16993+5020</f>
        <v>56618</v>
      </c>
      <c r="T266" s="6"/>
      <c r="U266" s="286">
        <f t="shared" ref="U266" si="192">+S266/K266</f>
        <v>5.1350515473267674E-2</v>
      </c>
      <c r="W266">
        <f t="shared" si="20"/>
        <v>256</v>
      </c>
      <c r="Y266" s="56"/>
    </row>
    <row r="267" spans="3:25" x14ac:dyDescent="0.3">
      <c r="C267" s="170">
        <f t="shared" si="15"/>
        <v>44166</v>
      </c>
      <c r="E267" s="284">
        <v>655265</v>
      </c>
      <c r="F267" s="7"/>
      <c r="G267" s="7">
        <v>341910</v>
      </c>
      <c r="H267" s="7"/>
      <c r="I267" s="7">
        <v>118754</v>
      </c>
      <c r="J267" s="287"/>
      <c r="K267" s="7">
        <f t="shared" ref="K267" si="193">SUM(E267:I267)</f>
        <v>1115929</v>
      </c>
      <c r="L267" s="6"/>
      <c r="M267" s="481">
        <f t="shared" ref="M267" si="194">+(K267-K266)/K266</f>
        <v>1.2107975936418162E-2</v>
      </c>
      <c r="N267" s="29"/>
      <c r="O267" s="29"/>
      <c r="P267" s="29"/>
      <c r="Q267" s="375">
        <f t="shared" ref="Q267" si="195">+K267-K266</f>
        <v>13350</v>
      </c>
      <c r="R267" s="6"/>
      <c r="S267" s="7">
        <f>34662+17083+5040</f>
        <v>56785</v>
      </c>
      <c r="T267" s="6"/>
      <c r="U267" s="286">
        <f t="shared" ref="U267" si="196">+S267/K267</f>
        <v>5.0885853849124807E-2</v>
      </c>
      <c r="W267">
        <f t="shared" si="20"/>
        <v>257</v>
      </c>
      <c r="Y267" s="56"/>
    </row>
    <row r="268" spans="3:25" x14ac:dyDescent="0.3">
      <c r="C268" s="170">
        <f t="shared" si="15"/>
        <v>44167</v>
      </c>
      <c r="E268" s="284">
        <v>664238</v>
      </c>
      <c r="F268" s="7"/>
      <c r="G268" s="7">
        <v>346206</v>
      </c>
      <c r="H268" s="7"/>
      <c r="I268" s="7">
        <v>121426</v>
      </c>
      <c r="J268" s="287"/>
      <c r="K268" s="7">
        <f t="shared" ref="K268" si="197">SUM(E268:I268)</f>
        <v>1131870</v>
      </c>
      <c r="L268" s="6"/>
      <c r="M268" s="481">
        <f t="shared" ref="M268" si="198">+(K268-K267)/K267</f>
        <v>1.4284958989326382E-2</v>
      </c>
      <c r="N268" s="29"/>
      <c r="O268" s="29"/>
      <c r="P268" s="29"/>
      <c r="Q268" s="375">
        <f t="shared" ref="Q268" si="199">+K268-K267</f>
        <v>15941</v>
      </c>
      <c r="R268" s="6"/>
      <c r="S268" s="7">
        <f>34662+17083+5040</f>
        <v>56785</v>
      </c>
      <c r="T268" s="6"/>
      <c r="U268" s="286">
        <f t="shared" ref="U268" si="200">+S268/K268</f>
        <v>5.0169189041144299E-2</v>
      </c>
      <c r="W268">
        <f t="shared" si="20"/>
        <v>258</v>
      </c>
      <c r="Y268" s="56"/>
    </row>
    <row r="269" spans="3:25" x14ac:dyDescent="0.3">
      <c r="C269" s="170">
        <f t="shared" si="15"/>
        <v>44168</v>
      </c>
      <c r="E269" s="284">
        <v>674093</v>
      </c>
      <c r="F269" s="7"/>
      <c r="G269" s="7">
        <v>350999</v>
      </c>
      <c r="H269" s="7"/>
      <c r="I269" s="7">
        <v>126177</v>
      </c>
      <c r="J269" s="287"/>
      <c r="K269" s="7">
        <f t="shared" ref="K269" si="201">SUM(E269:I269)</f>
        <v>1151269</v>
      </c>
      <c r="L269" s="6"/>
      <c r="M269" s="481">
        <f t="shared" ref="M269" si="202">+(K269-K268)/K268</f>
        <v>1.7138894042602066E-2</v>
      </c>
      <c r="N269" s="29"/>
      <c r="O269" s="29"/>
      <c r="P269" s="29"/>
      <c r="Q269" s="375">
        <f t="shared" ref="Q269" si="203">+K269-K268</f>
        <v>19399</v>
      </c>
      <c r="R269" s="6"/>
      <c r="S269" s="7">
        <f>34775+17209+5111</f>
        <v>57095</v>
      </c>
      <c r="T269" s="6"/>
      <c r="U269" s="286">
        <f t="shared" ref="U269" si="204">+S269/K269</f>
        <v>4.9593101177917584E-2</v>
      </c>
      <c r="W269">
        <f t="shared" si="20"/>
        <v>259</v>
      </c>
      <c r="Y269" s="56"/>
    </row>
    <row r="270" spans="3:25" x14ac:dyDescent="0.3">
      <c r="C270" s="170">
        <f t="shared" si="15"/>
        <v>44169</v>
      </c>
      <c r="E270" s="284">
        <v>685364</v>
      </c>
      <c r="F270" s="7"/>
      <c r="G270" s="7">
        <v>356662</v>
      </c>
      <c r="H270" s="7"/>
      <c r="I270" s="7">
        <v>127715</v>
      </c>
      <c r="J270" s="287"/>
      <c r="K270" s="7">
        <f t="shared" ref="K270" si="205">SUM(E270:I270)</f>
        <v>1169741</v>
      </c>
      <c r="L270" s="6"/>
      <c r="M270" s="481">
        <f t="shared" ref="M270" si="206">+(K270-K269)/K269</f>
        <v>1.6044903493449402E-2</v>
      </c>
      <c r="N270" s="29"/>
      <c r="O270" s="29"/>
      <c r="P270" s="29"/>
      <c r="Q270" s="375">
        <f t="shared" ref="Q270" si="207">+K270-K269</f>
        <v>18472</v>
      </c>
      <c r="R270" s="6"/>
      <c r="S270" s="7">
        <f>34830+17255+5146</f>
        <v>57231</v>
      </c>
      <c r="T270" s="6"/>
      <c r="U270" s="286">
        <f t="shared" ref="U270" si="208">+S270/K270</f>
        <v>4.8926215290393343E-2</v>
      </c>
      <c r="W270">
        <f t="shared" si="20"/>
        <v>260</v>
      </c>
      <c r="Y270" s="56"/>
    </row>
    <row r="271" spans="3:25" x14ac:dyDescent="0.3">
      <c r="C271" s="170">
        <f t="shared" si="15"/>
        <v>44170</v>
      </c>
      <c r="D271" s="593" t="s">
        <v>28</v>
      </c>
      <c r="E271" s="284">
        <v>696000</v>
      </c>
      <c r="F271" s="7"/>
      <c r="G271" s="7">
        <v>363000</v>
      </c>
      <c r="H271" s="7"/>
      <c r="I271" s="7">
        <v>127715</v>
      </c>
      <c r="J271" s="287"/>
      <c r="K271" s="7">
        <f t="shared" ref="K271:K272" si="209">SUM(E271:I271)</f>
        <v>1186715</v>
      </c>
      <c r="L271" s="6"/>
      <c r="M271" s="481">
        <f t="shared" ref="M271:M272" si="210">+(K271-K270)/K270</f>
        <v>1.4510904550665489E-2</v>
      </c>
      <c r="N271" s="29"/>
      <c r="O271" s="29"/>
      <c r="P271" s="29"/>
      <c r="Q271" s="375">
        <f t="shared" ref="Q271:Q272" si="211">+K271-K270</f>
        <v>16974</v>
      </c>
      <c r="R271" s="6"/>
      <c r="S271" s="7">
        <f t="shared" ref="S271" si="212">34830+17255+5146</f>
        <v>57231</v>
      </c>
      <c r="T271" s="6"/>
      <c r="U271" s="286">
        <f t="shared" ref="U271:U272" si="213">+S271/K271</f>
        <v>4.822640650872366E-2</v>
      </c>
      <c r="W271">
        <f t="shared" si="20"/>
        <v>261</v>
      </c>
      <c r="Y271" s="56"/>
    </row>
    <row r="272" spans="3:25" x14ac:dyDescent="0.3">
      <c r="C272" s="170">
        <f t="shared" si="15"/>
        <v>44171</v>
      </c>
      <c r="E272" s="284">
        <v>705827</v>
      </c>
      <c r="F272" s="7"/>
      <c r="G272" s="7">
        <v>368016</v>
      </c>
      <c r="H272" s="7"/>
      <c r="I272" s="7">
        <v>127715</v>
      </c>
      <c r="J272" s="287"/>
      <c r="K272" s="7">
        <f t="shared" si="209"/>
        <v>1201558</v>
      </c>
      <c r="L272" s="6"/>
      <c r="M272" s="481">
        <f t="shared" si="210"/>
        <v>1.2507636627159849E-2</v>
      </c>
      <c r="N272" s="29"/>
      <c r="O272" s="29"/>
      <c r="P272" s="29"/>
      <c r="Q272" s="375">
        <f t="shared" si="211"/>
        <v>14843</v>
      </c>
      <c r="R272" s="6"/>
      <c r="S272" s="7">
        <f>34980+17321+5146</f>
        <v>57447</v>
      </c>
      <c r="T272" s="6"/>
      <c r="U272" s="286">
        <f t="shared" si="213"/>
        <v>4.7810426130074454E-2</v>
      </c>
      <c r="W272">
        <f t="shared" si="20"/>
        <v>262</v>
      </c>
      <c r="Y272" s="56"/>
    </row>
    <row r="273" spans="3:32" x14ac:dyDescent="0.3">
      <c r="C273" s="170">
        <f t="shared" si="15"/>
        <v>44172</v>
      </c>
      <c r="E273" s="284">
        <v>713129</v>
      </c>
      <c r="F273" s="7"/>
      <c r="G273" s="7">
        <v>371579</v>
      </c>
      <c r="H273" s="7"/>
      <c r="I273" s="7">
        <v>135844</v>
      </c>
      <c r="J273" s="287"/>
      <c r="K273" s="7">
        <f t="shared" ref="K273" si="214">SUM(E273:I273)</f>
        <v>1220552</v>
      </c>
      <c r="L273" s="6"/>
      <c r="M273" s="481">
        <f t="shared" ref="M273" si="215">+(K273-K272)/K272</f>
        <v>1.5807809527297059E-2</v>
      </c>
      <c r="N273" s="29"/>
      <c r="O273" s="29"/>
      <c r="P273" s="29"/>
      <c r="Q273" s="375">
        <f t="shared" ref="Q273" si="216">+K273-K272</f>
        <v>18994</v>
      </c>
      <c r="R273" s="6"/>
      <c r="S273" s="7">
        <f>35034+17336+5224</f>
        <v>57594</v>
      </c>
      <c r="T273" s="6"/>
      <c r="U273" s="286">
        <f t="shared" ref="U273" si="217">+S273/K273</f>
        <v>4.7186846607108916E-2</v>
      </c>
      <c r="W273">
        <f t="shared" si="20"/>
        <v>263</v>
      </c>
      <c r="Y273" s="56"/>
    </row>
    <row r="274" spans="3:32" x14ac:dyDescent="0.3">
      <c r="C274" s="170">
        <f t="shared" si="15"/>
        <v>44173</v>
      </c>
      <c r="E274" s="284">
        <v>722464</v>
      </c>
      <c r="F274" s="7"/>
      <c r="G274" s="7">
        <v>377055</v>
      </c>
      <c r="H274" s="7"/>
      <c r="I274" s="7">
        <v>138258</v>
      </c>
      <c r="J274" s="287"/>
      <c r="K274" s="7">
        <f t="shared" ref="K274" si="218">SUM(E274:I274)</f>
        <v>1237777</v>
      </c>
      <c r="L274" s="6"/>
      <c r="M274" s="481">
        <f t="shared" ref="M274" si="219">+(K274-K273)/K273</f>
        <v>1.4112467146012624E-2</v>
      </c>
      <c r="N274" s="29"/>
      <c r="O274" s="29"/>
      <c r="P274" s="29"/>
      <c r="Q274" s="375">
        <f t="shared" ref="Q274" si="220">+K274-K273</f>
        <v>17225</v>
      </c>
      <c r="R274" s="6"/>
      <c r="S274" s="7">
        <f>35118+17426+5242</f>
        <v>57786</v>
      </c>
      <c r="T274" s="6"/>
      <c r="U274" s="286">
        <f t="shared" ref="U274" si="221">+S274/K274</f>
        <v>4.668530761195272E-2</v>
      </c>
      <c r="W274">
        <f t="shared" si="20"/>
        <v>264</v>
      </c>
      <c r="Y274" s="56"/>
    </row>
    <row r="275" spans="3:32" x14ac:dyDescent="0.3">
      <c r="C275" s="170">
        <f t="shared" si="15"/>
        <v>44174</v>
      </c>
      <c r="E275" s="284">
        <v>733064</v>
      </c>
      <c r="F275" s="7"/>
      <c r="G275" s="7">
        <v>381486</v>
      </c>
      <c r="H275" s="7"/>
      <c r="I275" s="7">
        <v>140548</v>
      </c>
      <c r="J275" s="287"/>
      <c r="K275" s="7">
        <f t="shared" ref="K275" si="222">SUM(E275:I275)</f>
        <v>1255098</v>
      </c>
      <c r="L275" s="6"/>
      <c r="M275" s="481">
        <f t="shared" ref="M275" si="223">+(K275-K274)/K274</f>
        <v>1.3993635364043766E-2</v>
      </c>
      <c r="N275" s="29"/>
      <c r="O275" s="29"/>
      <c r="P275" s="29"/>
      <c r="Q275" s="375">
        <f t="shared" ref="Q275" si="224">+K275-K274</f>
        <v>17321</v>
      </c>
      <c r="R275" s="6"/>
      <c r="S275" s="7">
        <f>35183+17542+5285</f>
        <v>58010</v>
      </c>
      <c r="T275" s="6"/>
      <c r="U275" s="286">
        <f t="shared" ref="U275" si="225">+S275/K275</f>
        <v>4.6219498397734676E-2</v>
      </c>
      <c r="W275">
        <f t="shared" si="20"/>
        <v>265</v>
      </c>
      <c r="Y275" s="56"/>
    </row>
    <row r="276" spans="3:32" x14ac:dyDescent="0.3">
      <c r="C276" s="170">
        <f t="shared" si="15"/>
        <v>44175</v>
      </c>
      <c r="E276" s="284">
        <v>743242</v>
      </c>
      <c r="F276" s="7"/>
      <c r="G276" s="7">
        <v>386606</v>
      </c>
      <c r="H276" s="7"/>
      <c r="I276" s="7">
        <v>142979</v>
      </c>
      <c r="J276" s="287"/>
      <c r="K276" s="7">
        <f t="shared" ref="K276" si="226">SUM(E276:I276)</f>
        <v>1272827</v>
      </c>
      <c r="L276" s="6"/>
      <c r="M276" s="481">
        <f t="shared" ref="M276" si="227">+(K276-K275)/K275</f>
        <v>1.4125590192957045E-2</v>
      </c>
      <c r="N276" s="29"/>
      <c r="O276" s="29"/>
      <c r="P276" s="29"/>
      <c r="Q276" s="375">
        <f t="shared" ref="Q276" si="228">+K276-K275</f>
        <v>17729</v>
      </c>
      <c r="R276" s="6"/>
      <c r="S276" s="7">
        <f>35266+17608+5327</f>
        <v>58201</v>
      </c>
      <c r="T276" s="6"/>
      <c r="U276" s="286">
        <f t="shared" ref="U276" si="229">+S276/K276</f>
        <v>4.5725774201835753E-2</v>
      </c>
      <c r="W276">
        <f t="shared" si="20"/>
        <v>266</v>
      </c>
      <c r="Y276" s="56"/>
    </row>
    <row r="277" spans="3:32" x14ac:dyDescent="0.3">
      <c r="C277" s="170">
        <f t="shared" si="15"/>
        <v>44176</v>
      </c>
      <c r="E277" s="284">
        <v>753837</v>
      </c>
      <c r="F277" s="7"/>
      <c r="G277" s="7">
        <v>390256</v>
      </c>
      <c r="H277" s="7"/>
      <c r="I277" s="7">
        <v>146761</v>
      </c>
      <c r="J277" s="287"/>
      <c r="K277" s="7">
        <f t="shared" ref="K277" si="230">SUM(E277:I277)</f>
        <v>1290854</v>
      </c>
      <c r="L277" s="6"/>
      <c r="M277" s="481">
        <f t="shared" ref="M277" si="231">+(K277-K276)/K276</f>
        <v>1.4162961659361406E-2</v>
      </c>
      <c r="N277" s="29"/>
      <c r="O277" s="29"/>
      <c r="P277" s="29"/>
      <c r="Q277" s="375">
        <f t="shared" ref="Q277" si="232">+K277-K276</f>
        <v>18027</v>
      </c>
      <c r="R277" s="6"/>
      <c r="S277" s="7">
        <f>35357+17662+5363</f>
        <v>58382</v>
      </c>
      <c r="T277" s="6"/>
      <c r="U277" s="286">
        <f t="shared" ref="U277" si="233">+S277/K277</f>
        <v>4.5227423085802111E-2</v>
      </c>
      <c r="W277">
        <f t="shared" si="20"/>
        <v>267</v>
      </c>
      <c r="Y277" s="56"/>
    </row>
    <row r="278" spans="3:32" x14ac:dyDescent="0.3">
      <c r="C278" s="170">
        <f t="shared" si="15"/>
        <v>44177</v>
      </c>
      <c r="E278" s="284">
        <v>764966</v>
      </c>
      <c r="F278" s="7"/>
      <c r="G278" s="7">
        <v>396496</v>
      </c>
      <c r="H278" s="7"/>
      <c r="I278" s="7">
        <v>146761</v>
      </c>
      <c r="J278" s="287"/>
      <c r="K278" s="7">
        <f t="shared" ref="K278" si="234">SUM(E278:I278)</f>
        <v>1308223</v>
      </c>
      <c r="L278" s="6"/>
      <c r="M278" s="481">
        <f t="shared" ref="M278" si="235">+(K278-K277)/K277</f>
        <v>1.3455433379762545E-2</v>
      </c>
      <c r="N278" s="29"/>
      <c r="O278" s="29"/>
      <c r="P278" s="29"/>
      <c r="Q278" s="375">
        <f t="shared" ref="Q278" si="236">+K278-K277</f>
        <v>17369</v>
      </c>
      <c r="R278" s="6"/>
      <c r="S278" s="7">
        <f>35441+17732+5363</f>
        <v>58536</v>
      </c>
      <c r="T278" s="6"/>
      <c r="U278" s="286">
        <f t="shared" ref="U278" si="237">+S278/K278</f>
        <v>4.4744665091501983E-2</v>
      </c>
      <c r="W278">
        <f t="shared" si="20"/>
        <v>268</v>
      </c>
      <c r="Y278" s="56"/>
    </row>
    <row r="279" spans="3:32" x14ac:dyDescent="0.3">
      <c r="C279" s="170">
        <f t="shared" si="15"/>
        <v>44178</v>
      </c>
      <c r="E279" s="284">
        <v>775160</v>
      </c>
      <c r="F279" s="7"/>
      <c r="G279" s="7">
        <v>400650</v>
      </c>
      <c r="H279" s="7"/>
      <c r="I279" s="7">
        <v>146761</v>
      </c>
      <c r="J279" s="287"/>
      <c r="K279" s="7">
        <f t="shared" ref="K279" si="238">SUM(E279:I279)</f>
        <v>1322571</v>
      </c>
      <c r="L279" s="6"/>
      <c r="M279" s="481">
        <f t="shared" ref="M279" si="239">+(K279-K278)/K278</f>
        <v>1.0967549110510975E-2</v>
      </c>
      <c r="N279" s="29"/>
      <c r="O279" s="29"/>
      <c r="P279" s="29"/>
      <c r="Q279" s="375">
        <f t="shared" ref="Q279" si="240">+K279-K278</f>
        <v>14348</v>
      </c>
      <c r="R279" s="6"/>
      <c r="S279" s="7">
        <f>35557+17751+5363</f>
        <v>58671</v>
      </c>
      <c r="T279" s="6"/>
      <c r="U279" s="286">
        <f t="shared" ref="U279" si="241">+S279/K279</f>
        <v>4.4361323513066597E-2</v>
      </c>
      <c r="W279">
        <f t="shared" si="20"/>
        <v>269</v>
      </c>
      <c r="Y279" s="56"/>
    </row>
    <row r="280" spans="3:32" x14ac:dyDescent="0.3">
      <c r="C280" s="170">
        <f t="shared" si="15"/>
        <v>44179</v>
      </c>
      <c r="D280" s="593" t="s">
        <v>28</v>
      </c>
      <c r="E280" s="284">
        <v>785160</v>
      </c>
      <c r="F280" s="7"/>
      <c r="G280" s="7">
        <v>405650</v>
      </c>
      <c r="H280" s="7"/>
      <c r="I280" s="7">
        <v>149761</v>
      </c>
      <c r="J280" s="287"/>
      <c r="K280" s="7">
        <f t="shared" ref="K280" si="242">SUM(E280:I280)</f>
        <v>1340571</v>
      </c>
      <c r="L280" s="6"/>
      <c r="M280" s="481">
        <f t="shared" ref="M280" si="243">+(K280-K279)/K279</f>
        <v>1.3609855349920723E-2</v>
      </c>
      <c r="N280" s="29"/>
      <c r="O280" s="29"/>
      <c r="P280" s="29"/>
      <c r="Q280" s="375">
        <f t="shared" ref="Q280" si="244">+K280-K279</f>
        <v>18000</v>
      </c>
      <c r="R280" s="6"/>
      <c r="S280" s="7">
        <f>35557+17751+5363</f>
        <v>58671</v>
      </c>
      <c r="T280" s="6"/>
      <c r="U280" s="286">
        <f t="shared" ref="U280" si="245">+S280/K280</f>
        <v>4.376567895322217E-2</v>
      </c>
      <c r="W280">
        <f t="shared" si="20"/>
        <v>270</v>
      </c>
      <c r="Y280" s="56"/>
    </row>
    <row r="281" spans="3:32" x14ac:dyDescent="0.3">
      <c r="C281" s="170">
        <f t="shared" si="15"/>
        <v>44180</v>
      </c>
      <c r="E281" s="284">
        <v>794557</v>
      </c>
      <c r="F281" s="7"/>
      <c r="G281" s="7">
        <v>409414</v>
      </c>
      <c r="H281" s="7"/>
      <c r="I281" s="7">
        <v>155462</v>
      </c>
      <c r="J281" s="287"/>
      <c r="K281" s="7">
        <f t="shared" ref="K281" si="246">SUM(E281:I281)</f>
        <v>1359433</v>
      </c>
      <c r="L281" s="6"/>
      <c r="M281" s="481">
        <f t="shared" ref="M281" si="247">+(K281-K280)/K280</f>
        <v>1.4070123850210097E-2</v>
      </c>
      <c r="N281" s="29"/>
      <c r="O281" s="29"/>
      <c r="P281" s="29"/>
      <c r="Q281" s="375">
        <f t="shared" ref="Q281" si="248">+K281-K280</f>
        <v>18862</v>
      </c>
      <c r="R281" s="6"/>
      <c r="S281" s="7">
        <f>35831+17872+5466</f>
        <v>59169</v>
      </c>
      <c r="T281" s="6"/>
      <c r="U281" s="286">
        <f t="shared" ref="U281" si="249">+S281/K281</f>
        <v>4.3524763633073497E-2</v>
      </c>
      <c r="W281">
        <f t="shared" si="20"/>
        <v>271</v>
      </c>
      <c r="Y281" s="56"/>
    </row>
    <row r="282" spans="3:32" x14ac:dyDescent="0.3">
      <c r="C282" s="170">
        <f t="shared" si="15"/>
        <v>44181</v>
      </c>
      <c r="D282" s="593" t="s">
        <v>28</v>
      </c>
      <c r="E282" s="284">
        <v>815000</v>
      </c>
      <c r="F282" s="7"/>
      <c r="G282" s="7">
        <v>412000</v>
      </c>
      <c r="H282" s="7"/>
      <c r="I282" s="7">
        <v>157000</v>
      </c>
      <c r="J282" s="287"/>
      <c r="K282" s="7">
        <f t="shared" ref="K282:K283" si="250">SUM(E282:I282)</f>
        <v>1384000</v>
      </c>
      <c r="L282" s="6"/>
      <c r="M282" s="481">
        <f t="shared" ref="M282:M283" si="251">+(K282-K281)/K281</f>
        <v>1.8071504811197021E-2</v>
      </c>
      <c r="N282" s="29"/>
      <c r="O282" s="29"/>
      <c r="P282" s="29"/>
      <c r="Q282" s="375">
        <f t="shared" ref="Q282:Q283" si="252">+K282-K281</f>
        <v>24567</v>
      </c>
      <c r="R282" s="6"/>
      <c r="S282" s="7">
        <f>35831+17872+5466</f>
        <v>59169</v>
      </c>
      <c r="T282" s="6"/>
      <c r="U282" s="286">
        <f t="shared" ref="U282:U283" si="253">+S282/K282</f>
        <v>4.2752167630057805E-2</v>
      </c>
      <c r="W282">
        <f t="shared" si="20"/>
        <v>272</v>
      </c>
      <c r="Y282" s="56"/>
    </row>
    <row r="283" spans="3:32" x14ac:dyDescent="0.3">
      <c r="C283" s="170">
        <f t="shared" si="15"/>
        <v>44182</v>
      </c>
      <c r="D283" s="593" t="s">
        <v>28</v>
      </c>
      <c r="E283" s="284">
        <v>822000</v>
      </c>
      <c r="F283" s="7"/>
      <c r="G283" s="7">
        <v>415000</v>
      </c>
      <c r="H283" s="7"/>
      <c r="I283" s="7">
        <v>158000</v>
      </c>
      <c r="J283" s="287"/>
      <c r="K283" s="7">
        <f t="shared" si="250"/>
        <v>1395000</v>
      </c>
      <c r="L283" s="6"/>
      <c r="M283" s="481">
        <f t="shared" si="251"/>
        <v>7.9479768786127163E-3</v>
      </c>
      <c r="N283" s="29"/>
      <c r="O283" s="29"/>
      <c r="P283" s="29"/>
      <c r="Q283" s="375">
        <f t="shared" si="252"/>
        <v>11000</v>
      </c>
      <c r="R283" s="6"/>
      <c r="S283" s="7">
        <f>36177+18124+5581</f>
        <v>59882</v>
      </c>
      <c r="T283" s="6"/>
      <c r="U283" s="286">
        <f t="shared" si="253"/>
        <v>4.2926164874551968E-2</v>
      </c>
      <c r="W283">
        <f t="shared" si="20"/>
        <v>273</v>
      </c>
      <c r="Y283" s="56"/>
      <c r="AF283" s="593" t="s">
        <v>28</v>
      </c>
    </row>
    <row r="284" spans="3:32" x14ac:dyDescent="0.3">
      <c r="C284" s="170">
        <f t="shared" si="15"/>
        <v>44183</v>
      </c>
      <c r="E284" s="284">
        <v>828166</v>
      </c>
      <c r="F284" s="7"/>
      <c r="G284" s="7">
        <v>423226</v>
      </c>
      <c r="H284" s="7"/>
      <c r="I284" s="7">
        <v>160102</v>
      </c>
      <c r="J284" s="287"/>
      <c r="K284" s="7">
        <f t="shared" ref="K284" si="254">SUM(E284:I284)</f>
        <v>1411494</v>
      </c>
      <c r="L284" s="6"/>
      <c r="M284" s="481">
        <f t="shared" ref="M284" si="255">+(K284-K283)/K283</f>
        <v>1.1823655913978494E-2</v>
      </c>
      <c r="N284" s="29"/>
      <c r="O284" s="29"/>
      <c r="P284" s="29"/>
      <c r="Q284" s="375">
        <f t="shared" ref="Q284" si="256">+K284-K283</f>
        <v>16494</v>
      </c>
      <c r="R284" s="6"/>
      <c r="S284" s="7">
        <f>36177+18124+5581</f>
        <v>59882</v>
      </c>
      <c r="T284" s="6"/>
      <c r="U284" s="286">
        <f t="shared" ref="U284" si="257">+S284/K284</f>
        <v>4.2424551574431063E-2</v>
      </c>
      <c r="W284">
        <f t="shared" si="20"/>
        <v>274</v>
      </c>
      <c r="Y284" s="56"/>
      <c r="AF284" s="593"/>
    </row>
    <row r="285" spans="3:32" x14ac:dyDescent="0.3">
      <c r="C285" s="170">
        <f t="shared" si="15"/>
        <v>44184</v>
      </c>
      <c r="E285" s="284">
        <v>838085</v>
      </c>
      <c r="F285" s="7"/>
      <c r="G285" s="7">
        <v>427417</v>
      </c>
      <c r="H285" s="7"/>
      <c r="I285" s="7">
        <v>162782</v>
      </c>
      <c r="J285" s="287"/>
      <c r="K285" s="7">
        <f t="shared" ref="K285" si="258">SUM(E285:I285)</f>
        <v>1428284</v>
      </c>
      <c r="L285" s="6"/>
      <c r="M285" s="481">
        <f t="shared" ref="M285" si="259">+(K285-K284)/K284</f>
        <v>1.1895197570800868E-2</v>
      </c>
      <c r="N285" s="29"/>
      <c r="O285" s="29"/>
      <c r="P285" s="29"/>
      <c r="Q285" s="375">
        <f t="shared" ref="Q285" si="260">+K285-K284</f>
        <v>16790</v>
      </c>
      <c r="R285" s="6"/>
      <c r="S285" s="7">
        <f>36318+18173+5581</f>
        <v>60072</v>
      </c>
      <c r="T285" s="6"/>
      <c r="U285" s="286">
        <f t="shared" ref="U285" si="261">+S285/K285</f>
        <v>4.2058862243083306E-2</v>
      </c>
      <c r="W285">
        <f t="shared" si="20"/>
        <v>275</v>
      </c>
      <c r="Y285" s="56"/>
      <c r="AF285" s="593"/>
    </row>
    <row r="286" spans="3:32" x14ac:dyDescent="0.3">
      <c r="C286" s="170">
        <f t="shared" si="15"/>
        <v>44185</v>
      </c>
      <c r="E286" s="284">
        <v>848042</v>
      </c>
      <c r="F286" s="7"/>
      <c r="G286" s="7">
        <v>432592</v>
      </c>
      <c r="H286" s="7"/>
      <c r="I286" s="7">
        <v>162782</v>
      </c>
      <c r="J286" s="287"/>
      <c r="K286" s="7">
        <f t="shared" ref="K286" si="262">SUM(E286:I286)</f>
        <v>1443416</v>
      </c>
      <c r="L286" s="6"/>
      <c r="M286" s="481">
        <f t="shared" ref="M286" si="263">+(K286-K285)/K285</f>
        <v>1.0594531619761895E-2</v>
      </c>
      <c r="N286" s="29"/>
      <c r="O286" s="29"/>
      <c r="P286" s="29"/>
      <c r="Q286" s="375">
        <f t="shared" ref="Q286" si="264">+K286-K285</f>
        <v>15132</v>
      </c>
      <c r="R286" s="6"/>
      <c r="S286" s="7">
        <f>36431+18194+5581</f>
        <v>60206</v>
      </c>
      <c r="T286" s="6"/>
      <c r="U286" s="286">
        <f t="shared" ref="U286" si="265">+S286/K286</f>
        <v>4.1710774994873273E-2</v>
      </c>
      <c r="W286">
        <f t="shared" si="20"/>
        <v>276</v>
      </c>
      <c r="Y286" s="56"/>
      <c r="AF286" s="593"/>
    </row>
    <row r="287" spans="3:32" x14ac:dyDescent="0.3">
      <c r="C287" s="170">
        <f t="shared" si="15"/>
        <v>44186</v>
      </c>
      <c r="E287" s="284"/>
      <c r="F287" s="7"/>
      <c r="G287" s="7"/>
      <c r="H287" s="7"/>
      <c r="I287" s="7"/>
      <c r="J287" s="287"/>
      <c r="K287" s="7"/>
      <c r="L287" s="6"/>
      <c r="M287" s="481"/>
      <c r="N287" s="29"/>
      <c r="O287" s="29"/>
      <c r="P287" s="29"/>
      <c r="Q287" s="375"/>
      <c r="R287" s="6"/>
      <c r="S287" s="7"/>
      <c r="T287" s="6"/>
      <c r="U287" s="286"/>
      <c r="Y287" s="56"/>
      <c r="AF287" s="593"/>
    </row>
    <row r="288" spans="3:32" x14ac:dyDescent="0.3">
      <c r="C288" s="170">
        <f t="shared" si="15"/>
        <v>44187</v>
      </c>
      <c r="E288" s="284"/>
      <c r="F288" s="7"/>
      <c r="G288" s="7"/>
      <c r="H288" s="7"/>
      <c r="I288" s="7"/>
      <c r="J288" s="287"/>
      <c r="K288" s="7"/>
      <c r="L288" s="6"/>
      <c r="M288" s="474"/>
      <c r="N288" s="29"/>
      <c r="O288" s="29"/>
      <c r="P288" s="29"/>
      <c r="Q288" s="375"/>
      <c r="R288" s="6"/>
      <c r="S288" s="7"/>
      <c r="T288" s="6"/>
      <c r="U288" s="286"/>
      <c r="W288">
        <f>+W283+1</f>
        <v>274</v>
      </c>
      <c r="Y288" s="56"/>
    </row>
    <row r="289" spans="3:41" ht="15" thickBot="1" x14ac:dyDescent="0.35">
      <c r="C289" s="170">
        <f t="shared" si="15"/>
        <v>44188</v>
      </c>
      <c r="E289" s="288"/>
      <c r="F289" s="289"/>
      <c r="G289" s="289"/>
      <c r="H289" s="289"/>
      <c r="I289" s="289"/>
      <c r="J289" s="289"/>
      <c r="K289" s="289"/>
      <c r="L289" s="290"/>
      <c r="M289" s="291"/>
      <c r="N289" s="291"/>
      <c r="O289" s="291"/>
      <c r="P289" s="291"/>
      <c r="Q289" s="374"/>
      <c r="R289" s="290"/>
      <c r="S289" s="290"/>
      <c r="T289" s="290"/>
      <c r="U289" s="292"/>
      <c r="W289">
        <f t="shared" si="20"/>
        <v>275</v>
      </c>
      <c r="Y289" s="59"/>
    </row>
    <row r="290" spans="3:41" x14ac:dyDescent="0.3">
      <c r="E290" s="56"/>
      <c r="F290" s="1"/>
      <c r="G290" s="56"/>
      <c r="H290" s="56"/>
      <c r="I290" s="56"/>
      <c r="J290" s="1"/>
      <c r="K290" s="56"/>
      <c r="S290" s="56"/>
    </row>
    <row r="291" spans="3:41" x14ac:dyDescent="0.3">
      <c r="C291" s="179" t="s">
        <v>81</v>
      </c>
      <c r="E291" s="56">
        <f>+E286</f>
        <v>848042</v>
      </c>
      <c r="F291" s="56"/>
      <c r="G291" s="56">
        <f t="shared" ref="G291:U291" si="266">+G286</f>
        <v>432592</v>
      </c>
      <c r="H291" s="56">
        <f t="shared" si="266"/>
        <v>0</v>
      </c>
      <c r="I291" s="56">
        <f t="shared" si="266"/>
        <v>162782</v>
      </c>
      <c r="J291" s="56">
        <f t="shared" si="266"/>
        <v>0</v>
      </c>
      <c r="K291" s="56">
        <f t="shared" si="266"/>
        <v>1443416</v>
      </c>
      <c r="L291" s="56">
        <f t="shared" si="266"/>
        <v>0</v>
      </c>
      <c r="M291" s="56">
        <f t="shared" si="266"/>
        <v>1.0594531619761895E-2</v>
      </c>
      <c r="N291" s="56">
        <f t="shared" si="266"/>
        <v>0</v>
      </c>
      <c r="O291" s="56">
        <f t="shared" si="266"/>
        <v>0</v>
      </c>
      <c r="P291" s="56">
        <f t="shared" si="266"/>
        <v>0</v>
      </c>
      <c r="Q291" s="56">
        <f t="shared" si="266"/>
        <v>15132</v>
      </c>
      <c r="R291" s="56">
        <f t="shared" si="266"/>
        <v>0</v>
      </c>
      <c r="S291" s="56">
        <f t="shared" si="266"/>
        <v>60206</v>
      </c>
      <c r="T291" s="56">
        <f t="shared" si="266"/>
        <v>0</v>
      </c>
      <c r="U291" s="56">
        <f t="shared" si="266"/>
        <v>4.1710774994873273E-2</v>
      </c>
      <c r="V291" s="56">
        <f t="shared" ref="V291" si="267">+V259</f>
        <v>0</v>
      </c>
    </row>
    <row r="292" spans="3:41" x14ac:dyDescent="0.3">
      <c r="E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</row>
    <row r="293" spans="3:41" x14ac:dyDescent="0.3">
      <c r="E293" s="59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</row>
    <row r="294" spans="3:41" x14ac:dyDescent="0.3">
      <c r="C294" s="123"/>
      <c r="D294" s="124"/>
      <c r="E294" s="392"/>
      <c r="F294" s="10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</row>
    <row r="295" spans="3:41" x14ac:dyDescent="0.3">
      <c r="E295" s="56"/>
      <c r="K295" s="56"/>
      <c r="Q295" s="56"/>
    </row>
    <row r="296" spans="3:41" x14ac:dyDescent="0.3">
      <c r="D296" s="593" t="s">
        <v>28</v>
      </c>
      <c r="E296" t="s">
        <v>171</v>
      </c>
      <c r="Q296" s="56"/>
      <c r="S296" s="59"/>
    </row>
    <row r="299" spans="3:41" x14ac:dyDescent="0.3">
      <c r="AO299" s="1">
        <v>3797000</v>
      </c>
    </row>
    <row r="300" spans="3:41" x14ac:dyDescent="0.3">
      <c r="C300" s="1"/>
    </row>
    <row r="301" spans="3:41" x14ac:dyDescent="0.3">
      <c r="C301" s="1"/>
      <c r="AO301" s="1">
        <v>30000</v>
      </c>
    </row>
    <row r="302" spans="3:41" x14ac:dyDescent="0.3">
      <c r="C302" s="59"/>
    </row>
    <row r="303" spans="3:41" x14ac:dyDescent="0.3">
      <c r="AO303" s="277">
        <f>+AO301/AO299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83"/>
  <sheetViews>
    <sheetView topLeftCell="A41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719" t="s">
        <v>114</v>
      </c>
      <c r="U3" s="720"/>
      <c r="V3" s="720"/>
      <c r="W3" s="720"/>
      <c r="X3" s="720"/>
      <c r="Y3" s="720"/>
      <c r="Z3" s="720"/>
      <c r="AA3" s="720"/>
      <c r="AB3" s="720"/>
      <c r="AC3" s="720"/>
      <c r="AD3" s="72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0.10884682450961385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722" t="s">
        <v>104</v>
      </c>
      <c r="F15" s="722"/>
      <c r="G15" s="722"/>
      <c r="H15" s="722"/>
      <c r="I15" s="72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728" t="s">
        <v>46</v>
      </c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3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31" t="s">
        <v>75</v>
      </c>
      <c r="F19" s="731"/>
      <c r="G19" s="731"/>
      <c r="H19" s="731"/>
      <c r="I19" s="146" t="s">
        <v>74</v>
      </c>
      <c r="J19" s="147"/>
      <c r="K19" s="736" t="s">
        <v>72</v>
      </c>
      <c r="L19" s="73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170</v>
      </c>
      <c r="F20" s="127"/>
      <c r="G20" s="126"/>
      <c r="H20" s="126"/>
      <c r="I20" s="93">
        <f>+'Main Table'!H276</f>
        <v>16047264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Table'!AA295</f>
        <v>323627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27997</v>
      </c>
      <c r="J22" s="128"/>
      <c r="K22" s="139"/>
      <c r="L22" s="281">
        <v>27963</v>
      </c>
      <c r="M22" s="139"/>
      <c r="N22" s="159">
        <f>+(I22-L22)/I22</f>
        <v>1.2144158302675287E-3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15695640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Table'!AP295</f>
        <v>10622082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32" t="s">
        <v>49</v>
      </c>
      <c r="E25" s="733"/>
      <c r="F25" s="733"/>
      <c r="G25" s="733"/>
      <c r="H25" s="733"/>
      <c r="I25" s="131">
        <f>+I23-I24</f>
        <v>5073558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10622082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32" t="s">
        <v>46</v>
      </c>
      <c r="E27" s="733"/>
      <c r="F27" s="733"/>
      <c r="G27" s="733"/>
      <c r="H27" s="733"/>
      <c r="I27" s="148">
        <f>+I25+I26</f>
        <v>15695640</v>
      </c>
      <c r="J27" s="128"/>
      <c r="K27" s="737">
        <v>15450371</v>
      </c>
      <c r="L27" s="737"/>
      <c r="M27" s="139"/>
      <c r="N27" s="149">
        <f>+I27-K27</f>
        <v>245269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34" t="s">
        <v>69</v>
      </c>
      <c r="F28" s="734"/>
      <c r="G28" s="734"/>
      <c r="H28" s="136"/>
      <c r="I28" s="274">
        <f>+I27/I32</f>
        <v>0.87314977816113082</v>
      </c>
      <c r="J28" s="139"/>
      <c r="K28" s="139"/>
      <c r="L28" s="139"/>
      <c r="M28" s="110"/>
      <c r="N28" s="506">
        <f>+N27/K27</f>
        <v>1.5874634984493253E-2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713" t="s">
        <v>114</v>
      </c>
      <c r="F31" s="714"/>
      <c r="G31" s="714"/>
      <c r="H31" s="714"/>
      <c r="I31" s="714"/>
      <c r="J31" s="71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708">
        <f>+'Main Table'!H295</f>
        <v>17975885</v>
      </c>
      <c r="J32" s="70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709">
        <f>+I27</f>
        <v>15695640</v>
      </c>
      <c r="J34" s="710"/>
      <c r="K34" s="22"/>
      <c r="L34" s="25">
        <f>+I34/$I$32</f>
        <v>0.87314977816113082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716">
        <f>+I21</f>
        <v>323627</v>
      </c>
      <c r="J35" s="717"/>
      <c r="K35" s="22"/>
      <c r="L35" s="25">
        <f>+I35/$I$32</f>
        <v>1.8003397329255277E-2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35" t="s">
        <v>114</v>
      </c>
      <c r="F36" s="735"/>
      <c r="G36" s="735"/>
      <c r="H36" s="275"/>
      <c r="I36" s="711">
        <f>+I32-I34-I35</f>
        <v>1956618</v>
      </c>
      <c r="J36" s="712"/>
      <c r="K36" s="302"/>
      <c r="L36" s="276">
        <f>+I36/$I$32</f>
        <v>0.10884682450961385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723" t="s">
        <v>127</v>
      </c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726" t="s">
        <v>75</v>
      </c>
      <c r="F42" s="726"/>
      <c r="G42" s="726"/>
      <c r="H42" s="726"/>
      <c r="I42" s="303" t="s">
        <v>74</v>
      </c>
      <c r="J42" s="304"/>
      <c r="K42" s="727" t="s">
        <v>37</v>
      </c>
      <c r="L42" s="72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Table'!AP313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92" t="s">
        <v>49</v>
      </c>
      <c r="E48" s="693"/>
      <c r="F48" s="693"/>
      <c r="G48" s="693"/>
      <c r="H48" s="693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92" t="s">
        <v>46</v>
      </c>
      <c r="E50" s="693"/>
      <c r="F50" s="693"/>
      <c r="G50" s="693"/>
      <c r="H50" s="693"/>
      <c r="I50" s="383">
        <f>+I48+I49</f>
        <v>22172</v>
      </c>
      <c r="J50" s="379"/>
      <c r="K50" s="694">
        <v>30167</v>
      </c>
      <c r="L50" s="694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95" t="s">
        <v>69</v>
      </c>
      <c r="F51" s="695"/>
      <c r="G51" s="695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47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96" t="s">
        <v>128</v>
      </c>
      <c r="F54" s="697"/>
      <c r="G54" s="697"/>
      <c r="H54" s="697"/>
      <c r="I54" s="697"/>
      <c r="J54" s="698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99">
        <f>+K50</f>
        <v>30167</v>
      </c>
      <c r="J55" s="69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700">
        <f>+I50</f>
        <v>22172</v>
      </c>
      <c r="J57" s="70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702">
        <f>+I44</f>
        <v>1836</v>
      </c>
      <c r="J58" s="70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704" t="s">
        <v>114</v>
      </c>
      <c r="F59" s="704"/>
      <c r="G59" s="704"/>
      <c r="H59" s="310"/>
      <c r="I59" s="705">
        <f>+I55-I57-I58</f>
        <v>6159</v>
      </c>
      <c r="J59" s="706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707">
        <f>+I45</f>
        <v>1397</v>
      </c>
      <c r="J60" s="707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705">
        <f>+I59-I60</f>
        <v>4762</v>
      </c>
      <c r="J61" s="705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96" t="s">
        <v>117</v>
      </c>
      <c r="F64" s="697"/>
      <c r="G64" s="697"/>
      <c r="H64" s="697"/>
      <c r="I64" s="697"/>
      <c r="J64" s="697"/>
      <c r="K64" s="697"/>
      <c r="L64" s="697"/>
      <c r="M64" s="698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91">
        <v>11690000</v>
      </c>
      <c r="J65" s="691"/>
      <c r="K65" s="691"/>
      <c r="L65" s="691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718" t="s">
        <v>108</v>
      </c>
      <c r="G67" s="718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66" t="s">
        <v>131</v>
      </c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8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69" t="s">
        <v>75</v>
      </c>
      <c r="F73" s="669"/>
      <c r="G73" s="669"/>
      <c r="H73" s="669"/>
      <c r="I73" s="398" t="s">
        <v>74</v>
      </c>
      <c r="J73" s="399"/>
      <c r="K73" s="670" t="s">
        <v>37</v>
      </c>
      <c r="L73" s="670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Table'!AP354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71" t="s">
        <v>49</v>
      </c>
      <c r="E79" s="672"/>
      <c r="F79" s="672"/>
      <c r="G79" s="672"/>
      <c r="H79" s="672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71" t="s">
        <v>46</v>
      </c>
      <c r="E81" s="672"/>
      <c r="F81" s="672"/>
      <c r="G81" s="672"/>
      <c r="H81" s="672"/>
      <c r="I81" s="413">
        <f>+I79+I80</f>
        <v>36684</v>
      </c>
      <c r="J81" s="406"/>
      <c r="K81" s="674">
        <v>48675</v>
      </c>
      <c r="L81" s="674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73" t="s">
        <v>69</v>
      </c>
      <c r="F82" s="673"/>
      <c r="G82" s="673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0.10884682450961385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1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1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1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1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1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1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15:30" x14ac:dyDescent="0.3">
      <c r="O199" s="110"/>
      <c r="T199" s="293"/>
      <c r="U199" s="295">
        <f t="shared" si="3"/>
        <v>44144</v>
      </c>
      <c r="V199" s="6"/>
      <c r="W199" s="296">
        <v>985209</v>
      </c>
      <c r="X199" s="6"/>
      <c r="Y199" s="44">
        <v>9.5000000000000001E-2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15:30" x14ac:dyDescent="0.3">
      <c r="O200" s="110"/>
      <c r="T200" s="293"/>
      <c r="U200" s="295">
        <f t="shared" si="3"/>
        <v>44145</v>
      </c>
      <c r="V200" s="6"/>
      <c r="W200" s="296">
        <v>1050453</v>
      </c>
      <c r="X200" s="6"/>
      <c r="Y200" s="44">
        <v>0.1</v>
      </c>
      <c r="Z200" s="6"/>
      <c r="AA200" s="297">
        <f t="shared" ref="AA200" si="26">+W199-W200</f>
        <v>-65244</v>
      </c>
      <c r="AB200" s="6"/>
      <c r="AC200" s="301"/>
      <c r="AD200" s="294"/>
    </row>
    <row r="201" spans="15:30" x14ac:dyDescent="0.3">
      <c r="O201" s="110"/>
      <c r="T201" s="293"/>
      <c r="U201" s="295">
        <f t="shared" si="3"/>
        <v>44146</v>
      </c>
      <c r="V201" s="6"/>
      <c r="W201" s="296">
        <v>1103763</v>
      </c>
      <c r="X201" s="6"/>
      <c r="Y201" s="44">
        <v>0.104</v>
      </c>
      <c r="Z201" s="6"/>
      <c r="AA201" s="297">
        <f t="shared" ref="AA201" si="27">+W200-W201</f>
        <v>-53310</v>
      </c>
      <c r="AB201" s="6"/>
      <c r="AC201" s="301"/>
      <c r="AD201" s="294"/>
    </row>
    <row r="202" spans="15:30" x14ac:dyDescent="0.3">
      <c r="O202" s="110"/>
      <c r="T202" s="293"/>
      <c r="U202" s="295">
        <f t="shared" si="3"/>
        <v>44147</v>
      </c>
      <c r="V202" s="6"/>
      <c r="W202" s="296">
        <v>1171415</v>
      </c>
      <c r="X202" s="6"/>
      <c r="Y202" s="44">
        <v>0.109</v>
      </c>
      <c r="Z202" s="6"/>
      <c r="AA202" s="297">
        <f t="shared" ref="AA202" si="28">+W201-W202</f>
        <v>-67652</v>
      </c>
      <c r="AB202" s="6"/>
      <c r="AC202" s="301"/>
      <c r="AD202" s="294"/>
    </row>
    <row r="203" spans="15:30" x14ac:dyDescent="0.3">
      <c r="O203" s="110"/>
      <c r="T203" s="293"/>
      <c r="U203" s="295">
        <f t="shared" si="3"/>
        <v>44148</v>
      </c>
      <c r="V203" s="6"/>
      <c r="W203" s="296">
        <v>1247238</v>
      </c>
      <c r="X203" s="6"/>
      <c r="Y203" s="44">
        <v>0.114</v>
      </c>
      <c r="Z203" s="6"/>
      <c r="AA203" s="297">
        <f t="shared" ref="AA203" si="29">+W202-W203</f>
        <v>-75823</v>
      </c>
      <c r="AB203" s="6"/>
      <c r="AC203" s="301"/>
      <c r="AD203" s="294"/>
    </row>
    <row r="204" spans="15:30" x14ac:dyDescent="0.3">
      <c r="O204" s="110"/>
      <c r="T204" s="293"/>
      <c r="U204" s="295">
        <f t="shared" si="3"/>
        <v>44149</v>
      </c>
      <c r="V204" s="6"/>
      <c r="W204" s="296">
        <v>1286641</v>
      </c>
      <c r="X204" s="6"/>
      <c r="Y204" s="44">
        <v>0.11600000000000001</v>
      </c>
      <c r="Z204" s="6"/>
      <c r="AA204" s="297">
        <f t="shared" ref="AA204" si="30">+W203-W204</f>
        <v>-39403</v>
      </c>
      <c r="AB204" s="6"/>
      <c r="AC204" s="301"/>
      <c r="AD204" s="294"/>
    </row>
    <row r="205" spans="15:30" x14ac:dyDescent="0.3">
      <c r="O205" s="110"/>
      <c r="T205" s="293"/>
      <c r="U205" s="295">
        <f t="shared" si="3"/>
        <v>44150</v>
      </c>
      <c r="V205" s="6"/>
      <c r="W205" s="296">
        <v>1292637</v>
      </c>
      <c r="X205" s="6"/>
      <c r="Y205" s="44">
        <v>0.115</v>
      </c>
      <c r="Z205" s="6"/>
      <c r="AA205" s="297">
        <f t="shared" ref="AA205" si="31">+W204-W205</f>
        <v>-5996</v>
      </c>
      <c r="AB205" s="6"/>
      <c r="AC205" s="301"/>
      <c r="AD205" s="294"/>
    </row>
    <row r="206" spans="15:30" x14ac:dyDescent="0.3">
      <c r="O206" s="110"/>
      <c r="T206" s="293"/>
      <c r="U206" s="295">
        <f t="shared" si="3"/>
        <v>44151</v>
      </c>
      <c r="V206" s="6"/>
      <c r="W206" s="296">
        <v>1386009</v>
      </c>
      <c r="X206" s="6"/>
      <c r="Y206" s="44">
        <v>0.12</v>
      </c>
      <c r="Z206" s="6"/>
      <c r="AA206" s="297">
        <f t="shared" ref="AA206" si="32">+W205-W206</f>
        <v>-93372</v>
      </c>
      <c r="AB206" s="6"/>
      <c r="AC206" s="301"/>
      <c r="AD206" s="294"/>
    </row>
    <row r="207" spans="15:30" x14ac:dyDescent="0.3">
      <c r="O207" s="110"/>
      <c r="T207" s="293"/>
      <c r="U207" s="295">
        <f t="shared" si="3"/>
        <v>44152</v>
      </c>
      <c r="V207" s="6"/>
      <c r="W207" s="296">
        <v>1434502</v>
      </c>
      <c r="X207" s="6"/>
      <c r="Y207" s="44">
        <v>0.122</v>
      </c>
      <c r="Z207" s="6"/>
      <c r="AA207" s="297">
        <f t="shared" ref="AA207" si="33">+W206-W207</f>
        <v>-48493</v>
      </c>
      <c r="AB207" s="6"/>
      <c r="AC207" s="301"/>
      <c r="AD207" s="294"/>
    </row>
    <row r="208" spans="15:30" x14ac:dyDescent="0.3">
      <c r="O208" s="110"/>
      <c r="T208" s="293"/>
      <c r="U208" s="295">
        <f t="shared" si="3"/>
        <v>44153</v>
      </c>
      <c r="V208" s="6"/>
      <c r="W208" s="296">
        <v>1434502</v>
      </c>
      <c r="X208" s="6"/>
      <c r="Y208" s="44">
        <v>0.122</v>
      </c>
      <c r="Z208" s="6"/>
      <c r="AA208" s="297">
        <f t="shared" ref="AA208" si="34">+W207-W208</f>
        <v>0</v>
      </c>
      <c r="AB208" s="6"/>
      <c r="AC208" s="301"/>
      <c r="AD208" s="294"/>
    </row>
    <row r="209" spans="15:30" x14ac:dyDescent="0.3">
      <c r="O209" s="110"/>
      <c r="T209" s="293"/>
      <c r="U209" s="295">
        <f t="shared" si="3"/>
        <v>44154</v>
      </c>
      <c r="V209" s="6"/>
      <c r="W209" s="296">
        <v>1491309</v>
      </c>
      <c r="X209" s="6"/>
      <c r="Y209" s="44">
        <v>0.125</v>
      </c>
      <c r="Z209" s="6"/>
      <c r="AA209" s="297">
        <f t="shared" ref="AA209" si="35">+W208-W209</f>
        <v>-56807</v>
      </c>
      <c r="AB209" s="6"/>
      <c r="AC209" s="301"/>
      <c r="AD209" s="294"/>
    </row>
    <row r="210" spans="15:30" x14ac:dyDescent="0.3">
      <c r="O210" s="110"/>
      <c r="T210" s="293"/>
      <c r="U210" s="295">
        <f t="shared" si="3"/>
        <v>44155</v>
      </c>
      <c r="V210" s="6"/>
      <c r="W210" s="296">
        <v>1552582</v>
      </c>
      <c r="X210" s="6"/>
      <c r="Y210" s="44">
        <v>0.128</v>
      </c>
      <c r="Z210" s="6"/>
      <c r="AA210" s="297">
        <f t="shared" ref="AA210" si="36">+W209-W210</f>
        <v>-61273</v>
      </c>
      <c r="AB210" s="6"/>
      <c r="AC210" s="301"/>
      <c r="AD210" s="294"/>
    </row>
    <row r="211" spans="15:30" x14ac:dyDescent="0.3">
      <c r="O211" s="110"/>
      <c r="T211" s="293"/>
      <c r="U211" s="295">
        <f t="shared" si="3"/>
        <v>44156</v>
      </c>
      <c r="V211" s="6"/>
      <c r="W211" s="296">
        <v>1564338</v>
      </c>
      <c r="X211" s="6"/>
      <c r="Y211" s="44">
        <v>0.127</v>
      </c>
      <c r="Z211" s="6"/>
      <c r="AA211" s="297">
        <f t="shared" ref="AA211" si="37">+W210-W211</f>
        <v>-11756</v>
      </c>
      <c r="AB211" s="6"/>
      <c r="AC211" s="301"/>
      <c r="AD211" s="294"/>
    </row>
    <row r="212" spans="15:30" x14ac:dyDescent="0.3">
      <c r="O212" s="110"/>
      <c r="T212" s="293"/>
      <c r="U212" s="295">
        <f t="shared" si="3"/>
        <v>44157</v>
      </c>
      <c r="V212" s="6"/>
      <c r="W212" s="296">
        <v>1517624</v>
      </c>
      <c r="X212" s="6"/>
      <c r="Y212" s="44">
        <v>0.122</v>
      </c>
      <c r="Z212" s="6"/>
      <c r="AA212" s="297">
        <f t="shared" ref="AA212" si="38">+W211-W212</f>
        <v>46714</v>
      </c>
      <c r="AB212" s="6"/>
      <c r="AC212" s="301"/>
      <c r="AD212" s="294"/>
    </row>
    <row r="213" spans="15:30" x14ac:dyDescent="0.3">
      <c r="O213" s="110"/>
      <c r="T213" s="293"/>
      <c r="U213" s="295">
        <f t="shared" si="3"/>
        <v>44158</v>
      </c>
      <c r="V213" s="6"/>
      <c r="W213" s="296">
        <v>1533231</v>
      </c>
      <c r="X213" s="6"/>
      <c r="Y213" s="44">
        <v>0.121</v>
      </c>
      <c r="Z213" s="6"/>
      <c r="AA213" s="297">
        <f t="shared" ref="AA213" si="39">+W212-W213</f>
        <v>-15607</v>
      </c>
      <c r="AB213" s="6"/>
      <c r="AC213" s="301"/>
      <c r="AD213" s="294"/>
    </row>
    <row r="214" spans="15:30" x14ac:dyDescent="0.3">
      <c r="O214" s="110"/>
      <c r="T214" s="293"/>
      <c r="U214" s="295">
        <f t="shared" si="3"/>
        <v>44159</v>
      </c>
      <c r="V214" s="6"/>
      <c r="W214" s="296">
        <v>1571982</v>
      </c>
      <c r="X214" s="6"/>
      <c r="Y214" s="44">
        <f>+L$36</f>
        <v>0.10884682450961385</v>
      </c>
      <c r="Z214" s="6"/>
      <c r="AA214" s="297">
        <f t="shared" ref="AA214" si="40">+W213-W214</f>
        <v>-38751</v>
      </c>
      <c r="AB214" s="6"/>
      <c r="AC214" s="301"/>
      <c r="AD214" s="294"/>
    </row>
    <row r="215" spans="15:30" x14ac:dyDescent="0.3">
      <c r="O215" s="110"/>
      <c r="T215" s="293"/>
      <c r="U215" s="295">
        <f t="shared" si="3"/>
        <v>44160</v>
      </c>
      <c r="V215" s="6"/>
      <c r="W215" s="296">
        <v>1591295</v>
      </c>
      <c r="X215" s="6"/>
      <c r="Y215" s="44">
        <v>0.123</v>
      </c>
      <c r="Z215" s="6"/>
      <c r="AA215" s="297">
        <f t="shared" ref="AA215" si="41">+W214-W215</f>
        <v>-19313</v>
      </c>
      <c r="AB215" s="6"/>
      <c r="AC215" s="301"/>
      <c r="AD215" s="294"/>
    </row>
    <row r="216" spans="15:30" x14ac:dyDescent="0.3">
      <c r="O216" s="110"/>
      <c r="T216" s="293"/>
      <c r="U216" s="295">
        <f t="shared" si="3"/>
        <v>44161</v>
      </c>
      <c r="V216" s="6"/>
      <c r="W216" s="296">
        <v>1542097</v>
      </c>
      <c r="X216" s="6"/>
      <c r="Y216" s="44">
        <v>0.11799999999999999</v>
      </c>
      <c r="Z216" s="6"/>
      <c r="AA216" s="297">
        <f t="shared" ref="AA216" si="42">+W215-W216</f>
        <v>49198</v>
      </c>
      <c r="AB216" s="6"/>
      <c r="AC216" s="301"/>
      <c r="AD216" s="294"/>
    </row>
    <row r="217" spans="15:30" x14ac:dyDescent="0.3">
      <c r="O217" s="110"/>
      <c r="T217" s="293"/>
      <c r="U217" s="295">
        <f t="shared" si="3"/>
        <v>44162</v>
      </c>
      <c r="V217" s="6"/>
      <c r="W217" s="296">
        <v>1532655</v>
      </c>
      <c r="X217" s="6"/>
      <c r="Y217" s="44">
        <v>0.11600000000000001</v>
      </c>
      <c r="Z217" s="6"/>
      <c r="AA217" s="297">
        <f t="shared" ref="AA217" si="43">+W216-W217</f>
        <v>9442</v>
      </c>
      <c r="AB217" s="6"/>
      <c r="AC217" s="301"/>
      <c r="AD217" s="294"/>
    </row>
    <row r="218" spans="15:30" x14ac:dyDescent="0.3">
      <c r="O218" s="110"/>
      <c r="T218" s="293"/>
      <c r="U218" s="295">
        <f t="shared" si="3"/>
        <v>44163</v>
      </c>
      <c r="V218" s="6"/>
      <c r="W218" s="296">
        <v>1484025</v>
      </c>
      <c r="X218" s="6"/>
      <c r="Y218" s="44">
        <v>0.111</v>
      </c>
      <c r="Z218" s="6"/>
      <c r="AA218" s="297">
        <f t="shared" ref="AA218" si="44">+W217-W218</f>
        <v>48630</v>
      </c>
      <c r="AB218" s="6"/>
      <c r="AC218" s="301"/>
      <c r="AD218" s="294"/>
    </row>
    <row r="219" spans="15:30" x14ac:dyDescent="0.3">
      <c r="O219" s="110"/>
      <c r="T219" s="293"/>
      <c r="U219" s="295">
        <f t="shared" si="3"/>
        <v>44164</v>
      </c>
      <c r="V219" s="6"/>
      <c r="W219" s="296">
        <v>1418209</v>
      </c>
      <c r="X219" s="6"/>
      <c r="Y219" s="44">
        <v>0.105</v>
      </c>
      <c r="Z219" s="6"/>
      <c r="AA219" s="297">
        <f t="shared" ref="AA219" si="45">+W218-W219</f>
        <v>65816</v>
      </c>
      <c r="AB219" s="6"/>
      <c r="AC219" s="301"/>
      <c r="AD219" s="294"/>
    </row>
    <row r="220" spans="15:30" x14ac:dyDescent="0.3">
      <c r="O220" s="110"/>
      <c r="T220" s="293"/>
      <c r="U220" s="295">
        <f t="shared" si="3"/>
        <v>44165</v>
      </c>
      <c r="V220" s="6"/>
      <c r="W220" s="296">
        <v>1407423</v>
      </c>
      <c r="X220" s="6"/>
      <c r="Y220" s="44">
        <v>0.10299999999999999</v>
      </c>
      <c r="Z220" s="6"/>
      <c r="AA220" s="297">
        <f t="shared" ref="AA220" si="46">+W219-W220</f>
        <v>10786</v>
      </c>
      <c r="AB220" s="6"/>
      <c r="AC220" s="301"/>
      <c r="AD220" s="294"/>
    </row>
    <row r="221" spans="15:30" x14ac:dyDescent="0.3">
      <c r="O221" s="110"/>
      <c r="T221" s="293"/>
      <c r="U221" s="295">
        <f t="shared" si="3"/>
        <v>44166</v>
      </c>
      <c r="V221" s="6"/>
      <c r="W221" s="296">
        <v>1453487</v>
      </c>
      <c r="X221" s="6"/>
      <c r="Y221" s="44">
        <v>0.105</v>
      </c>
      <c r="Z221" s="6"/>
      <c r="AA221" s="297">
        <f t="shared" ref="AA221" si="47">+W220-W221</f>
        <v>-46064</v>
      </c>
      <c r="AB221" s="6"/>
      <c r="AC221" s="301"/>
      <c r="AD221" s="294"/>
    </row>
    <row r="222" spans="15:30" x14ac:dyDescent="0.3">
      <c r="O222" s="110"/>
      <c r="T222" s="293"/>
      <c r="U222" s="295">
        <f t="shared" si="3"/>
        <v>44167</v>
      </c>
      <c r="V222" s="6"/>
      <c r="W222" s="296">
        <v>1485389</v>
      </c>
      <c r="X222" s="6"/>
      <c r="Y222" s="44">
        <v>0.105</v>
      </c>
      <c r="Z222" s="6"/>
      <c r="AA222" s="297">
        <f t="shared" ref="AA222" si="48">+W221-W222</f>
        <v>-31902</v>
      </c>
      <c r="AB222" s="6"/>
      <c r="AC222" s="301"/>
      <c r="AD222" s="294"/>
    </row>
    <row r="223" spans="15:30" x14ac:dyDescent="0.3">
      <c r="O223" s="110"/>
      <c r="T223" s="293"/>
      <c r="U223" s="295">
        <f t="shared" si="3"/>
        <v>44168</v>
      </c>
      <c r="V223" s="6"/>
      <c r="W223" s="296">
        <v>1526892</v>
      </c>
      <c r="X223" s="6"/>
      <c r="Y223" s="44">
        <v>0.107</v>
      </c>
      <c r="Z223" s="6"/>
      <c r="AA223" s="297">
        <f t="shared" ref="AA223" si="49">+W222-W223</f>
        <v>-41503</v>
      </c>
      <c r="AB223" s="6"/>
      <c r="AC223" s="301"/>
      <c r="AD223" s="294"/>
    </row>
    <row r="224" spans="15:30" x14ac:dyDescent="0.3">
      <c r="O224" s="110"/>
      <c r="T224" s="293"/>
      <c r="U224" s="295">
        <f t="shared" si="3"/>
        <v>44169</v>
      </c>
      <c r="V224" s="6"/>
      <c r="W224" s="296">
        <v>1581218</v>
      </c>
      <c r="X224" s="6"/>
      <c r="Y224" s="44">
        <v>0.109</v>
      </c>
      <c r="Z224" s="6"/>
      <c r="AA224" s="297">
        <f t="shared" ref="AA224" si="50">+W223-W224</f>
        <v>-54326</v>
      </c>
      <c r="AB224" s="6"/>
      <c r="AC224" s="301"/>
      <c r="AD224" s="294"/>
    </row>
    <row r="225" spans="15:30" x14ac:dyDescent="0.3">
      <c r="O225" s="110"/>
      <c r="T225" s="293"/>
      <c r="U225" s="295">
        <f t="shared" si="3"/>
        <v>44170</v>
      </c>
      <c r="V225" s="6"/>
      <c r="W225" s="296">
        <v>1685743</v>
      </c>
      <c r="X225" s="6"/>
      <c r="Y225" s="44">
        <v>0.114</v>
      </c>
      <c r="Z225" s="6"/>
      <c r="AA225" s="297">
        <f t="shared" ref="AA225" si="51">+W224-W225</f>
        <v>-104525</v>
      </c>
      <c r="AB225" s="6"/>
      <c r="AC225" s="301"/>
      <c r="AD225" s="294"/>
    </row>
    <row r="226" spans="15:30" x14ac:dyDescent="0.3">
      <c r="O226" s="110"/>
      <c r="T226" s="293"/>
      <c r="U226" s="295">
        <f t="shared" si="3"/>
        <v>44171</v>
      </c>
      <c r="V226" s="6"/>
      <c r="W226" s="296">
        <v>1704700</v>
      </c>
      <c r="X226" s="6"/>
      <c r="Y226" s="44">
        <v>0.114</v>
      </c>
      <c r="Z226" s="6"/>
      <c r="AA226" s="297">
        <f t="shared" ref="AA226" si="52">+W225-W226</f>
        <v>-18957</v>
      </c>
      <c r="AB226" s="6"/>
      <c r="AC226" s="301"/>
      <c r="AD226" s="294"/>
    </row>
    <row r="227" spans="15:30" x14ac:dyDescent="0.3">
      <c r="O227" s="110"/>
      <c r="T227" s="293"/>
      <c r="U227" s="295">
        <f t="shared" si="3"/>
        <v>44172</v>
      </c>
      <c r="V227" s="6"/>
      <c r="W227" s="296">
        <v>1761419</v>
      </c>
      <c r="X227" s="6"/>
      <c r="Y227" s="44">
        <v>0.11600000000000001</v>
      </c>
      <c r="Z227" s="6"/>
      <c r="AA227" s="297">
        <f t="shared" ref="AA227" si="53">+W226-W227</f>
        <v>-56719</v>
      </c>
      <c r="AB227" s="6"/>
      <c r="AC227" s="301"/>
      <c r="AD227" s="294"/>
    </row>
    <row r="228" spans="15:30" x14ac:dyDescent="0.3">
      <c r="O228" s="110"/>
      <c r="T228" s="293"/>
      <c r="U228" s="295">
        <f t="shared" si="3"/>
        <v>44173</v>
      </c>
      <c r="V228" s="6"/>
      <c r="W228" s="296">
        <v>1833392</v>
      </c>
      <c r="X228" s="6"/>
      <c r="Y228" s="44">
        <v>0.11899999999999999</v>
      </c>
      <c r="Z228" s="6"/>
      <c r="AA228" s="297">
        <f t="shared" ref="AA228" si="54">+W227-W228</f>
        <v>-71973</v>
      </c>
      <c r="AB228" s="6"/>
      <c r="AC228" s="301"/>
      <c r="AD228" s="294"/>
    </row>
    <row r="229" spans="15:30" x14ac:dyDescent="0.3">
      <c r="O229" s="110"/>
      <c r="T229" s="293"/>
      <c r="U229" s="295">
        <f t="shared" si="3"/>
        <v>44174</v>
      </c>
      <c r="V229" s="6"/>
      <c r="W229" s="296">
        <v>1899246</v>
      </c>
      <c r="X229" s="6"/>
      <c r="Y229" s="44">
        <v>0.122</v>
      </c>
      <c r="Z229" s="6"/>
      <c r="AA229" s="297">
        <f t="shared" ref="AA229" si="55">+W228-W229</f>
        <v>-65854</v>
      </c>
      <c r="AB229" s="6"/>
      <c r="AC229" s="301"/>
      <c r="AD229" s="294"/>
    </row>
    <row r="230" spans="15:30" x14ac:dyDescent="0.3">
      <c r="O230" s="110"/>
      <c r="T230" s="293"/>
      <c r="U230" s="295">
        <f t="shared" si="3"/>
        <v>44175</v>
      </c>
      <c r="V230" s="6"/>
      <c r="W230" s="296">
        <v>1944307</v>
      </c>
      <c r="X230" s="6"/>
      <c r="Y230" s="44">
        <v>0.123</v>
      </c>
      <c r="Z230" s="6"/>
      <c r="AA230" s="297">
        <f t="shared" ref="AA230" si="56">+W229-W230</f>
        <v>-45061</v>
      </c>
      <c r="AB230" s="6"/>
      <c r="AC230" s="301"/>
      <c r="AD230" s="294"/>
    </row>
    <row r="231" spans="15:30" x14ac:dyDescent="0.3">
      <c r="O231" s="110"/>
      <c r="T231" s="293"/>
      <c r="U231" s="295">
        <f t="shared" si="3"/>
        <v>44176</v>
      </c>
      <c r="V231" s="6"/>
      <c r="W231" s="296">
        <v>1987303</v>
      </c>
      <c r="X231" s="6"/>
      <c r="Y231" s="44">
        <v>0.124</v>
      </c>
      <c r="Z231" s="6"/>
      <c r="AA231" s="297">
        <f t="shared" ref="AA231" si="57">+W230-W231</f>
        <v>-42996</v>
      </c>
      <c r="AB231" s="6"/>
      <c r="AC231" s="301"/>
      <c r="AD231" s="294"/>
    </row>
    <row r="232" spans="15:30" x14ac:dyDescent="0.3">
      <c r="O232" s="110"/>
      <c r="T232" s="293"/>
      <c r="U232" s="295">
        <f t="shared" si="3"/>
        <v>44177</v>
      </c>
      <c r="V232" s="6"/>
      <c r="W232" s="296">
        <v>1989224</v>
      </c>
      <c r="X232" s="6"/>
      <c r="Y232" s="44">
        <v>0.122</v>
      </c>
      <c r="Z232" s="6"/>
      <c r="AA232" s="297">
        <f t="shared" ref="AA232" si="58">+W231-W232</f>
        <v>-1921</v>
      </c>
      <c r="AB232" s="6"/>
      <c r="AC232" s="301"/>
      <c r="AD232" s="294"/>
    </row>
    <row r="233" spans="15:30" x14ac:dyDescent="0.3">
      <c r="O233" s="110"/>
      <c r="T233" s="293"/>
      <c r="U233" s="295">
        <f t="shared" si="3"/>
        <v>44178</v>
      </c>
      <c r="V233" s="6"/>
      <c r="W233" s="296">
        <v>1941941</v>
      </c>
      <c r="X233" s="6"/>
      <c r="Y233" s="44">
        <v>0.11799999999999999</v>
      </c>
      <c r="Z233" s="6"/>
      <c r="AA233" s="297">
        <f t="shared" ref="AA233" si="59">+W232-W233</f>
        <v>47283</v>
      </c>
      <c r="AB233" s="6"/>
      <c r="AC233" s="301"/>
      <c r="AD233" s="294"/>
    </row>
    <row r="234" spans="15:30" x14ac:dyDescent="0.3">
      <c r="O234" s="110"/>
      <c r="T234" s="293"/>
      <c r="U234" s="295">
        <f t="shared" si="3"/>
        <v>44179</v>
      </c>
      <c r="V234" s="6"/>
      <c r="W234" s="296">
        <v>1929441</v>
      </c>
      <c r="X234" s="6"/>
      <c r="Y234" s="44">
        <v>0.11600000000000001</v>
      </c>
      <c r="Z234" s="6"/>
      <c r="AA234" s="297">
        <f t="shared" ref="AA234" si="60">+W233-W234</f>
        <v>12500</v>
      </c>
      <c r="AB234" s="6"/>
      <c r="AC234" s="301"/>
      <c r="AD234" s="294"/>
    </row>
    <row r="235" spans="15:30" x14ac:dyDescent="0.3">
      <c r="O235" s="110"/>
      <c r="T235" s="293"/>
      <c r="U235" s="295">
        <f t="shared" si="3"/>
        <v>44180</v>
      </c>
      <c r="V235" s="6"/>
      <c r="W235" s="296">
        <v>1947140</v>
      </c>
      <c r="X235" s="6"/>
      <c r="Y235" s="44">
        <v>0.11600000000000001</v>
      </c>
      <c r="Z235" s="6"/>
      <c r="AA235" s="297">
        <f t="shared" ref="AA235" si="61">+W234-W235</f>
        <v>-17699</v>
      </c>
      <c r="AB235" s="6"/>
      <c r="AC235" s="301"/>
      <c r="AD235" s="294"/>
    </row>
    <row r="236" spans="15:30" x14ac:dyDescent="0.3">
      <c r="O236" s="110"/>
      <c r="T236" s="293"/>
      <c r="U236" s="295">
        <f t="shared" si="3"/>
        <v>44181</v>
      </c>
      <c r="V236" s="6"/>
      <c r="W236" s="296">
        <v>1997228</v>
      </c>
      <c r="X236" s="6"/>
      <c r="Y236" s="44">
        <v>0.11700000000000001</v>
      </c>
      <c r="Z236" s="6"/>
      <c r="AA236" s="297">
        <f t="shared" ref="AA236" si="62">+W235-W236</f>
        <v>-50088</v>
      </c>
      <c r="AB236" s="6"/>
      <c r="AC236" s="301"/>
      <c r="AD236" s="294"/>
    </row>
    <row r="237" spans="15:30" x14ac:dyDescent="0.3">
      <c r="O237" s="110"/>
      <c r="T237" s="293"/>
      <c r="U237" s="295">
        <f t="shared" si="3"/>
        <v>44182</v>
      </c>
      <c r="V237" s="6"/>
      <c r="W237" s="296">
        <v>2025245</v>
      </c>
      <c r="X237" s="6"/>
      <c r="Y237" s="44">
        <v>0.11700000000000001</v>
      </c>
      <c r="Z237" s="6"/>
      <c r="AA237" s="297">
        <f t="shared" ref="AA237" si="63">+W236-W237</f>
        <v>-28017</v>
      </c>
      <c r="AB237" s="6"/>
      <c r="AC237" s="301"/>
      <c r="AD237" s="294"/>
    </row>
    <row r="238" spans="15:30" x14ac:dyDescent="0.3">
      <c r="O238" s="110"/>
      <c r="T238" s="293"/>
      <c r="U238" s="295">
        <f t="shared" si="3"/>
        <v>44183</v>
      </c>
      <c r="V238" s="6"/>
      <c r="W238" s="296">
        <v>2052777</v>
      </c>
      <c r="X238" s="6"/>
      <c r="Y238" s="44">
        <v>0.11700000000000001</v>
      </c>
      <c r="Z238" s="6"/>
      <c r="AA238" s="297">
        <f t="shared" ref="AA238" si="64">+W237-W238</f>
        <v>-27532</v>
      </c>
      <c r="AB238" s="6"/>
      <c r="AC238" s="301"/>
      <c r="AD238" s="294"/>
    </row>
    <row r="239" spans="15:30" x14ac:dyDescent="0.3">
      <c r="O239" s="110"/>
      <c r="T239" s="293"/>
      <c r="U239" s="295">
        <f t="shared" si="3"/>
        <v>44184</v>
      </c>
      <c r="V239" s="6"/>
      <c r="W239" s="296">
        <v>2015065</v>
      </c>
      <c r="X239" s="6"/>
      <c r="Y239" s="44">
        <v>0.113</v>
      </c>
      <c r="Z239" s="6"/>
      <c r="AA239" s="297">
        <f t="shared" ref="AA239" si="65">+W238-W239</f>
        <v>37712</v>
      </c>
      <c r="AB239" s="6"/>
      <c r="AC239" s="301"/>
      <c r="AD239" s="294"/>
    </row>
    <row r="240" spans="15:30" x14ac:dyDescent="0.3">
      <c r="O240" s="110"/>
      <c r="T240" s="293"/>
      <c r="U240" s="295">
        <f t="shared" si="3"/>
        <v>44185</v>
      </c>
      <c r="V240" s="6"/>
      <c r="W240" s="296">
        <f>+I$36</f>
        <v>1956618</v>
      </c>
      <c r="X240" s="6"/>
      <c r="Y240" s="44">
        <f>+L$36</f>
        <v>0.10884682450961385</v>
      </c>
      <c r="Z240" s="6"/>
      <c r="AA240" s="297">
        <f t="shared" ref="AA240" si="66">+W239-W240</f>
        <v>58447</v>
      </c>
      <c r="AB240" s="6"/>
      <c r="AC240" s="301"/>
      <c r="AD240" s="294"/>
    </row>
    <row r="241" spans="5:36" x14ac:dyDescent="0.3">
      <c r="O241" s="110"/>
      <c r="T241" s="293"/>
      <c r="U241" s="295">
        <f t="shared" si="3"/>
        <v>44186</v>
      </c>
      <c r="V241" s="6"/>
      <c r="W241" s="296"/>
      <c r="X241" s="6"/>
      <c r="Y241" s="44"/>
      <c r="Z241" s="6"/>
      <c r="AA241" s="297"/>
      <c r="AB241" s="6"/>
      <c r="AC241" s="301"/>
      <c r="AD241" s="294"/>
    </row>
    <row r="242" spans="5:36" x14ac:dyDescent="0.3">
      <c r="O242" s="110"/>
      <c r="T242" s="293"/>
      <c r="U242" s="295">
        <f t="shared" si="3"/>
        <v>44187</v>
      </c>
      <c r="V242" s="6"/>
      <c r="W242" s="296"/>
      <c r="X242" s="6"/>
      <c r="Y242" s="44"/>
      <c r="Z242" s="6"/>
      <c r="AA242" s="297"/>
      <c r="AB242" s="6"/>
      <c r="AC242" s="301"/>
      <c r="AD242" s="294"/>
    </row>
    <row r="243" spans="5:36" x14ac:dyDescent="0.3">
      <c r="O243" s="110"/>
      <c r="T243" s="293"/>
      <c r="U243" s="295">
        <f t="shared" si="3"/>
        <v>44188</v>
      </c>
      <c r="V243" s="6"/>
      <c r="W243" s="296"/>
      <c r="X243" s="6"/>
      <c r="Y243" s="44"/>
      <c r="Z243" s="6"/>
      <c r="AA243" s="297"/>
      <c r="AB243" s="6"/>
      <c r="AC243" s="301"/>
      <c r="AD243" s="294"/>
    </row>
    <row r="244" spans="5:36" x14ac:dyDescent="0.3">
      <c r="O244" s="110"/>
      <c r="T244" s="293"/>
      <c r="U244" s="295">
        <f t="shared" si="3"/>
        <v>44189</v>
      </c>
      <c r="V244" s="6"/>
      <c r="W244" s="296"/>
      <c r="X244" s="6"/>
      <c r="Y244" s="44"/>
      <c r="Z244" s="6"/>
      <c r="AA244" s="297"/>
      <c r="AB244" s="6"/>
      <c r="AC244" s="301"/>
      <c r="AD244" s="294"/>
    </row>
    <row r="245" spans="5:36" x14ac:dyDescent="0.3">
      <c r="O245" s="110"/>
      <c r="T245" s="293"/>
      <c r="U245" s="295">
        <f t="shared" si="3"/>
        <v>44190</v>
      </c>
      <c r="V245" s="6"/>
      <c r="W245" s="296"/>
      <c r="X245" s="6"/>
      <c r="Y245" s="44"/>
      <c r="Z245" s="6"/>
      <c r="AA245" s="297"/>
      <c r="AB245" s="6"/>
      <c r="AC245" s="301"/>
      <c r="AD245" s="294"/>
    </row>
    <row r="246" spans="5:36" x14ac:dyDescent="0.3">
      <c r="O246" s="110"/>
      <c r="T246" s="293"/>
      <c r="U246" s="295">
        <f t="shared" si="3"/>
        <v>44191</v>
      </c>
      <c r="V246" s="6"/>
      <c r="W246" s="296"/>
      <c r="X246" s="6"/>
      <c r="Y246" s="44"/>
      <c r="Z246" s="6"/>
      <c r="AA246" s="297"/>
      <c r="AB246" s="6"/>
      <c r="AC246" s="301"/>
      <c r="AD246" s="294"/>
    </row>
    <row r="247" spans="5:36" ht="15" thickBot="1" x14ac:dyDescent="0.35">
      <c r="O247" s="110"/>
      <c r="T247" s="298"/>
      <c r="U247" s="393">
        <f t="shared" si="3"/>
        <v>44192</v>
      </c>
      <c r="V247" s="290"/>
      <c r="W247" s="394"/>
      <c r="X247" s="290"/>
      <c r="Y247" s="299"/>
      <c r="Z247" s="290"/>
      <c r="AA247" s="395"/>
      <c r="AB247" s="290"/>
      <c r="AC247" s="396"/>
      <c r="AD247" s="300"/>
    </row>
    <row r="248" spans="5:36" x14ac:dyDescent="0.3">
      <c r="O248" s="110"/>
    </row>
    <row r="249" spans="5:36" x14ac:dyDescent="0.3">
      <c r="O249" s="110"/>
      <c r="P249" s="57"/>
      <c r="Q249" s="57"/>
      <c r="R249" s="57"/>
    </row>
    <row r="250" spans="5:36" x14ac:dyDescent="0.3">
      <c r="O250" s="110"/>
    </row>
    <row r="251" spans="5:36" ht="15" thickBot="1" x14ac:dyDescent="0.35">
      <c r="O251" s="110"/>
    </row>
    <row r="252" spans="5:36" ht="15.6" thickTop="1" thickBot="1" x14ac:dyDescent="0.35">
      <c r="Q252" s="484"/>
      <c r="R252" s="485"/>
      <c r="S252" s="485"/>
      <c r="T252" s="485"/>
      <c r="U252" s="485"/>
      <c r="V252" s="485"/>
      <c r="W252" s="485"/>
      <c r="X252" s="485"/>
      <c r="Y252" s="485"/>
      <c r="Z252" s="485"/>
      <c r="AA252" s="485"/>
      <c r="AB252" s="486"/>
    </row>
    <row r="253" spans="5:36" ht="15" thickBot="1" x14ac:dyDescent="0.35">
      <c r="E253" s="678" t="s">
        <v>119</v>
      </c>
      <c r="F253" s="679"/>
      <c r="G253" s="679"/>
      <c r="H253" s="679"/>
      <c r="I253" s="679"/>
      <c r="J253" s="679"/>
      <c r="K253" s="679"/>
      <c r="L253" s="679"/>
      <c r="M253" s="680"/>
      <c r="Q253" s="487"/>
      <c r="R253" s="6"/>
      <c r="S253" s="6"/>
      <c r="T253" s="6"/>
      <c r="U253" s="5" t="s">
        <v>145</v>
      </c>
      <c r="V253" s="5"/>
      <c r="W253" s="5"/>
      <c r="X253" s="5"/>
      <c r="Y253" s="5"/>
      <c r="Z253" s="5"/>
      <c r="AA253" s="5" t="s">
        <v>30</v>
      </c>
      <c r="AB253" s="488"/>
    </row>
    <row r="254" spans="5:36" x14ac:dyDescent="0.3">
      <c r="E254" s="438"/>
      <c r="F254" s="439" t="s">
        <v>120</v>
      </c>
      <c r="G254" s="439"/>
      <c r="H254" s="439"/>
      <c r="I254" s="681">
        <v>21477737</v>
      </c>
      <c r="J254" s="681"/>
      <c r="K254" s="681"/>
      <c r="L254" s="681"/>
      <c r="M254" s="440"/>
      <c r="Q254" s="487"/>
      <c r="R254" s="480" t="s">
        <v>147</v>
      </c>
      <c r="S254" s="6"/>
      <c r="T254" s="6"/>
      <c r="U254" s="480" t="s">
        <v>146</v>
      </c>
      <c r="V254" s="5"/>
      <c r="W254" s="480" t="s">
        <v>20</v>
      </c>
      <c r="X254" s="5"/>
      <c r="Y254" s="480" t="s">
        <v>4</v>
      </c>
      <c r="Z254" s="5"/>
      <c r="AA254" s="489" t="s">
        <v>144</v>
      </c>
      <c r="AB254" s="488"/>
    </row>
    <row r="255" spans="5:36" x14ac:dyDescent="0.3">
      <c r="E255" s="438"/>
      <c r="F255" s="439" t="s">
        <v>110</v>
      </c>
      <c r="G255" s="439"/>
      <c r="H255" s="439"/>
      <c r="I255" s="439"/>
      <c r="J255" s="439"/>
      <c r="K255" s="439"/>
      <c r="L255" s="441">
        <f>+I267/I254</f>
        <v>4.5847474526762295E-4</v>
      </c>
      <c r="M255" s="440"/>
      <c r="Q255" s="487"/>
      <c r="R255" s="6" t="s">
        <v>134</v>
      </c>
      <c r="S255" s="6"/>
      <c r="T255" s="6"/>
      <c r="U255" s="7">
        <v>2003</v>
      </c>
      <c r="V255" s="6"/>
      <c r="W255" s="7">
        <v>389666</v>
      </c>
      <c r="X255" s="6"/>
      <c r="Y255" s="7">
        <v>31257</v>
      </c>
      <c r="Z255" s="6"/>
      <c r="AA255" s="296">
        <f>+AJ255</f>
        <v>19500</v>
      </c>
      <c r="AB255" s="488"/>
      <c r="AJ255" s="1">
        <v>19500</v>
      </c>
    </row>
    <row r="256" spans="5:36" x14ac:dyDescent="0.3">
      <c r="E256" s="438"/>
      <c r="F256" s="682" t="s">
        <v>108</v>
      </c>
      <c r="G256" s="682"/>
      <c r="H256" s="439"/>
      <c r="I256" s="439"/>
      <c r="J256" s="439"/>
      <c r="K256" s="439"/>
      <c r="L256" s="442">
        <f>+I267/(I254/100000)</f>
        <v>45.847474526762298</v>
      </c>
      <c r="M256" s="440"/>
      <c r="Q256" s="487"/>
      <c r="R256" s="6" t="s">
        <v>135</v>
      </c>
      <c r="S256" s="6"/>
      <c r="T256" s="6"/>
      <c r="U256" s="7">
        <v>1913</v>
      </c>
      <c r="V256" s="6"/>
      <c r="W256" s="7">
        <v>169892</v>
      </c>
      <c r="X256" s="6"/>
      <c r="Y256" s="7">
        <v>13076</v>
      </c>
      <c r="Z256" s="6"/>
      <c r="AA256" s="296">
        <f t="shared" ref="AA256:AA264" si="67">+AJ256</f>
        <v>8900</v>
      </c>
      <c r="AB256" s="488"/>
      <c r="AJ256" s="1">
        <v>8900</v>
      </c>
    </row>
    <row r="257" spans="4:36" x14ac:dyDescent="0.3">
      <c r="E257" s="438"/>
      <c r="F257" s="443"/>
      <c r="G257" s="443"/>
      <c r="H257" s="439"/>
      <c r="I257" s="439"/>
      <c r="J257" s="439"/>
      <c r="K257" s="439"/>
      <c r="L257" s="442"/>
      <c r="M257" s="440"/>
      <c r="Q257" s="487"/>
      <c r="R257" s="6" t="s">
        <v>136</v>
      </c>
      <c r="S257" s="6"/>
      <c r="T257" s="6"/>
      <c r="U257" s="7">
        <v>1568</v>
      </c>
      <c r="V257" s="6"/>
      <c r="W257" s="7">
        <v>16606</v>
      </c>
      <c r="X257" s="6"/>
      <c r="Y257" s="7">
        <v>912</v>
      </c>
      <c r="Z257" s="6"/>
      <c r="AA257" s="296">
        <f t="shared" si="67"/>
        <v>1100</v>
      </c>
      <c r="AB257" s="488"/>
      <c r="AJ257" s="1">
        <v>1100</v>
      </c>
    </row>
    <row r="258" spans="4:36" x14ac:dyDescent="0.3">
      <c r="E258" s="438"/>
      <c r="F258" s="443" t="s">
        <v>121</v>
      </c>
      <c r="G258" s="443"/>
      <c r="H258" s="682" t="s">
        <v>122</v>
      </c>
      <c r="I258" s="682"/>
      <c r="J258" s="439"/>
      <c r="K258" s="439"/>
      <c r="L258" s="442"/>
      <c r="M258" s="440"/>
      <c r="Q258" s="487"/>
      <c r="R258" s="6" t="s">
        <v>58</v>
      </c>
      <c r="S258" s="6"/>
      <c r="T258" s="6"/>
      <c r="U258" s="7">
        <v>1561</v>
      </c>
      <c r="V258" s="6"/>
      <c r="W258" s="7">
        <v>107611</v>
      </c>
      <c r="X258" s="6"/>
      <c r="Y258" s="7">
        <v>7937</v>
      </c>
      <c r="Z258" s="6"/>
      <c r="AA258" s="296">
        <f t="shared" si="67"/>
        <v>7000</v>
      </c>
      <c r="AB258" s="488"/>
      <c r="AJ258" s="1">
        <v>7000</v>
      </c>
    </row>
    <row r="259" spans="4:36" ht="15" thickBot="1" x14ac:dyDescent="0.35">
      <c r="E259" s="444"/>
      <c r="F259" s="445"/>
      <c r="G259" s="445"/>
      <c r="H259" s="445"/>
      <c r="I259" s="445"/>
      <c r="J259" s="445"/>
      <c r="K259" s="445"/>
      <c r="L259" s="445"/>
      <c r="M259" s="446"/>
      <c r="Q259" s="487"/>
      <c r="R259" s="6" t="s">
        <v>141</v>
      </c>
      <c r="S259" s="6"/>
      <c r="T259" s="6"/>
      <c r="U259" s="7">
        <v>1435</v>
      </c>
      <c r="V259" s="6"/>
      <c r="W259" s="7">
        <v>10128</v>
      </c>
      <c r="X259" s="6"/>
      <c r="Y259" s="7">
        <v>541</v>
      </c>
      <c r="Z259" s="6"/>
      <c r="AA259" s="296">
        <f t="shared" si="67"/>
        <v>700</v>
      </c>
      <c r="AB259" s="488"/>
      <c r="AJ259" s="1">
        <v>700</v>
      </c>
    </row>
    <row r="260" spans="4:36" x14ac:dyDescent="0.3">
      <c r="Q260" s="487"/>
      <c r="R260" s="6" t="s">
        <v>137</v>
      </c>
      <c r="S260" s="6"/>
      <c r="T260" s="6"/>
      <c r="U260" s="7">
        <v>1288</v>
      </c>
      <c r="V260" s="6"/>
      <c r="W260" s="7">
        <v>45913</v>
      </c>
      <c r="X260" s="6"/>
      <c r="Y260" s="7">
        <v>4287</v>
      </c>
      <c r="Z260" s="6"/>
      <c r="AA260" s="296">
        <f t="shared" si="67"/>
        <v>3600</v>
      </c>
      <c r="AB260" s="488"/>
      <c r="AJ260" s="1">
        <v>3600</v>
      </c>
    </row>
    <row r="261" spans="4:36" ht="15" thickBot="1" x14ac:dyDescent="0.35">
      <c r="D261" s="90"/>
      <c r="E261" s="151"/>
      <c r="F261" s="151"/>
      <c r="G261" s="151"/>
      <c r="H261" s="151"/>
      <c r="I261" s="353"/>
      <c r="J261" s="90"/>
      <c r="K261" s="110"/>
      <c r="L261" s="110"/>
      <c r="M261" s="110"/>
      <c r="N261" s="110"/>
      <c r="Q261" s="487"/>
      <c r="R261" s="6" t="s">
        <v>142</v>
      </c>
      <c r="S261" s="6"/>
      <c r="T261" s="6"/>
      <c r="U261" s="7">
        <v>1129</v>
      </c>
      <c r="V261" s="6"/>
      <c r="W261" s="7">
        <v>52477</v>
      </c>
      <c r="X261" s="6"/>
      <c r="Y261" s="7">
        <v>3152</v>
      </c>
      <c r="Z261" s="6"/>
      <c r="AA261" s="296">
        <f t="shared" si="67"/>
        <v>4600</v>
      </c>
      <c r="AB261" s="488"/>
      <c r="AJ261" s="1">
        <v>4600</v>
      </c>
    </row>
    <row r="262" spans="4:36" ht="16.2" thickBot="1" x14ac:dyDescent="0.35">
      <c r="D262" s="424"/>
      <c r="E262" s="683" t="s">
        <v>132</v>
      </c>
      <c r="F262" s="684"/>
      <c r="G262" s="684"/>
      <c r="H262" s="684"/>
      <c r="I262" s="684"/>
      <c r="J262" s="685"/>
      <c r="K262" s="425"/>
      <c r="L262" s="437" t="s">
        <v>10</v>
      </c>
      <c r="M262" s="426"/>
      <c r="N262" s="110"/>
      <c r="Q262" s="487"/>
      <c r="R262" s="6" t="s">
        <v>138</v>
      </c>
      <c r="S262" s="6"/>
      <c r="T262" s="6"/>
      <c r="U262" s="7">
        <v>1118</v>
      </c>
      <c r="V262" s="6"/>
      <c r="W262" s="7">
        <v>10889</v>
      </c>
      <c r="X262" s="6"/>
      <c r="Y262" s="7">
        <v>505</v>
      </c>
      <c r="Z262" s="6"/>
      <c r="AA262" s="296">
        <f t="shared" si="67"/>
        <v>980</v>
      </c>
      <c r="AB262" s="488"/>
      <c r="AJ262" s="1">
        <v>980</v>
      </c>
    </row>
    <row r="263" spans="4:36" x14ac:dyDescent="0.3">
      <c r="D263" s="403"/>
      <c r="E263" s="427" t="s">
        <v>88</v>
      </c>
      <c r="F263" s="16"/>
      <c r="G263" s="16"/>
      <c r="H263" s="16"/>
      <c r="I263" s="686">
        <f>+K81</f>
        <v>48675</v>
      </c>
      <c r="J263" s="686"/>
      <c r="K263" s="16"/>
      <c r="L263" s="60">
        <f>+I263/$I$263</f>
        <v>1</v>
      </c>
      <c r="M263" s="428"/>
      <c r="N263" s="110"/>
      <c r="Q263" s="487"/>
      <c r="R263" s="6" t="s">
        <v>139</v>
      </c>
      <c r="S263" s="6"/>
      <c r="T263" s="6"/>
      <c r="U263" s="7">
        <v>1093</v>
      </c>
      <c r="V263" s="6"/>
      <c r="W263" s="7">
        <v>138546</v>
      </c>
      <c r="X263" s="6"/>
      <c r="Y263" s="7">
        <v>6770</v>
      </c>
      <c r="Z263" s="6"/>
      <c r="AA263" s="296">
        <f t="shared" si="67"/>
        <v>12700</v>
      </c>
      <c r="AB263" s="488"/>
      <c r="AJ263" s="1">
        <v>12700</v>
      </c>
    </row>
    <row r="264" spans="4:36" x14ac:dyDescent="0.3">
      <c r="D264" s="403"/>
      <c r="E264" s="427"/>
      <c r="F264" s="16"/>
      <c r="G264" s="16"/>
      <c r="H264" s="16"/>
      <c r="I264" s="16"/>
      <c r="J264" s="16"/>
      <c r="K264" s="16"/>
      <c r="L264" s="16"/>
      <c r="M264" s="428"/>
      <c r="N264" s="110"/>
      <c r="Q264" s="487"/>
      <c r="R264" s="6" t="s">
        <v>140</v>
      </c>
      <c r="S264" s="6"/>
      <c r="T264" s="6"/>
      <c r="U264" s="490">
        <v>1081</v>
      </c>
      <c r="V264" s="6"/>
      <c r="W264" s="490">
        <v>65337</v>
      </c>
      <c r="X264" s="6"/>
      <c r="Y264" s="490">
        <v>3108</v>
      </c>
      <c r="Z264" s="6"/>
      <c r="AA264" s="491">
        <f t="shared" si="67"/>
        <v>6100</v>
      </c>
      <c r="AB264" s="488"/>
      <c r="AJ264" s="482">
        <v>6100</v>
      </c>
    </row>
    <row r="265" spans="4:36" x14ac:dyDescent="0.3">
      <c r="D265" s="415"/>
      <c r="E265" s="15"/>
      <c r="F265" s="429" t="s">
        <v>113</v>
      </c>
      <c r="G265" s="429"/>
      <c r="H265" s="15"/>
      <c r="I265" s="687">
        <f>+I81</f>
        <v>36684</v>
      </c>
      <c r="J265" s="688"/>
      <c r="K265" s="15"/>
      <c r="L265" s="60">
        <f>+I265/$I$263</f>
        <v>0.75365177195685673</v>
      </c>
      <c r="M265" s="408"/>
      <c r="N265" s="110"/>
      <c r="Q265" s="487"/>
      <c r="R265" s="5" t="s">
        <v>33</v>
      </c>
      <c r="S265" s="6"/>
      <c r="T265" s="6"/>
      <c r="U265" s="296">
        <f>+W265/(AA265/100)</f>
        <v>1545.0521632402579</v>
      </c>
      <c r="V265" s="6"/>
      <c r="W265" s="296">
        <f>SUM(W255:W264)</f>
        <v>1007065</v>
      </c>
      <c r="X265" s="6"/>
      <c r="Y265" s="296">
        <f>SUM(Y255:Y264)</f>
        <v>71545</v>
      </c>
      <c r="Z265" s="6"/>
      <c r="AA265" s="296">
        <f>SUM(AA255:AA264)</f>
        <v>65180</v>
      </c>
      <c r="AB265" s="488"/>
      <c r="AJ265" s="56">
        <f>SUM(AJ255:AJ264)</f>
        <v>65180</v>
      </c>
    </row>
    <row r="266" spans="4:36" x14ac:dyDescent="0.3">
      <c r="D266" s="415"/>
      <c r="E266" s="15"/>
      <c r="F266" s="15" t="s">
        <v>89</v>
      </c>
      <c r="G266" s="15"/>
      <c r="H266" s="15"/>
      <c r="I266" s="689">
        <f>+I75</f>
        <v>2144</v>
      </c>
      <c r="J266" s="690"/>
      <c r="K266" s="15"/>
      <c r="L266" s="60">
        <f>+I266/$I$263</f>
        <v>4.4047252182845401E-2</v>
      </c>
      <c r="M266" s="408"/>
      <c r="N266" s="110"/>
      <c r="Q266" s="487"/>
      <c r="R266" s="5"/>
      <c r="S266" s="6"/>
      <c r="T266" s="6"/>
      <c r="U266" s="6"/>
      <c r="V266" s="6"/>
      <c r="W266" s="296"/>
      <c r="X266" s="6"/>
      <c r="Y266" s="296"/>
      <c r="Z266" s="6"/>
      <c r="AA266" s="6"/>
      <c r="AB266" s="488"/>
      <c r="AJ266" s="56"/>
    </row>
    <row r="267" spans="4:36" ht="15" thickBot="1" x14ac:dyDescent="0.35">
      <c r="D267" s="415"/>
      <c r="E267" s="675" t="s">
        <v>114</v>
      </c>
      <c r="F267" s="675"/>
      <c r="G267" s="675"/>
      <c r="H267" s="15"/>
      <c r="I267" s="676">
        <f>+I263-I265-I266</f>
        <v>9847</v>
      </c>
      <c r="J267" s="677"/>
      <c r="K267" s="430"/>
      <c r="L267" s="431">
        <f>+I267/$I$263</f>
        <v>0.20230097586029788</v>
      </c>
      <c r="M267" s="408"/>
      <c r="N267" s="110"/>
      <c r="Q267" s="487"/>
      <c r="R267" s="5" t="s">
        <v>59</v>
      </c>
      <c r="S267" s="6"/>
      <c r="T267" s="6"/>
      <c r="U267" s="7">
        <v>7441</v>
      </c>
      <c r="V267" s="6"/>
      <c r="W267" s="7">
        <f>+'Main Table'!H106</f>
        <v>2465403</v>
      </c>
      <c r="X267" s="6"/>
      <c r="Y267" s="7">
        <f>+'Main Table'!AA106</f>
        <v>126977</v>
      </c>
      <c r="Z267" s="6"/>
      <c r="AA267" s="296">
        <v>331000</v>
      </c>
      <c r="AB267" s="488"/>
      <c r="AJ267" s="56">
        <v>333000</v>
      </c>
    </row>
    <row r="268" spans="4:36" ht="15.6" thickTop="1" thickBot="1" x14ac:dyDescent="0.35">
      <c r="D268" s="415"/>
      <c r="E268" s="432"/>
      <c r="F268" s="432"/>
      <c r="G268" s="432"/>
      <c r="H268" s="15"/>
      <c r="I268" s="433"/>
      <c r="J268" s="432"/>
      <c r="K268" s="430"/>
      <c r="L268" s="434"/>
      <c r="M268" s="408"/>
      <c r="N268" s="110"/>
      <c r="Q268" s="487"/>
      <c r="R268" s="5" t="s">
        <v>143</v>
      </c>
      <c r="S268" s="6"/>
      <c r="T268" s="6"/>
      <c r="U268" s="492"/>
      <c r="V268" s="6"/>
      <c r="W268" s="493">
        <f>+W265/W267</f>
        <v>0.40847885720914595</v>
      </c>
      <c r="X268" s="6"/>
      <c r="Y268" s="493">
        <f>+Y265/Y267</f>
        <v>0.56344849854698098</v>
      </c>
      <c r="Z268" s="6"/>
      <c r="AA268" s="493">
        <f>+AA265/AA267</f>
        <v>0.19691842900302114</v>
      </c>
      <c r="AB268" s="488"/>
      <c r="AJ268" s="483">
        <f>+AJ265/AJ267</f>
        <v>0.19573573573573574</v>
      </c>
    </row>
    <row r="269" spans="4:36" ht="15.6" thickTop="1" thickBot="1" x14ac:dyDescent="0.35">
      <c r="D269" s="435"/>
      <c r="E269" s="436"/>
      <c r="F269" s="436"/>
      <c r="G269" s="436"/>
      <c r="H269" s="436"/>
      <c r="I269" s="436"/>
      <c r="J269" s="436"/>
      <c r="K269" s="436"/>
      <c r="L269" s="436"/>
      <c r="M269" s="423"/>
      <c r="N269" s="110"/>
      <c r="Q269" s="494"/>
      <c r="R269" s="495"/>
      <c r="S269" s="495"/>
      <c r="T269" s="495"/>
      <c r="U269" s="495"/>
      <c r="V269" s="495"/>
      <c r="W269" s="495"/>
      <c r="X269" s="495"/>
      <c r="Y269" s="495"/>
      <c r="Z269" s="495"/>
      <c r="AA269" s="495"/>
      <c r="AB269" s="496"/>
    </row>
    <row r="273" spans="6:23" x14ac:dyDescent="0.3">
      <c r="F273" s="1">
        <v>1248371</v>
      </c>
    </row>
    <row r="274" spans="6:23" x14ac:dyDescent="0.3">
      <c r="W274" s="1"/>
    </row>
    <row r="275" spans="6:23" x14ac:dyDescent="0.3">
      <c r="F275">
        <v>700</v>
      </c>
    </row>
    <row r="276" spans="6:23" x14ac:dyDescent="0.3">
      <c r="F276" s="87">
        <f>+F275/F273</f>
        <v>5.6073074430597954E-4</v>
      </c>
    </row>
    <row r="278" spans="6:23" x14ac:dyDescent="0.3">
      <c r="F278" s="1">
        <v>60000</v>
      </c>
    </row>
    <row r="279" spans="6:23" x14ac:dyDescent="0.3">
      <c r="F279">
        <f>+F276*F278</f>
        <v>33.643844658358773</v>
      </c>
    </row>
    <row r="281" spans="6:23" x14ac:dyDescent="0.3">
      <c r="F281" s="1">
        <v>331000000</v>
      </c>
    </row>
    <row r="282" spans="6:23" x14ac:dyDescent="0.3">
      <c r="F282" s="56">
        <f>+W86</f>
        <v>811067</v>
      </c>
    </row>
    <row r="283" spans="6:23" x14ac:dyDescent="0.3">
      <c r="F283" s="57">
        <f>+F282/F281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267:G267"/>
    <mergeCell ref="I267:J267"/>
    <mergeCell ref="E253:M253"/>
    <mergeCell ref="I254:L254"/>
    <mergeCell ref="F256:G256"/>
    <mergeCell ref="E262:J262"/>
    <mergeCell ref="I263:J263"/>
    <mergeCell ref="I265:J265"/>
    <mergeCell ref="I266:J266"/>
    <mergeCell ref="H258:I258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31" t="s">
        <v>5</v>
      </c>
      <c r="C1" s="631"/>
      <c r="D1" s="631"/>
    </row>
    <row r="2" spans="2:31" ht="15.6" x14ac:dyDescent="0.3">
      <c r="B2" s="631" t="s">
        <v>6</v>
      </c>
      <c r="C2" s="631"/>
      <c r="D2" s="631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39" t="s">
        <v>23</v>
      </c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1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38" t="s">
        <v>62</v>
      </c>
      <c r="Z14" s="738"/>
      <c r="AA14" s="738"/>
      <c r="AB14" s="738"/>
      <c r="AC14" s="738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2020-12-22T19:33:17Z</dcterms:modified>
</cp:coreProperties>
</file>