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C5B6B7BE-03B3-40A9-91D9-1D399ACC75A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Table'!$A$1:$CJ$302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301" i="1" l="1"/>
  <c r="BO301" i="1"/>
  <c r="BK301" i="1"/>
  <c r="BG301" i="1"/>
  <c r="BC301" i="1"/>
  <c r="AY301" i="1"/>
  <c r="AU301" i="1"/>
  <c r="AQ301" i="1"/>
  <c r="AM301" i="1"/>
  <c r="AI301" i="1"/>
  <c r="AE301" i="1"/>
  <c r="AA301" i="1"/>
  <c r="W301" i="1"/>
  <c r="S301" i="1"/>
  <c r="O301" i="1"/>
  <c r="K301" i="1"/>
  <c r="BT300" i="1"/>
  <c r="BT301" i="1" s="1"/>
  <c r="BS300" i="1"/>
  <c r="BR300" i="1"/>
  <c r="BR301" i="1" s="1"/>
  <c r="BQ300" i="1"/>
  <c r="BQ301" i="1" s="1"/>
  <c r="BP300" i="1"/>
  <c r="BP301" i="1" s="1"/>
  <c r="BO300" i="1"/>
  <c r="BN300" i="1"/>
  <c r="BN301" i="1" s="1"/>
  <c r="BM300" i="1"/>
  <c r="BM301" i="1" s="1"/>
  <c r="BL300" i="1"/>
  <c r="BL301" i="1" s="1"/>
  <c r="BK300" i="1"/>
  <c r="BJ300" i="1"/>
  <c r="BJ301" i="1" s="1"/>
  <c r="BI300" i="1"/>
  <c r="BI301" i="1" s="1"/>
  <c r="BH300" i="1"/>
  <c r="BH301" i="1" s="1"/>
  <c r="BG300" i="1"/>
  <c r="BF300" i="1"/>
  <c r="BF301" i="1" s="1"/>
  <c r="BE300" i="1"/>
  <c r="BE301" i="1" s="1"/>
  <c r="BD300" i="1"/>
  <c r="BD301" i="1" s="1"/>
  <c r="BC300" i="1"/>
  <c r="BB300" i="1"/>
  <c r="BB301" i="1" s="1"/>
  <c r="BA300" i="1"/>
  <c r="BA301" i="1" s="1"/>
  <c r="AZ300" i="1"/>
  <c r="AZ301" i="1" s="1"/>
  <c r="AY300" i="1"/>
  <c r="AX300" i="1"/>
  <c r="AX301" i="1" s="1"/>
  <c r="AW300" i="1"/>
  <c r="AW301" i="1" s="1"/>
  <c r="AV300" i="1"/>
  <c r="AV301" i="1" s="1"/>
  <c r="AU300" i="1"/>
  <c r="AT300" i="1"/>
  <c r="AT301" i="1" s="1"/>
  <c r="AS300" i="1"/>
  <c r="AS301" i="1" s="1"/>
  <c r="AR300" i="1"/>
  <c r="AR301" i="1" s="1"/>
  <c r="AQ300" i="1"/>
  <c r="AP300" i="1"/>
  <c r="AP301" i="1" s="1"/>
  <c r="AO300" i="1"/>
  <c r="AO301" i="1" s="1"/>
  <c r="AN300" i="1"/>
  <c r="AN301" i="1" s="1"/>
  <c r="AM300" i="1"/>
  <c r="AL300" i="1"/>
  <c r="AL301" i="1" s="1"/>
  <c r="AK300" i="1"/>
  <c r="AK301" i="1" s="1"/>
  <c r="AJ300" i="1"/>
  <c r="AJ301" i="1" s="1"/>
  <c r="AI300" i="1"/>
  <c r="AH300" i="1"/>
  <c r="AH301" i="1" s="1"/>
  <c r="AG300" i="1"/>
  <c r="AG301" i="1" s="1"/>
  <c r="AF300" i="1"/>
  <c r="AF301" i="1" s="1"/>
  <c r="AE300" i="1"/>
  <c r="AD300" i="1"/>
  <c r="AD301" i="1" s="1"/>
  <c r="AC300" i="1"/>
  <c r="AC301" i="1" s="1"/>
  <c r="AB300" i="1"/>
  <c r="AB301" i="1" s="1"/>
  <c r="AA300" i="1"/>
  <c r="Z300" i="1"/>
  <c r="Z301" i="1" s="1"/>
  <c r="Y300" i="1"/>
  <c r="Y301" i="1" s="1"/>
  <c r="X300" i="1"/>
  <c r="X301" i="1" s="1"/>
  <c r="W300" i="1"/>
  <c r="V300" i="1"/>
  <c r="V301" i="1" s="1"/>
  <c r="U300" i="1"/>
  <c r="U301" i="1" s="1"/>
  <c r="T300" i="1"/>
  <c r="T301" i="1" s="1"/>
  <c r="S300" i="1"/>
  <c r="R300" i="1"/>
  <c r="R301" i="1" s="1"/>
  <c r="Q300" i="1"/>
  <c r="Q301" i="1" s="1"/>
  <c r="P300" i="1"/>
  <c r="P301" i="1" s="1"/>
  <c r="O300" i="1"/>
  <c r="N300" i="1"/>
  <c r="N301" i="1" s="1"/>
  <c r="M300" i="1"/>
  <c r="M301" i="1" s="1"/>
  <c r="L300" i="1"/>
  <c r="L301" i="1" s="1"/>
  <c r="K300" i="1"/>
  <c r="J300" i="1"/>
  <c r="J301" i="1" s="1"/>
  <c r="I300" i="1"/>
  <c r="I301" i="1" s="1"/>
  <c r="H300" i="1"/>
  <c r="H301" i="1" s="1"/>
  <c r="D301" i="1"/>
  <c r="D300" i="1"/>
  <c r="BW292" i="1"/>
  <c r="BN292" i="1" s="1"/>
  <c r="BE292" i="1"/>
  <c r="BP292" i="1" s="1"/>
  <c r="BR292" i="1" s="1"/>
  <c r="BA292" i="1"/>
  <c r="BK292" i="1" s="1"/>
  <c r="AX292" i="1"/>
  <c r="AL292" i="1"/>
  <c r="AR292" i="1" s="1"/>
  <c r="AG292" i="1"/>
  <c r="AI292" i="1" s="1"/>
  <c r="AA292" i="1"/>
  <c r="AE292" i="1" s="1"/>
  <c r="V292" i="1"/>
  <c r="Q292" i="1"/>
  <c r="N292" i="1"/>
  <c r="J292" i="1"/>
  <c r="H292" i="1"/>
  <c r="AV292" i="1" s="1"/>
  <c r="I20" i="3"/>
  <c r="B292" i="1"/>
  <c r="B293" i="1" s="1"/>
  <c r="B294" i="1" s="1"/>
  <c r="B295" i="1" s="1"/>
  <c r="B296" i="1" s="1"/>
  <c r="B297" i="1" s="1"/>
  <c r="BE291" i="1"/>
  <c r="BA291" i="1"/>
  <c r="BK291" i="1" s="1"/>
  <c r="AL291" i="1"/>
  <c r="AG291" i="1"/>
  <c r="AI291" i="1" s="1"/>
  <c r="Q291" i="1"/>
  <c r="N291" i="1"/>
  <c r="U302" i="2"/>
  <c r="T302" i="2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E302" i="2"/>
  <c r="S292" i="2"/>
  <c r="S293" i="2"/>
  <c r="W293" i="2"/>
  <c r="K293" i="2"/>
  <c r="Q293" i="2" s="1"/>
  <c r="W292" i="2"/>
  <c r="K292" i="2"/>
  <c r="Q292" i="2" s="1"/>
  <c r="AH292" i="1" l="1"/>
  <c r="BM292" i="1"/>
  <c r="O292" i="1"/>
  <c r="BG292" i="1"/>
  <c r="AC292" i="1"/>
  <c r="S292" i="1"/>
  <c r="AR291" i="1"/>
  <c r="BM291" i="1"/>
  <c r="BG291" i="1"/>
  <c r="S291" i="1"/>
  <c r="U293" i="2"/>
  <c r="M293" i="2"/>
  <c r="U292" i="2"/>
  <c r="M292" i="2"/>
  <c r="AH291" i="1" l="1"/>
  <c r="BK290" i="1"/>
  <c r="BE290" i="1"/>
  <c r="BA290" i="1"/>
  <c r="AL290" i="1"/>
  <c r="AR290" i="1" s="1"/>
  <c r="AG290" i="1"/>
  <c r="AI290" i="1" s="1"/>
  <c r="Q290" i="1"/>
  <c r="S290" i="1" s="1"/>
  <c r="N290" i="1"/>
  <c r="W291" i="2"/>
  <c r="S291" i="2"/>
  <c r="K291" i="2"/>
  <c r="Q291" i="2" s="1"/>
  <c r="U245" i="3"/>
  <c r="U246" i="3" s="1"/>
  <c r="U247" i="3" s="1"/>
  <c r="U248" i="3" s="1"/>
  <c r="U249" i="3" s="1"/>
  <c r="U250" i="3" s="1"/>
  <c r="U251" i="3" s="1"/>
  <c r="U252" i="3" s="1"/>
  <c r="U253" i="3" s="1"/>
  <c r="U254" i="3" s="1"/>
  <c r="BV301" i="1"/>
  <c r="BU301" i="1"/>
  <c r="BV300" i="1"/>
  <c r="BU300" i="1"/>
  <c r="BG289" i="1"/>
  <c r="BE289" i="1"/>
  <c r="BA289" i="1"/>
  <c r="BK289" i="1" s="1"/>
  <c r="AL289" i="1"/>
  <c r="AR289" i="1" s="1"/>
  <c r="AG289" i="1"/>
  <c r="Q289" i="1"/>
  <c r="S289" i="1" s="1"/>
  <c r="N289" i="1"/>
  <c r="S290" i="2"/>
  <c r="W290" i="2"/>
  <c r="K290" i="2"/>
  <c r="Q290" i="2" s="1"/>
  <c r="AH290" i="1" l="1"/>
  <c r="BM290" i="1"/>
  <c r="BG290" i="1"/>
  <c r="U291" i="2"/>
  <c r="M291" i="2"/>
  <c r="AI289" i="1"/>
  <c r="BM289" i="1"/>
  <c r="U290" i="2"/>
  <c r="M290" i="2"/>
  <c r="AH289" i="1" l="1"/>
  <c r="BE288" i="1"/>
  <c r="BA288" i="1"/>
  <c r="BK288" i="1" s="1"/>
  <c r="AL288" i="1"/>
  <c r="AR288" i="1" s="1"/>
  <c r="AG288" i="1"/>
  <c r="AI288" i="1" s="1"/>
  <c r="Q288" i="1"/>
  <c r="N288" i="1"/>
  <c r="S289" i="2"/>
  <c r="W289" i="2"/>
  <c r="K289" i="2"/>
  <c r="Q289" i="2" s="1"/>
  <c r="BM288" i="1" l="1"/>
  <c r="BG288" i="1"/>
  <c r="S288" i="1"/>
  <c r="U289" i="2"/>
  <c r="M289" i="2"/>
  <c r="AH288" i="1" l="1"/>
  <c r="AH287" i="1"/>
  <c r="BK287" i="1"/>
  <c r="BE287" i="1"/>
  <c r="BA287" i="1"/>
  <c r="AL287" i="1"/>
  <c r="AR287" i="1" s="1"/>
  <c r="AG287" i="1"/>
  <c r="AI287" i="1" s="1"/>
  <c r="Q287" i="1"/>
  <c r="N287" i="1"/>
  <c r="S288" i="2"/>
  <c r="W288" i="2"/>
  <c r="K288" i="2"/>
  <c r="Q288" i="2" s="1"/>
  <c r="C288" i="2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BM287" i="1" l="1"/>
  <c r="BG287" i="1"/>
  <c r="S287" i="1"/>
  <c r="U288" i="2"/>
  <c r="M288" i="2"/>
  <c r="BE286" i="1"/>
  <c r="BA286" i="1"/>
  <c r="BK286" i="1" s="1"/>
  <c r="AL286" i="1"/>
  <c r="AR286" i="1" s="1"/>
  <c r="AG286" i="1"/>
  <c r="AI286" i="1" s="1"/>
  <c r="Q286" i="1"/>
  <c r="N286" i="1"/>
  <c r="S287" i="2"/>
  <c r="K287" i="2"/>
  <c r="M287" i="2" s="1"/>
  <c r="BM286" i="1" l="1"/>
  <c r="BG286" i="1"/>
  <c r="S286" i="1"/>
  <c r="U287" i="2"/>
  <c r="Q287" i="2"/>
  <c r="AH286" i="1"/>
  <c r="BE285" i="1"/>
  <c r="BA285" i="1"/>
  <c r="BK285" i="1" s="1"/>
  <c r="AL285" i="1"/>
  <c r="AR285" i="1" s="1"/>
  <c r="AG285" i="1"/>
  <c r="AI285" i="1" s="1"/>
  <c r="Q285" i="1"/>
  <c r="N285" i="1"/>
  <c r="S286" i="2"/>
  <c r="U286" i="2" s="1"/>
  <c r="K286" i="2"/>
  <c r="Q286" i="2" s="1"/>
  <c r="BM285" i="1" l="1"/>
  <c r="BG285" i="1"/>
  <c r="S285" i="1"/>
  <c r="M286" i="2"/>
  <c r="BE284" i="1" l="1"/>
  <c r="BA284" i="1"/>
  <c r="BK284" i="1" s="1"/>
  <c r="AL284" i="1"/>
  <c r="AR284" i="1" s="1"/>
  <c r="AG284" i="1"/>
  <c r="AI284" i="1" s="1"/>
  <c r="Q284" i="1"/>
  <c r="N284" i="1"/>
  <c r="S285" i="2"/>
  <c r="K285" i="2"/>
  <c r="BE283" i="1"/>
  <c r="BA283" i="1"/>
  <c r="BK283" i="1" s="1"/>
  <c r="AL283" i="1"/>
  <c r="AR283" i="1" s="1"/>
  <c r="AG283" i="1"/>
  <c r="AI283" i="1" s="1"/>
  <c r="Q283" i="1"/>
  <c r="S283" i="1" s="1"/>
  <c r="N283" i="1"/>
  <c r="S284" i="2"/>
  <c r="U284" i="2" s="1"/>
  <c r="K284" i="2"/>
  <c r="AH284" i="1" l="1"/>
  <c r="AH285" i="1"/>
  <c r="BM284" i="1"/>
  <c r="BG284" i="1"/>
  <c r="S284" i="1"/>
  <c r="U285" i="2"/>
  <c r="Q285" i="2"/>
  <c r="M285" i="2"/>
  <c r="BG283" i="1"/>
  <c r="BM283" i="1"/>
  <c r="Q284" i="2"/>
  <c r="M284" i="2"/>
  <c r="AH283" i="1"/>
  <c r="BK282" i="1"/>
  <c r="BE282" i="1"/>
  <c r="BA282" i="1"/>
  <c r="AL282" i="1"/>
  <c r="AR282" i="1" s="1"/>
  <c r="AG282" i="1"/>
  <c r="AI282" i="1" s="1"/>
  <c r="Q282" i="1"/>
  <c r="N282" i="1"/>
  <c r="BE281" i="1"/>
  <c r="BA281" i="1"/>
  <c r="BG281" i="1" s="1"/>
  <c r="AL281" i="1"/>
  <c r="AR281" i="1" s="1"/>
  <c r="AG281" i="1"/>
  <c r="AI281" i="1" s="1"/>
  <c r="Q281" i="1"/>
  <c r="N281" i="1"/>
  <c r="S283" i="2"/>
  <c r="K283" i="2"/>
  <c r="M283" i="2" s="1"/>
  <c r="S282" i="2"/>
  <c r="K282" i="2"/>
  <c r="Q282" i="2" s="1"/>
  <c r="AH282" i="1" l="1"/>
  <c r="BM282" i="1"/>
  <c r="BG282" i="1"/>
  <c r="S282" i="1"/>
  <c r="BK281" i="1"/>
  <c r="BM281" i="1" s="1"/>
  <c r="S281" i="1"/>
  <c r="U282" i="2"/>
  <c r="U283" i="2"/>
  <c r="Q283" i="2"/>
  <c r="M282" i="2"/>
  <c r="AH281" i="1" l="1"/>
  <c r="AH280" i="1"/>
  <c r="BE280" i="1"/>
  <c r="BA280" i="1"/>
  <c r="BK280" i="1" s="1"/>
  <c r="AL280" i="1"/>
  <c r="AR280" i="1" s="1"/>
  <c r="AG280" i="1"/>
  <c r="AI280" i="1" s="1"/>
  <c r="Q280" i="1"/>
  <c r="N280" i="1"/>
  <c r="BE279" i="1"/>
  <c r="BA279" i="1"/>
  <c r="AL279" i="1"/>
  <c r="AR279" i="1" s="1"/>
  <c r="AG279" i="1"/>
  <c r="AI279" i="1" s="1"/>
  <c r="Q279" i="1"/>
  <c r="S279" i="1" s="1"/>
  <c r="N279" i="1"/>
  <c r="S281" i="2"/>
  <c r="K281" i="2"/>
  <c r="S280" i="2"/>
  <c r="K280" i="2"/>
  <c r="Q280" i="2" s="1"/>
  <c r="BM280" i="1" l="1"/>
  <c r="BG280" i="1"/>
  <c r="S280" i="1"/>
  <c r="BG279" i="1"/>
  <c r="BK279" i="1"/>
  <c r="Q281" i="2"/>
  <c r="U280" i="2"/>
  <c r="M281" i="2"/>
  <c r="U281" i="2"/>
  <c r="M280" i="2"/>
  <c r="BM279" i="1" l="1"/>
  <c r="AH279" i="1" l="1"/>
  <c r="BE278" i="1"/>
  <c r="BA278" i="1"/>
  <c r="BK278" i="1" s="1"/>
  <c r="BM278" i="1" s="1"/>
  <c r="AL278" i="1"/>
  <c r="AR278" i="1" s="1"/>
  <c r="AG278" i="1"/>
  <c r="AI278" i="1" s="1"/>
  <c r="Q278" i="1"/>
  <c r="S278" i="1" s="1"/>
  <c r="N278" i="1"/>
  <c r="S279" i="2"/>
  <c r="U279" i="2" s="1"/>
  <c r="K279" i="2"/>
  <c r="Q279" i="2" s="1"/>
  <c r="BE277" i="1"/>
  <c r="BA277" i="1"/>
  <c r="BK277" i="1" s="1"/>
  <c r="AL277" i="1"/>
  <c r="AR277" i="1" s="1"/>
  <c r="AG277" i="1"/>
  <c r="AI277" i="1" s="1"/>
  <c r="Q277" i="1"/>
  <c r="N277" i="1"/>
  <c r="S278" i="2"/>
  <c r="U278" i="2" s="1"/>
  <c r="K278" i="2"/>
  <c r="M278" i="2" s="1"/>
  <c r="BE276" i="1"/>
  <c r="BA276" i="1"/>
  <c r="BK276" i="1" s="1"/>
  <c r="AL276" i="1"/>
  <c r="AR276" i="1" s="1"/>
  <c r="AG276" i="1"/>
  <c r="AI276" i="1" s="1"/>
  <c r="Q276" i="1"/>
  <c r="N276" i="1"/>
  <c r="S277" i="2"/>
  <c r="K277" i="2"/>
  <c r="Q277" i="2" s="1"/>
  <c r="AH277" i="1" l="1"/>
  <c r="BG278" i="1"/>
  <c r="M279" i="2"/>
  <c r="BM277" i="1"/>
  <c r="BG277" i="1"/>
  <c r="S277" i="1"/>
  <c r="Q278" i="2"/>
  <c r="BM276" i="1"/>
  <c r="BG276" i="1"/>
  <c r="S276" i="1"/>
  <c r="M277" i="2"/>
  <c r="U277" i="2"/>
  <c r="AH278" i="1" l="1"/>
  <c r="AH276" i="1" l="1"/>
  <c r="BE275" i="1"/>
  <c r="BA275" i="1"/>
  <c r="BK275" i="1" s="1"/>
  <c r="AL275" i="1"/>
  <c r="AR275" i="1" s="1"/>
  <c r="AG275" i="1"/>
  <c r="AI275" i="1" s="1"/>
  <c r="Q275" i="1"/>
  <c r="N275" i="1"/>
  <c r="S276" i="2"/>
  <c r="K276" i="2"/>
  <c r="Q276" i="2" s="1"/>
  <c r="BM275" i="1" l="1"/>
  <c r="BG275" i="1"/>
  <c r="S275" i="1"/>
  <c r="U276" i="2"/>
  <c r="M276" i="2"/>
  <c r="AH275" i="1" l="1"/>
  <c r="BE274" i="1"/>
  <c r="BA274" i="1"/>
  <c r="BK274" i="1" s="1"/>
  <c r="AL274" i="1"/>
  <c r="AR274" i="1" s="1"/>
  <c r="AG274" i="1"/>
  <c r="AI274" i="1" s="1"/>
  <c r="Q274" i="1"/>
  <c r="BM274" i="1" s="1"/>
  <c r="N274" i="1"/>
  <c r="S275" i="2"/>
  <c r="K275" i="2"/>
  <c r="M275" i="2" s="1"/>
  <c r="BG274" i="1" l="1"/>
  <c r="S274" i="1"/>
  <c r="U275" i="2"/>
  <c r="Q275" i="2"/>
  <c r="AH274" i="1"/>
  <c r="BK273" i="1"/>
  <c r="BE273" i="1"/>
  <c r="BA273" i="1"/>
  <c r="AL273" i="1"/>
  <c r="AR273" i="1" s="1"/>
  <c r="AG273" i="1"/>
  <c r="AI273" i="1" s="1"/>
  <c r="Q273" i="1"/>
  <c r="S273" i="1" s="1"/>
  <c r="N273" i="1"/>
  <c r="S274" i="2"/>
  <c r="K274" i="2"/>
  <c r="Q274" i="2" s="1"/>
  <c r="BG273" i="1" l="1"/>
  <c r="BM273" i="1"/>
  <c r="U274" i="2"/>
  <c r="M274" i="2"/>
  <c r="BK272" i="1" l="1"/>
  <c r="BE272" i="1"/>
  <c r="BA272" i="1"/>
  <c r="AL272" i="1"/>
  <c r="AR272" i="1" s="1"/>
  <c r="AG272" i="1"/>
  <c r="AI272" i="1" s="1"/>
  <c r="Q272" i="1"/>
  <c r="S272" i="1" s="1"/>
  <c r="N272" i="1"/>
  <c r="S273" i="2"/>
  <c r="K273" i="2"/>
  <c r="M273" i="2" s="1"/>
  <c r="BE376" i="1"/>
  <c r="BG376" i="1" s="1"/>
  <c r="BE271" i="1"/>
  <c r="BA271" i="1"/>
  <c r="AL271" i="1"/>
  <c r="AR271" i="1" s="1"/>
  <c r="AG271" i="1"/>
  <c r="Q271" i="1"/>
  <c r="N271" i="1"/>
  <c r="BE378" i="1" l="1"/>
  <c r="AH272" i="1"/>
  <c r="AH273" i="1"/>
  <c r="BM272" i="1"/>
  <c r="BG272" i="1"/>
  <c r="U273" i="2"/>
  <c r="Q273" i="2"/>
  <c r="BG271" i="1"/>
  <c r="BE270" i="1" l="1"/>
  <c r="BA270" i="1"/>
  <c r="AL270" i="1"/>
  <c r="AR270" i="1" s="1"/>
  <c r="AG270" i="1"/>
  <c r="Q270" i="1"/>
  <c r="N270" i="1"/>
  <c r="S272" i="2"/>
  <c r="K272" i="2"/>
  <c r="S271" i="2"/>
  <c r="K271" i="2"/>
  <c r="Q271" i="2" s="1"/>
  <c r="BG270" i="1" l="1"/>
  <c r="Q272" i="2"/>
  <c r="U271" i="2"/>
  <c r="U272" i="2"/>
  <c r="M272" i="2"/>
  <c r="M271" i="2"/>
  <c r="BE269" i="1" l="1"/>
  <c r="BA269" i="1"/>
  <c r="AL269" i="1"/>
  <c r="AR269" i="1" s="1"/>
  <c r="AG269" i="1"/>
  <c r="Q269" i="1"/>
  <c r="N269" i="1"/>
  <c r="S270" i="2"/>
  <c r="K270" i="2"/>
  <c r="Q270" i="2" s="1"/>
  <c r="BE268" i="1"/>
  <c r="BA268" i="1"/>
  <c r="AL268" i="1"/>
  <c r="AR268" i="1" s="1"/>
  <c r="AG268" i="1"/>
  <c r="Q268" i="1"/>
  <c r="N268" i="1"/>
  <c r="S269" i="2"/>
  <c r="K269" i="2"/>
  <c r="BE267" i="1"/>
  <c r="BA267" i="1"/>
  <c r="AL267" i="1"/>
  <c r="AR267" i="1" s="1"/>
  <c r="AG267" i="1"/>
  <c r="Q267" i="1"/>
  <c r="N267" i="1"/>
  <c r="S268" i="2"/>
  <c r="K268" i="2"/>
  <c r="Q268" i="2" s="1"/>
  <c r="BG269" i="1" l="1"/>
  <c r="U270" i="2"/>
  <c r="M270" i="2"/>
  <c r="BG268" i="1"/>
  <c r="U269" i="2"/>
  <c r="M269" i="2"/>
  <c r="Q269" i="2"/>
  <c r="BG267" i="1"/>
  <c r="U268" i="2"/>
  <c r="M268" i="2"/>
  <c r="BE266" i="1"/>
  <c r="BA266" i="1"/>
  <c r="AL266" i="1"/>
  <c r="AR266" i="1" s="1"/>
  <c r="AG266" i="1"/>
  <c r="Q266" i="1"/>
  <c r="N266" i="1"/>
  <c r="S267" i="2"/>
  <c r="K267" i="2"/>
  <c r="M267" i="2" s="1"/>
  <c r="BE265" i="1"/>
  <c r="BA265" i="1"/>
  <c r="AL265" i="1"/>
  <c r="AR265" i="1" s="1"/>
  <c r="AG265" i="1"/>
  <c r="Q265" i="1"/>
  <c r="N265" i="1"/>
  <c r="S266" i="2"/>
  <c r="K266" i="2"/>
  <c r="Q266" i="2" s="1"/>
  <c r="BK271" i="1" l="1"/>
  <c r="BG266" i="1"/>
  <c r="U267" i="2"/>
  <c r="Q267" i="2"/>
  <c r="BG265" i="1"/>
  <c r="M266" i="2"/>
  <c r="U266" i="2"/>
  <c r="BM271" i="1" l="1"/>
  <c r="BE264" i="1" l="1"/>
  <c r="BG264" i="1" s="1"/>
  <c r="BA264" i="1"/>
  <c r="BK270" i="1" s="1"/>
  <c r="BM270" i="1" s="1"/>
  <c r="AL264" i="1"/>
  <c r="AR264" i="1" s="1"/>
  <c r="AG264" i="1"/>
  <c r="Q264" i="1"/>
  <c r="N264" i="1"/>
  <c r="S265" i="2"/>
  <c r="Q265" i="2"/>
  <c r="K265" i="2"/>
  <c r="M265" i="2" s="1"/>
  <c r="BE263" i="1"/>
  <c r="BA263" i="1"/>
  <c r="AL263" i="1"/>
  <c r="AR263" i="1" s="1"/>
  <c r="AG263" i="1"/>
  <c r="Q263" i="1"/>
  <c r="N263" i="1"/>
  <c r="S264" i="2"/>
  <c r="K264" i="2"/>
  <c r="U264" i="2" s="1"/>
  <c r="BE262" i="1"/>
  <c r="BA262" i="1"/>
  <c r="AL262" i="1"/>
  <c r="AR262" i="1" s="1"/>
  <c r="AG262" i="1"/>
  <c r="Q262" i="1"/>
  <c r="S269" i="1" s="1"/>
  <c r="N262" i="1"/>
  <c r="S263" i="2"/>
  <c r="K263" i="2"/>
  <c r="M263" i="2" s="1"/>
  <c r="BE261" i="1"/>
  <c r="BA261" i="1"/>
  <c r="AL261" i="1"/>
  <c r="AR261" i="1" s="1"/>
  <c r="AG261" i="1"/>
  <c r="Q261" i="1"/>
  <c r="S268" i="1" s="1"/>
  <c r="N261" i="1"/>
  <c r="S262" i="2"/>
  <c r="K262" i="2"/>
  <c r="Q262" i="2" s="1"/>
  <c r="AI270" i="1" l="1"/>
  <c r="AI271" i="1"/>
  <c r="BG262" i="1"/>
  <c r="AI268" i="1"/>
  <c r="S271" i="1"/>
  <c r="BK268" i="1"/>
  <c r="BM268" i="1" s="1"/>
  <c r="BK269" i="1"/>
  <c r="BM269" i="1" s="1"/>
  <c r="BK267" i="1"/>
  <c r="BM267" i="1" s="1"/>
  <c r="AI269" i="1"/>
  <c r="S270" i="1"/>
  <c r="U265" i="2"/>
  <c r="BG263" i="1"/>
  <c r="Q264" i="2"/>
  <c r="M264" i="2"/>
  <c r="U263" i="2"/>
  <c r="Q263" i="2"/>
  <c r="BG261" i="1"/>
  <c r="U262" i="2"/>
  <c r="M262" i="2"/>
  <c r="BE260" i="1"/>
  <c r="BA260" i="1"/>
  <c r="AL260" i="1"/>
  <c r="AR260" i="1" s="1"/>
  <c r="AG260" i="1"/>
  <c r="Q260" i="1"/>
  <c r="N260" i="1"/>
  <c r="S261" i="2"/>
  <c r="K261" i="2"/>
  <c r="Q261" i="2" s="1"/>
  <c r="BE259" i="1"/>
  <c r="BA259" i="1"/>
  <c r="AL259" i="1"/>
  <c r="AR259" i="1" s="1"/>
  <c r="AG259" i="1"/>
  <c r="Q259" i="1"/>
  <c r="S266" i="1" s="1"/>
  <c r="N259" i="1"/>
  <c r="S260" i="2"/>
  <c r="K260" i="2"/>
  <c r="BE258" i="1"/>
  <c r="BA258" i="1"/>
  <c r="BK264" i="1" s="1"/>
  <c r="BM264" i="1" s="1"/>
  <c r="AL258" i="1"/>
  <c r="AR258" i="1" s="1"/>
  <c r="AG258" i="1"/>
  <c r="Q258" i="1"/>
  <c r="S265" i="1" s="1"/>
  <c r="N258" i="1"/>
  <c r="S259" i="2"/>
  <c r="V302" i="2"/>
  <c r="K259" i="2"/>
  <c r="Q259" i="2" s="1"/>
  <c r="BK266" i="1" l="1"/>
  <c r="BM266" i="1" s="1"/>
  <c r="BK265" i="1"/>
  <c r="BM265" i="1" s="1"/>
  <c r="S267" i="1"/>
  <c r="AI265" i="1"/>
  <c r="AI266" i="1"/>
  <c r="AI267" i="1"/>
  <c r="BG260" i="1"/>
  <c r="U261" i="2"/>
  <c r="M261" i="2"/>
  <c r="BG259" i="1"/>
  <c r="Q260" i="2"/>
  <c r="U260" i="2"/>
  <c r="M260" i="2"/>
  <c r="BG258" i="1"/>
  <c r="U259" i="2"/>
  <c r="M259" i="2"/>
  <c r="BE257" i="1"/>
  <c r="BA257" i="1"/>
  <c r="AL257" i="1"/>
  <c r="AR257" i="1" s="1"/>
  <c r="AG257" i="1"/>
  <c r="Q257" i="1"/>
  <c r="S264" i="1" s="1"/>
  <c r="N257" i="1"/>
  <c r="S258" i="2"/>
  <c r="K258" i="2"/>
  <c r="Q258" i="2" s="1"/>
  <c r="BE256" i="1"/>
  <c r="BA256" i="1"/>
  <c r="BK262" i="1" s="1"/>
  <c r="BM262" i="1" s="1"/>
  <c r="AL256" i="1"/>
  <c r="AR256" i="1" s="1"/>
  <c r="AG256" i="1"/>
  <c r="Q256" i="1"/>
  <c r="S263" i="1" s="1"/>
  <c r="N256" i="1"/>
  <c r="S257" i="2"/>
  <c r="S256" i="2"/>
  <c r="K257" i="2"/>
  <c r="Q257" i="2" s="1"/>
  <c r="BE255" i="1"/>
  <c r="BA255" i="1"/>
  <c r="AL255" i="1"/>
  <c r="AR255" i="1" s="1"/>
  <c r="AG255" i="1"/>
  <c r="Q255" i="1"/>
  <c r="S262" i="1" s="1"/>
  <c r="N255" i="1"/>
  <c r="K256" i="2"/>
  <c r="BK261" i="1" l="1"/>
  <c r="BM261" i="1" s="1"/>
  <c r="AI264" i="1"/>
  <c r="AI262" i="1"/>
  <c r="AI263" i="1"/>
  <c r="BK263" i="1"/>
  <c r="BM263" i="1" s="1"/>
  <c r="BG257" i="1"/>
  <c r="U258" i="2"/>
  <c r="M258" i="2"/>
  <c r="BG256" i="1"/>
  <c r="U256" i="2"/>
  <c r="U257" i="2"/>
  <c r="M257" i="2"/>
  <c r="BG255" i="1"/>
  <c r="M256" i="2"/>
  <c r="Q256" i="2"/>
  <c r="BE254" i="1"/>
  <c r="BA254" i="1"/>
  <c r="AL254" i="1"/>
  <c r="AR254" i="1" s="1"/>
  <c r="AG254" i="1"/>
  <c r="Q254" i="1"/>
  <c r="N254" i="1"/>
  <c r="S255" i="2"/>
  <c r="K255" i="2"/>
  <c r="M255" i="2" s="1"/>
  <c r="S254" i="2"/>
  <c r="U254" i="2" s="1"/>
  <c r="M254" i="2"/>
  <c r="K254" i="2"/>
  <c r="Q254" i="2" s="1"/>
  <c r="S261" i="1" l="1"/>
  <c r="AI261" i="1"/>
  <c r="BK260" i="1"/>
  <c r="BM260" i="1" s="1"/>
  <c r="BG254" i="1"/>
  <c r="U255" i="2"/>
  <c r="Q255" i="2"/>
  <c r="AA208" i="3"/>
  <c r="BE253" i="1" l="1"/>
  <c r="BA253" i="1"/>
  <c r="AL253" i="1"/>
  <c r="AG253" i="1"/>
  <c r="Q253" i="1"/>
  <c r="S260" i="1" s="1"/>
  <c r="N253" i="1"/>
  <c r="S253" i="2"/>
  <c r="K253" i="2"/>
  <c r="Q253" i="2" s="1"/>
  <c r="AI260" i="1" l="1"/>
  <c r="BK259" i="1"/>
  <c r="BM259" i="1" s="1"/>
  <c r="BG253" i="1"/>
  <c r="AR253" i="1"/>
  <c r="U253" i="2"/>
  <c r="M253" i="2"/>
  <c r="BE252" i="1"/>
  <c r="BA252" i="1"/>
  <c r="AL252" i="1"/>
  <c r="AG252" i="1"/>
  <c r="Q252" i="1"/>
  <c r="S259" i="1" s="1"/>
  <c r="N252" i="1"/>
  <c r="S252" i="2"/>
  <c r="K252" i="2"/>
  <c r="Q252" i="2" s="1"/>
  <c r="AI259" i="1" l="1"/>
  <c r="BK258" i="1"/>
  <c r="BM258" i="1" s="1"/>
  <c r="BG252" i="1"/>
  <c r="AR252" i="1"/>
  <c r="U252" i="2"/>
  <c r="M252" i="2"/>
  <c r="BE251" i="1"/>
  <c r="BA251" i="1"/>
  <c r="BK257" i="1" s="1"/>
  <c r="BM257" i="1" s="1"/>
  <c r="AL251" i="1"/>
  <c r="AR251" i="1" s="1"/>
  <c r="AG251" i="1"/>
  <c r="Q251" i="1"/>
  <c r="N251" i="1"/>
  <c r="S251" i="2"/>
  <c r="BE250" i="1"/>
  <c r="BA250" i="1"/>
  <c r="AL250" i="1"/>
  <c r="AR250" i="1" s="1"/>
  <c r="AG250" i="1"/>
  <c r="Q250" i="1"/>
  <c r="N250" i="1"/>
  <c r="K251" i="2"/>
  <c r="M251" i="2" s="1"/>
  <c r="AI258" i="1" l="1"/>
  <c r="AI257" i="1"/>
  <c r="S257" i="1"/>
  <c r="BK256" i="1"/>
  <c r="BM256" i="1" s="1"/>
  <c r="BG250" i="1"/>
  <c r="S258" i="1"/>
  <c r="BG251" i="1"/>
  <c r="U251" i="2"/>
  <c r="Q251" i="2"/>
  <c r="BE249" i="1"/>
  <c r="BA249" i="1"/>
  <c r="AL249" i="1"/>
  <c r="AR249" i="1" s="1"/>
  <c r="AG249" i="1"/>
  <c r="Q249" i="1"/>
  <c r="N249" i="1"/>
  <c r="S250" i="2"/>
  <c r="K250" i="2"/>
  <c r="Q250" i="2" s="1"/>
  <c r="BE248" i="1"/>
  <c r="BA248" i="1"/>
  <c r="AL248" i="1"/>
  <c r="AR248" i="1" s="1"/>
  <c r="AG248" i="1"/>
  <c r="Q248" i="1"/>
  <c r="S255" i="1" s="1"/>
  <c r="N248" i="1"/>
  <c r="S249" i="2"/>
  <c r="K249" i="2"/>
  <c r="M249" i="2" s="1"/>
  <c r="AI255" i="1" l="1"/>
  <c r="AI256" i="1"/>
  <c r="BK254" i="1"/>
  <c r="BM254" i="1" s="1"/>
  <c r="BK255" i="1"/>
  <c r="BM255" i="1" s="1"/>
  <c r="S256" i="1"/>
  <c r="BG249" i="1"/>
  <c r="U250" i="2"/>
  <c r="M250" i="2"/>
  <c r="BG248" i="1"/>
  <c r="U249" i="2"/>
  <c r="Q249" i="2"/>
  <c r="BE247" i="1"/>
  <c r="BA247" i="1"/>
  <c r="BK253" i="1" s="1"/>
  <c r="BM253" i="1" s="1"/>
  <c r="AL247" i="1"/>
  <c r="AR247" i="1" s="1"/>
  <c r="AG247" i="1"/>
  <c r="Q247" i="1"/>
  <c r="S254" i="1" s="1"/>
  <c r="N247" i="1"/>
  <c r="S248" i="2"/>
  <c r="K248" i="2"/>
  <c r="M248" i="2" s="1"/>
  <c r="AI254" i="1" l="1"/>
  <c r="BG247" i="1"/>
  <c r="U248" i="2"/>
  <c r="Q248" i="2"/>
  <c r="BE246" i="1"/>
  <c r="BA246" i="1"/>
  <c r="AL246" i="1"/>
  <c r="AR246" i="1" s="1"/>
  <c r="AG246" i="1"/>
  <c r="Q246" i="1"/>
  <c r="S253" i="1" s="1"/>
  <c r="N246" i="1"/>
  <c r="S247" i="2"/>
  <c r="K247" i="2"/>
  <c r="Q247" i="2" s="1"/>
  <c r="BE245" i="1"/>
  <c r="BA245" i="1"/>
  <c r="AL245" i="1"/>
  <c r="AR245" i="1" s="1"/>
  <c r="AG245" i="1"/>
  <c r="Q245" i="1"/>
  <c r="S252" i="1" s="1"/>
  <c r="N245" i="1"/>
  <c r="S246" i="2"/>
  <c r="K246" i="2"/>
  <c r="U246" i="2" s="1"/>
  <c r="AI252" i="1" l="1"/>
  <c r="AI253" i="1"/>
  <c r="BK251" i="1"/>
  <c r="BM251" i="1" s="1"/>
  <c r="BK252" i="1"/>
  <c r="BM252" i="1" s="1"/>
  <c r="BG246" i="1"/>
  <c r="U247" i="2"/>
  <c r="M247" i="2"/>
  <c r="BG245" i="1"/>
  <c r="M246" i="2"/>
  <c r="Q246" i="2"/>
  <c r="AR321" i="1"/>
  <c r="S245" i="2"/>
  <c r="BE244" i="1" l="1"/>
  <c r="BA244" i="1"/>
  <c r="AL244" i="1"/>
  <c r="AR244" i="1" s="1"/>
  <c r="AG244" i="1"/>
  <c r="Q244" i="1"/>
  <c r="N244" i="1"/>
  <c r="K245" i="2"/>
  <c r="Q245" i="2" s="1"/>
  <c r="S251" i="1" l="1"/>
  <c r="AI251" i="1"/>
  <c r="BK250" i="1"/>
  <c r="BM250" i="1" s="1"/>
  <c r="BG244" i="1"/>
  <c r="U245" i="2"/>
  <c r="M245" i="2"/>
  <c r="N235" i="1"/>
  <c r="AI306" i="1"/>
  <c r="W304" i="1"/>
  <c r="AA304" i="1" s="1"/>
  <c r="AA303" i="1" s="1"/>
  <c r="W303" i="1"/>
  <c r="BE243" i="1"/>
  <c r="BA243" i="1"/>
  <c r="AL243" i="1"/>
  <c r="AR243" i="1" s="1"/>
  <c r="AG243" i="1"/>
  <c r="Q243" i="1"/>
  <c r="S250" i="1" s="1"/>
  <c r="N243" i="1"/>
  <c r="S244" i="2"/>
  <c r="K244" i="2"/>
  <c r="Q244" i="2" s="1"/>
  <c r="AI250" i="1" l="1"/>
  <c r="BK249" i="1"/>
  <c r="BM249" i="1" s="1"/>
  <c r="BG243" i="1"/>
  <c r="U244" i="2"/>
  <c r="M244" i="2"/>
  <c r="BE242" i="1" l="1"/>
  <c r="BA242" i="1"/>
  <c r="AL242" i="1"/>
  <c r="AR242" i="1" s="1"/>
  <c r="AG242" i="1"/>
  <c r="Q242" i="1"/>
  <c r="S249" i="1" s="1"/>
  <c r="N242" i="1"/>
  <c r="S243" i="2"/>
  <c r="K243" i="2"/>
  <c r="Q243" i="2" s="1"/>
  <c r="BE241" i="1"/>
  <c r="BA241" i="1"/>
  <c r="AL241" i="1"/>
  <c r="AR241" i="1" s="1"/>
  <c r="AG241" i="1"/>
  <c r="Q241" i="1"/>
  <c r="S248" i="1" s="1"/>
  <c r="N241" i="1"/>
  <c r="S242" i="2"/>
  <c r="K242" i="2"/>
  <c r="Q242" i="2" s="1"/>
  <c r="AI248" i="1" l="1"/>
  <c r="AI249" i="1"/>
  <c r="BK247" i="1"/>
  <c r="BM247" i="1" s="1"/>
  <c r="BK248" i="1"/>
  <c r="BM248" i="1" s="1"/>
  <c r="BG242" i="1"/>
  <c r="U243" i="2"/>
  <c r="M243" i="2"/>
  <c r="BG241" i="1"/>
  <c r="U242" i="2"/>
  <c r="M242" i="2"/>
  <c r="BE240" i="1"/>
  <c r="BA240" i="1"/>
  <c r="AL240" i="1"/>
  <c r="AG240" i="1"/>
  <c r="Q240" i="1"/>
  <c r="S247" i="1" s="1"/>
  <c r="N240" i="1"/>
  <c r="S241" i="2"/>
  <c r="K241" i="2"/>
  <c r="Q241" i="2" s="1"/>
  <c r="BE239" i="1"/>
  <c r="BA239" i="1"/>
  <c r="AL239" i="1"/>
  <c r="AR239" i="1" s="1"/>
  <c r="AG239" i="1"/>
  <c r="Q239" i="1"/>
  <c r="S246" i="1" s="1"/>
  <c r="N239" i="1"/>
  <c r="S240" i="2"/>
  <c r="K240" i="2"/>
  <c r="Q240" i="2" s="1"/>
  <c r="G300" i="1"/>
  <c r="G301" i="1" s="1"/>
  <c r="F300" i="1"/>
  <c r="F301" i="1" s="1"/>
  <c r="E300" i="1"/>
  <c r="E301" i="1" s="1"/>
  <c r="BE238" i="1"/>
  <c r="BA238" i="1"/>
  <c r="AL238" i="1"/>
  <c r="AR238" i="1" s="1"/>
  <c r="AG238" i="1"/>
  <c r="Q238" i="1"/>
  <c r="S245" i="1" s="1"/>
  <c r="N238" i="1"/>
  <c r="S239" i="2"/>
  <c r="K239" i="2"/>
  <c r="Q239" i="2" s="1"/>
  <c r="AI247" i="1" l="1"/>
  <c r="BK246" i="1"/>
  <c r="BM246" i="1" s="1"/>
  <c r="AI245" i="1"/>
  <c r="AI246" i="1"/>
  <c r="BK245" i="1"/>
  <c r="BM245" i="1" s="1"/>
  <c r="BK244" i="1"/>
  <c r="BM244" i="1" s="1"/>
  <c r="AR240" i="1"/>
  <c r="BG240" i="1"/>
  <c r="U241" i="2"/>
  <c r="M241" i="2"/>
  <c r="BG239" i="1"/>
  <c r="U240" i="2"/>
  <c r="M240" i="2"/>
  <c r="BG238" i="1"/>
  <c r="U239" i="2"/>
  <c r="M239" i="2"/>
  <c r="BE237" i="1" l="1"/>
  <c r="BA237" i="1"/>
  <c r="AL237" i="1"/>
  <c r="AR237" i="1" s="1"/>
  <c r="AG237" i="1"/>
  <c r="Q237" i="1"/>
  <c r="S244" i="1" s="1"/>
  <c r="N237" i="1"/>
  <c r="S238" i="2"/>
  <c r="K238" i="2"/>
  <c r="Q238" i="2" s="1"/>
  <c r="AI244" i="1" l="1"/>
  <c r="BK243" i="1"/>
  <c r="BM243" i="1" s="1"/>
  <c r="BG237" i="1"/>
  <c r="U238" i="2"/>
  <c r="M238" i="2"/>
  <c r="AR324" i="1"/>
  <c r="Q236" i="1" l="1"/>
  <c r="S243" i="1" s="1"/>
  <c r="Q235" i="1"/>
  <c r="Q234" i="1"/>
  <c r="Q233" i="1"/>
  <c r="Q232" i="1"/>
  <c r="Q231" i="1"/>
  <c r="Q230" i="1"/>
  <c r="Q229" i="1"/>
  <c r="S229" i="1" s="1"/>
  <c r="Q228" i="1"/>
  <c r="Q227" i="1"/>
  <c r="Q226" i="1"/>
  <c r="Q225" i="1"/>
  <c r="Q224" i="1"/>
  <c r="Q223" i="1"/>
  <c r="Q222" i="1"/>
  <c r="Q221" i="1"/>
  <c r="S221" i="1" s="1"/>
  <c r="Q220" i="1"/>
  <c r="Q219" i="1"/>
  <c r="Q218" i="1"/>
  <c r="Q217" i="1"/>
  <c r="Q216" i="1"/>
  <c r="Q215" i="1"/>
  <c r="Q214" i="1"/>
  <c r="Q213" i="1"/>
  <c r="S213" i="1" s="1"/>
  <c r="Q212" i="1"/>
  <c r="Q211" i="1"/>
  <c r="Q210" i="1"/>
  <c r="Q209" i="1"/>
  <c r="Q208" i="1"/>
  <c r="Q207" i="1"/>
  <c r="Q206" i="1"/>
  <c r="Q205" i="1"/>
  <c r="S205" i="1" s="1"/>
  <c r="Q204" i="1"/>
  <c r="Q203" i="1"/>
  <c r="Q202" i="1"/>
  <c r="Q201" i="1"/>
  <c r="Q200" i="1"/>
  <c r="Q199" i="1"/>
  <c r="Q198" i="1"/>
  <c r="S198" i="1" s="1"/>
  <c r="Q197" i="1"/>
  <c r="S197" i="1" s="1"/>
  <c r="Q196" i="1"/>
  <c r="Q195" i="1"/>
  <c r="Q194" i="1"/>
  <c r="Q193" i="1"/>
  <c r="Q192" i="1"/>
  <c r="Q191" i="1"/>
  <c r="Q190" i="1"/>
  <c r="Q189" i="1"/>
  <c r="Q188" i="1"/>
  <c r="Q187" i="1"/>
  <c r="S207" i="1" l="1"/>
  <c r="S215" i="1"/>
  <c r="S223" i="1"/>
  <c r="S206" i="1"/>
  <c r="S214" i="1"/>
  <c r="S222" i="1"/>
  <c r="S199" i="1"/>
  <c r="S200" i="1"/>
  <c r="S208" i="1"/>
  <c r="S216" i="1"/>
  <c r="S224" i="1"/>
  <c r="S194" i="1"/>
  <c r="S202" i="1"/>
  <c r="S210" i="1"/>
  <c r="S218" i="1"/>
  <c r="S226" i="1"/>
  <c r="S230" i="1"/>
  <c r="S237" i="1"/>
  <c r="S231" i="1"/>
  <c r="S238" i="1"/>
  <c r="S232" i="1"/>
  <c r="S239" i="1"/>
  <c r="S201" i="1"/>
  <c r="S209" i="1"/>
  <c r="S217" i="1"/>
  <c r="S225" i="1"/>
  <c r="S233" i="1"/>
  <c r="S240" i="1"/>
  <c r="S234" i="1"/>
  <c r="S241" i="1"/>
  <c r="S195" i="1"/>
  <c r="S203" i="1"/>
  <c r="S211" i="1"/>
  <c r="S219" i="1"/>
  <c r="S227" i="1"/>
  <c r="S235" i="1"/>
  <c r="S242" i="1"/>
  <c r="S196" i="1"/>
  <c r="S204" i="1"/>
  <c r="S212" i="1"/>
  <c r="S220" i="1"/>
  <c r="S228" i="1"/>
  <c r="S236" i="1"/>
  <c r="BE236" i="1"/>
  <c r="BA236" i="1"/>
  <c r="BK242" i="1" s="1"/>
  <c r="BM242" i="1" s="1"/>
  <c r="AL236" i="1"/>
  <c r="AR236" i="1" s="1"/>
  <c r="AG236" i="1"/>
  <c r="AI243" i="1" s="1"/>
  <c r="N236" i="1"/>
  <c r="S237" i="2"/>
  <c r="K237" i="2"/>
  <c r="Q237" i="2" s="1"/>
  <c r="BG236" i="1" l="1"/>
  <c r="U237" i="2"/>
  <c r="M237" i="2"/>
  <c r="BE235" i="1"/>
  <c r="BA235" i="1"/>
  <c r="BK241" i="1" s="1"/>
  <c r="BM241" i="1" s="1"/>
  <c r="AL235" i="1"/>
  <c r="AR235" i="1" s="1"/>
  <c r="AG235" i="1"/>
  <c r="AI242" i="1" s="1"/>
  <c r="S236" i="2"/>
  <c r="U236" i="2"/>
  <c r="K236" i="2"/>
  <c r="Q236" i="2" s="1"/>
  <c r="BE234" i="1"/>
  <c r="BA234" i="1"/>
  <c r="BK240" i="1" s="1"/>
  <c r="BM240" i="1" s="1"/>
  <c r="AL234" i="1"/>
  <c r="AR234" i="1" s="1"/>
  <c r="AG234" i="1"/>
  <c r="AI241" i="1" s="1"/>
  <c r="N234" i="1"/>
  <c r="S235" i="2"/>
  <c r="K235" i="2"/>
  <c r="M235" i="2" s="1"/>
  <c r="BG235" i="1" l="1"/>
  <c r="M236" i="2"/>
  <c r="BG234" i="1"/>
  <c r="U235" i="2"/>
  <c r="Q235" i="2"/>
  <c r="BE233" i="1" l="1"/>
  <c r="BA233" i="1"/>
  <c r="BK239" i="1" s="1"/>
  <c r="BM239" i="1" s="1"/>
  <c r="AL233" i="1"/>
  <c r="AR233" i="1" s="1"/>
  <c r="AG233" i="1"/>
  <c r="AI240" i="1" s="1"/>
  <c r="N233" i="1"/>
  <c r="S234" i="2"/>
  <c r="K234" i="2"/>
  <c r="M234" i="2" s="1"/>
  <c r="BG233" i="1" l="1"/>
  <c r="Q234" i="2"/>
  <c r="U234" i="2"/>
  <c r="BE232" i="1"/>
  <c r="BA232" i="1"/>
  <c r="BK238" i="1" s="1"/>
  <c r="BM238" i="1" s="1"/>
  <c r="AL232" i="1"/>
  <c r="AR232" i="1" s="1"/>
  <c r="AG232" i="1"/>
  <c r="AI239" i="1" s="1"/>
  <c r="N232" i="1"/>
  <c r="S233" i="2"/>
  <c r="K233" i="2"/>
  <c r="Q233" i="2" s="1"/>
  <c r="BG232" i="1" l="1"/>
  <c r="U233" i="2"/>
  <c r="M233" i="2"/>
  <c r="BE231" i="1"/>
  <c r="BA231" i="1"/>
  <c r="BK237" i="1" s="1"/>
  <c r="BM237" i="1" s="1"/>
  <c r="AL231" i="1"/>
  <c r="AR231" i="1" s="1"/>
  <c r="AG231" i="1"/>
  <c r="AI238" i="1" s="1"/>
  <c r="N231" i="1"/>
  <c r="S232" i="2"/>
  <c r="K232" i="2"/>
  <c r="Q232" i="2" s="1"/>
  <c r="BG231" i="1" l="1"/>
  <c r="U232" i="2"/>
  <c r="M232" i="2"/>
  <c r="AP321" i="1" l="1"/>
  <c r="AR320" i="1"/>
  <c r="AP320" i="1"/>
  <c r="AR319" i="1"/>
  <c r="AP319" i="1"/>
  <c r="AV319" i="1" l="1"/>
  <c r="AV320" i="1"/>
  <c r="AV321" i="1"/>
  <c r="BE230" i="1"/>
  <c r="BA230" i="1"/>
  <c r="BK236" i="1" s="1"/>
  <c r="BM236" i="1" s="1"/>
  <c r="AL230" i="1"/>
  <c r="AR230" i="1" s="1"/>
  <c r="AG230" i="1"/>
  <c r="AI237" i="1" s="1"/>
  <c r="N230" i="1"/>
  <c r="S231" i="2"/>
  <c r="K231" i="2"/>
  <c r="Q231" i="2" s="1"/>
  <c r="BG230" i="1" l="1"/>
  <c r="U231" i="2"/>
  <c r="M231" i="2"/>
  <c r="S230" i="2"/>
  <c r="BE229" i="1" l="1"/>
  <c r="BA229" i="1"/>
  <c r="BK235" i="1" s="1"/>
  <c r="BM235" i="1" s="1"/>
  <c r="AL229" i="1"/>
  <c r="AG229" i="1"/>
  <c r="AI236" i="1" s="1"/>
  <c r="N229" i="1"/>
  <c r="K230" i="2"/>
  <c r="Q230" i="2" s="1"/>
  <c r="AR229" i="1" l="1"/>
  <c r="BG229" i="1"/>
  <c r="U230" i="2"/>
  <c r="M230" i="2"/>
  <c r="BE228" i="1"/>
  <c r="BA228" i="1"/>
  <c r="BK234" i="1" s="1"/>
  <c r="BM234" i="1" s="1"/>
  <c r="AL228" i="1"/>
  <c r="AR228" i="1" s="1"/>
  <c r="AG228" i="1"/>
  <c r="AI235" i="1" s="1"/>
  <c r="N228" i="1"/>
  <c r="S229" i="2"/>
  <c r="K229" i="2"/>
  <c r="M229" i="2" s="1"/>
  <c r="BE227" i="1"/>
  <c r="BA227" i="1"/>
  <c r="AL227" i="1"/>
  <c r="AR227" i="1" s="1"/>
  <c r="AG227" i="1"/>
  <c r="AI234" i="1" s="1"/>
  <c r="N227" i="1"/>
  <c r="S228" i="2"/>
  <c r="K228" i="2"/>
  <c r="Q228" i="2" s="1"/>
  <c r="BE226" i="1"/>
  <c r="BA226" i="1"/>
  <c r="AL226" i="1"/>
  <c r="AR226" i="1" s="1"/>
  <c r="AG226" i="1"/>
  <c r="AI233" i="1" s="1"/>
  <c r="N226" i="1"/>
  <c r="S227" i="2"/>
  <c r="K227" i="2"/>
  <c r="Q227" i="2" s="1"/>
  <c r="BK233" i="1" l="1"/>
  <c r="BM233" i="1" s="1"/>
  <c r="BK232" i="1"/>
  <c r="BM232" i="1" s="1"/>
  <c r="BG228" i="1"/>
  <c r="U229" i="2"/>
  <c r="Q229" i="2"/>
  <c r="BG227" i="1"/>
  <c r="U228" i="2"/>
  <c r="M228" i="2"/>
  <c r="BG226" i="1"/>
  <c r="U227" i="2"/>
  <c r="M227" i="2"/>
  <c r="BE225" i="1"/>
  <c r="BA225" i="1"/>
  <c r="BK231" i="1" s="1"/>
  <c r="BM231" i="1" s="1"/>
  <c r="AL225" i="1"/>
  <c r="AR225" i="1" s="1"/>
  <c r="AG225" i="1"/>
  <c r="AI232" i="1" s="1"/>
  <c r="N225" i="1"/>
  <c r="S226" i="2"/>
  <c r="K226" i="2"/>
  <c r="M226" i="2" s="1"/>
  <c r="BG225" i="1" l="1"/>
  <c r="Q226" i="2"/>
  <c r="U226" i="2"/>
  <c r="BE224" i="1"/>
  <c r="BA224" i="1"/>
  <c r="BK230" i="1" s="1"/>
  <c r="AL224" i="1"/>
  <c r="AR224" i="1" s="1"/>
  <c r="AG224" i="1"/>
  <c r="AI231" i="1" s="1"/>
  <c r="N224" i="1"/>
  <c r="S225" i="2"/>
  <c r="K225" i="2"/>
  <c r="M225" i="2" s="1"/>
  <c r="BM230" i="1" l="1"/>
  <c r="BG224" i="1"/>
  <c r="U225" i="2"/>
  <c r="Q225" i="2"/>
  <c r="S224" i="2"/>
  <c r="K224" i="2"/>
  <c r="Q224" i="2" s="1"/>
  <c r="BE223" i="1"/>
  <c r="BA223" i="1"/>
  <c r="BK229" i="1" s="1"/>
  <c r="BM229" i="1" s="1"/>
  <c r="AL223" i="1"/>
  <c r="AR223" i="1" s="1"/>
  <c r="AG223" i="1"/>
  <c r="AI230" i="1" s="1"/>
  <c r="N223" i="1"/>
  <c r="U224" i="2" l="1"/>
  <c r="M224" i="2"/>
  <c r="BG223" i="1"/>
  <c r="BE222" i="1" l="1"/>
  <c r="BA222" i="1"/>
  <c r="AL222" i="1"/>
  <c r="AR222" i="1" s="1"/>
  <c r="AG222" i="1"/>
  <c r="N222" i="1"/>
  <c r="S223" i="2"/>
  <c r="K223" i="2"/>
  <c r="Q223" i="2" s="1"/>
  <c r="BK228" i="1" l="1"/>
  <c r="BM228" i="1" s="1"/>
  <c r="AI229" i="1"/>
  <c r="BG222" i="1"/>
  <c r="U223" i="2"/>
  <c r="M223" i="2"/>
  <c r="BE221" i="1" l="1"/>
  <c r="BA221" i="1"/>
  <c r="BK227" i="1" s="1"/>
  <c r="BM227" i="1" s="1"/>
  <c r="AL221" i="1"/>
  <c r="AR221" i="1" s="1"/>
  <c r="AG221" i="1"/>
  <c r="N221" i="1"/>
  <c r="S222" i="2"/>
  <c r="K222" i="2"/>
  <c r="M222" i="2" s="1"/>
  <c r="AI228" i="1" l="1"/>
  <c r="BG221" i="1"/>
  <c r="U222" i="2"/>
  <c r="Q222" i="2"/>
  <c r="BE220" i="1" l="1"/>
  <c r="BA220" i="1"/>
  <c r="AL220" i="1"/>
  <c r="AR220" i="1" s="1"/>
  <c r="AG220" i="1"/>
  <c r="N220" i="1"/>
  <c r="S221" i="2"/>
  <c r="U221" i="2"/>
  <c r="K221" i="2"/>
  <c r="M221" i="2" s="1"/>
  <c r="BK226" i="1" l="1"/>
  <c r="BM226" i="1" s="1"/>
  <c r="AI227" i="1"/>
  <c r="BG220" i="1"/>
  <c r="Q221" i="2"/>
  <c r="BE219" i="1"/>
  <c r="BA219" i="1"/>
  <c r="AL219" i="1"/>
  <c r="AR219" i="1" s="1"/>
  <c r="AG219" i="1"/>
  <c r="AI226" i="1" s="1"/>
  <c r="N219" i="1"/>
  <c r="S220" i="2"/>
  <c r="K220" i="2"/>
  <c r="Q220" i="2" s="1"/>
  <c r="BK225" i="1" l="1"/>
  <c r="BM225" i="1" s="1"/>
  <c r="BG219" i="1"/>
  <c r="U220" i="2"/>
  <c r="M220" i="2"/>
  <c r="BE218" i="1" l="1"/>
  <c r="BA218" i="1"/>
  <c r="BK224" i="1" s="1"/>
  <c r="BM224" i="1" s="1"/>
  <c r="AL218" i="1"/>
  <c r="AR218" i="1" s="1"/>
  <c r="AG218" i="1"/>
  <c r="AI225" i="1" s="1"/>
  <c r="N218" i="1"/>
  <c r="S219" i="2"/>
  <c r="K219" i="2"/>
  <c r="Q219" i="2" s="1"/>
  <c r="BG218" i="1" l="1"/>
  <c r="U219" i="2"/>
  <c r="M219" i="2"/>
  <c r="BE217" i="1" l="1"/>
  <c r="BA217" i="1"/>
  <c r="BK223" i="1" s="1"/>
  <c r="BM223" i="1" s="1"/>
  <c r="AL217" i="1"/>
  <c r="AR217" i="1" s="1"/>
  <c r="AG217" i="1"/>
  <c r="AI224" i="1" s="1"/>
  <c r="N217" i="1"/>
  <c r="S218" i="2"/>
  <c r="K218" i="2"/>
  <c r="Q218" i="2" s="1"/>
  <c r="BG217" i="1" l="1"/>
  <c r="U218" i="2"/>
  <c r="M218" i="2"/>
  <c r="BE216" i="1"/>
  <c r="S217" i="2"/>
  <c r="BA365" i="1"/>
  <c r="N214" i="1"/>
  <c r="N204" i="1"/>
  <c r="BA364" i="1" s="1"/>
  <c r="BC364" i="1" s="1"/>
  <c r="BE364" i="1" s="1"/>
  <c r="N174" i="1"/>
  <c r="BA363" i="1" s="1"/>
  <c r="N112" i="1"/>
  <c r="BA216" i="1"/>
  <c r="BK222" i="1" s="1"/>
  <c r="BM222" i="1" s="1"/>
  <c r="AL216" i="1"/>
  <c r="AR216" i="1" s="1"/>
  <c r="AG216" i="1"/>
  <c r="AI223" i="1" s="1"/>
  <c r="N216" i="1"/>
  <c r="K217" i="2"/>
  <c r="M217" i="2" s="1"/>
  <c r="BC365" i="1" l="1"/>
  <c r="BE365" i="1" s="1"/>
  <c r="BG216" i="1"/>
  <c r="U217" i="2"/>
  <c r="Q217" i="2"/>
  <c r="BE215" i="1" l="1"/>
  <c r="BA215" i="1"/>
  <c r="BK221" i="1" s="1"/>
  <c r="BM221" i="1" s="1"/>
  <c r="AL215" i="1"/>
  <c r="AR215" i="1" s="1"/>
  <c r="AG215" i="1"/>
  <c r="AI222" i="1" s="1"/>
  <c r="N215" i="1"/>
  <c r="S216" i="2"/>
  <c r="K216" i="2"/>
  <c r="M216" i="2" s="1"/>
  <c r="BG215" i="1" l="1"/>
  <c r="U216" i="2"/>
  <c r="Q216" i="2"/>
  <c r="BE214" i="1" l="1"/>
  <c r="BA214" i="1"/>
  <c r="BK220" i="1" s="1"/>
  <c r="BM220" i="1" s="1"/>
  <c r="AL214" i="1"/>
  <c r="AR214" i="1" s="1"/>
  <c r="AG214" i="1"/>
  <c r="AI221" i="1" s="1"/>
  <c r="S215" i="2"/>
  <c r="K215" i="2"/>
  <c r="BE213" i="1"/>
  <c r="BA213" i="1"/>
  <c r="AL213" i="1"/>
  <c r="AR213" i="1" s="1"/>
  <c r="AG213" i="1"/>
  <c r="AI220" i="1" s="1"/>
  <c r="N213" i="1"/>
  <c r="S214" i="2"/>
  <c r="K214" i="2"/>
  <c r="BK219" i="1" l="1"/>
  <c r="BM219" i="1" s="1"/>
  <c r="M215" i="2"/>
  <c r="BG214" i="1"/>
  <c r="Q215" i="2"/>
  <c r="U215" i="2"/>
  <c r="BG213" i="1"/>
  <c r="U214" i="2"/>
  <c r="S213" i="2" l="1"/>
  <c r="BE212" i="1" l="1"/>
  <c r="BA212" i="1"/>
  <c r="BK218" i="1" s="1"/>
  <c r="BM218" i="1" s="1"/>
  <c r="AL212" i="1"/>
  <c r="AR212" i="1" s="1"/>
  <c r="AG212" i="1"/>
  <c r="AI219" i="1" s="1"/>
  <c r="N212" i="1"/>
  <c r="K213" i="2"/>
  <c r="Q214" i="2" l="1"/>
  <c r="M214" i="2"/>
  <c r="BG212" i="1"/>
  <c r="U213" i="2"/>
  <c r="BE211" i="1" l="1"/>
  <c r="BA211" i="1"/>
  <c r="BK217" i="1" s="1"/>
  <c r="BM217" i="1" s="1"/>
  <c r="AL211" i="1"/>
  <c r="AR211" i="1" s="1"/>
  <c r="AG211" i="1"/>
  <c r="AI218" i="1" s="1"/>
  <c r="N211" i="1"/>
  <c r="S212" i="2"/>
  <c r="K212" i="2"/>
  <c r="BE210" i="1"/>
  <c r="BA210" i="1"/>
  <c r="AL210" i="1"/>
  <c r="AR210" i="1" s="1"/>
  <c r="AG210" i="1"/>
  <c r="AI217" i="1" s="1"/>
  <c r="N210" i="1"/>
  <c r="S211" i="2"/>
  <c r="K211" i="2"/>
  <c r="Q212" i="2" l="1"/>
  <c r="Q213" i="2"/>
  <c r="M213" i="2"/>
  <c r="BK216" i="1"/>
  <c r="BM216" i="1" s="1"/>
  <c r="BG211" i="1"/>
  <c r="U212" i="2"/>
  <c r="M212" i="2"/>
  <c r="BG210" i="1"/>
  <c r="U211" i="2"/>
  <c r="K210" i="2" l="1"/>
  <c r="BE209" i="1"/>
  <c r="BA209" i="1"/>
  <c r="BK215" i="1" s="1"/>
  <c r="BM215" i="1" s="1"/>
  <c r="AL209" i="1"/>
  <c r="AR209" i="1" s="1"/>
  <c r="AG209" i="1"/>
  <c r="AI216" i="1" s="1"/>
  <c r="N209" i="1"/>
  <c r="M211" i="2" l="1"/>
  <c r="Q211" i="2"/>
  <c r="U210" i="2"/>
  <c r="BG209" i="1"/>
  <c r="S209" i="2" l="1"/>
  <c r="BE208" i="1" l="1"/>
  <c r="BA208" i="1"/>
  <c r="BK214" i="1" s="1"/>
  <c r="AL208" i="1"/>
  <c r="AG208" i="1"/>
  <c r="AI215" i="1" s="1"/>
  <c r="N208" i="1"/>
  <c r="K209" i="2"/>
  <c r="S208" i="2"/>
  <c r="Q210" i="2" l="1"/>
  <c r="M210" i="2"/>
  <c r="BM214" i="1"/>
  <c r="AR208" i="1"/>
  <c r="BG208" i="1"/>
  <c r="U209" i="2"/>
  <c r="M209" i="2"/>
  <c r="K208" i="2"/>
  <c r="BE207" i="1"/>
  <c r="BA207" i="1"/>
  <c r="BK213" i="1" s="1"/>
  <c r="AL207" i="1"/>
  <c r="AR207" i="1" s="1"/>
  <c r="AG207" i="1"/>
  <c r="AI214" i="1" s="1"/>
  <c r="N207" i="1"/>
  <c r="S207" i="2"/>
  <c r="BE206" i="1"/>
  <c r="BA206" i="1"/>
  <c r="AL206" i="1"/>
  <c r="AR206" i="1" s="1"/>
  <c r="AG206" i="1"/>
  <c r="AI213" i="1" s="1"/>
  <c r="N206" i="1"/>
  <c r="K207" i="2"/>
  <c r="Q208" i="2" l="1"/>
  <c r="Q209" i="2"/>
  <c r="BK212" i="1"/>
  <c r="BM212" i="1" s="1"/>
  <c r="BM213" i="1"/>
  <c r="BG207" i="1"/>
  <c r="U208" i="2"/>
  <c r="M208" i="2"/>
  <c r="BG206" i="1"/>
  <c r="U207" i="2"/>
  <c r="BE205" i="1" l="1"/>
  <c r="BA205" i="1"/>
  <c r="BK211" i="1" s="1"/>
  <c r="BM211" i="1" s="1"/>
  <c r="AL205" i="1"/>
  <c r="AR205" i="1" s="1"/>
  <c r="AG205" i="1"/>
  <c r="AI212" i="1" s="1"/>
  <c r="N205" i="1"/>
  <c r="S206" i="2"/>
  <c r="K206" i="2"/>
  <c r="S205" i="2"/>
  <c r="D333" i="1"/>
  <c r="H333" i="1" s="1"/>
  <c r="Q207" i="2" l="1"/>
  <c r="M207" i="2"/>
  <c r="BG205" i="1"/>
  <c r="U206" i="2"/>
  <c r="BE204" i="1"/>
  <c r="BA204" i="1"/>
  <c r="BK210" i="1" s="1"/>
  <c r="BM210" i="1" s="1"/>
  <c r="AL204" i="1"/>
  <c r="AR204" i="1" s="1"/>
  <c r="AG204" i="1"/>
  <c r="AI211" i="1" s="1"/>
  <c r="K205" i="2"/>
  <c r="M206" i="2" l="1"/>
  <c r="Q206" i="2"/>
  <c r="BG204" i="1"/>
  <c r="U205" i="2"/>
  <c r="S204" i="2" l="1"/>
  <c r="BE203" i="1" l="1"/>
  <c r="BA203" i="1"/>
  <c r="AL203" i="1"/>
  <c r="AR203" i="1" s="1"/>
  <c r="AG203" i="1"/>
  <c r="AI210" i="1" s="1"/>
  <c r="N203" i="1"/>
  <c r="K204" i="2"/>
  <c r="M205" i="2" l="1"/>
  <c r="Q205" i="2"/>
  <c r="BK209" i="1"/>
  <c r="BG203" i="1"/>
  <c r="U204" i="2"/>
  <c r="BM209" i="1" l="1"/>
  <c r="BE202" i="1"/>
  <c r="BA202" i="1"/>
  <c r="AL202" i="1"/>
  <c r="AR202" i="1" s="1"/>
  <c r="AG202" i="1"/>
  <c r="N202" i="1"/>
  <c r="S203" i="2"/>
  <c r="K203" i="2"/>
  <c r="S202" i="2"/>
  <c r="BE201" i="1"/>
  <c r="BA201" i="1"/>
  <c r="AL201" i="1"/>
  <c r="AR201" i="1" s="1"/>
  <c r="AG201" i="1"/>
  <c r="N201" i="1"/>
  <c r="AP352" i="1" s="1"/>
  <c r="K202" i="2"/>
  <c r="M203" i="2" l="1"/>
  <c r="Q204" i="2"/>
  <c r="M204" i="2"/>
  <c r="AI209" i="1"/>
  <c r="BK207" i="1"/>
  <c r="BM207" i="1" s="1"/>
  <c r="BK208" i="1"/>
  <c r="BM208" i="1" s="1"/>
  <c r="AI208" i="1"/>
  <c r="BG202" i="1"/>
  <c r="U203" i="2"/>
  <c r="Q203" i="2"/>
  <c r="BG201" i="1"/>
  <c r="U202" i="2"/>
  <c r="BE200" i="1" l="1"/>
  <c r="BA200" i="1"/>
  <c r="AL200" i="1"/>
  <c r="AR200" i="1" s="1"/>
  <c r="AG200" i="1"/>
  <c r="N200" i="1"/>
  <c r="S201" i="2"/>
  <c r="K201" i="2"/>
  <c r="Q202" i="2" l="1"/>
  <c r="M202" i="2"/>
  <c r="U201" i="2"/>
  <c r="BG200" i="1"/>
  <c r="AI207" i="1"/>
  <c r="BK206" i="1"/>
  <c r="BM206" i="1" s="1"/>
  <c r="S200" i="2" l="1"/>
  <c r="BE199" i="1" l="1"/>
  <c r="BA199" i="1"/>
  <c r="AL199" i="1"/>
  <c r="AR199" i="1" s="1"/>
  <c r="AG199" i="1"/>
  <c r="N199" i="1"/>
  <c r="K200" i="2"/>
  <c r="S199" i="2"/>
  <c r="Q201" i="2" l="1"/>
  <c r="M201" i="2"/>
  <c r="AI206" i="1"/>
  <c r="BK205" i="1"/>
  <c r="BM205" i="1" s="1"/>
  <c r="U200" i="2"/>
  <c r="BG199" i="1"/>
  <c r="BE198" i="1" l="1"/>
  <c r="BA198" i="1"/>
  <c r="AL198" i="1"/>
  <c r="AR198" i="1" s="1"/>
  <c r="AG198" i="1"/>
  <c r="N198" i="1"/>
  <c r="K199" i="2"/>
  <c r="Q200" i="2" l="1"/>
  <c r="M200" i="2"/>
  <c r="BK204" i="1"/>
  <c r="BM204" i="1" s="1"/>
  <c r="AI205" i="1"/>
  <c r="BG198" i="1"/>
  <c r="U199" i="2"/>
  <c r="BE197" i="1"/>
  <c r="BA197" i="1"/>
  <c r="AL197" i="1"/>
  <c r="AR197" i="1" s="1"/>
  <c r="AG197" i="1"/>
  <c r="N197" i="1"/>
  <c r="S198" i="2"/>
  <c r="K198" i="2"/>
  <c r="U198" i="2" s="1"/>
  <c r="M199" i="2" l="1"/>
  <c r="Q199" i="2"/>
  <c r="BG197" i="1"/>
  <c r="BK203" i="1"/>
  <c r="BM203" i="1" s="1"/>
  <c r="AI204" i="1"/>
  <c r="Q198" i="2"/>
  <c r="S197" i="2"/>
  <c r="K197" i="2"/>
  <c r="AG196" i="1"/>
  <c r="BE196" i="1"/>
  <c r="BA196" i="1"/>
  <c r="AL196" i="1"/>
  <c r="N196" i="1"/>
  <c r="M198" i="2" l="1"/>
  <c r="BK202" i="1"/>
  <c r="BM202" i="1" s="1"/>
  <c r="AI203" i="1"/>
  <c r="U197" i="2"/>
  <c r="AR196" i="1"/>
  <c r="BG196" i="1"/>
  <c r="BE195" i="1"/>
  <c r="BA195" i="1"/>
  <c r="AL195" i="1"/>
  <c r="AR195" i="1" s="1"/>
  <c r="AG195" i="1"/>
  <c r="N195" i="1"/>
  <c r="BE194" i="1"/>
  <c r="BA194" i="1"/>
  <c r="AL194" i="1"/>
  <c r="AR194" i="1" s="1"/>
  <c r="AG194" i="1"/>
  <c r="N194" i="1"/>
  <c r="S196" i="2"/>
  <c r="K196" i="2"/>
  <c r="M197" i="2" s="1"/>
  <c r="Q197" i="2" l="1"/>
  <c r="AI202" i="1"/>
  <c r="AI201" i="1"/>
  <c r="BK200" i="1"/>
  <c r="BM200" i="1" s="1"/>
  <c r="BK201" i="1"/>
  <c r="BM201" i="1" s="1"/>
  <c r="BG195" i="1"/>
  <c r="BG194" i="1"/>
  <c r="U196" i="2"/>
  <c r="S195" i="2"/>
  <c r="K195" i="2"/>
  <c r="Q195" i="2" s="1"/>
  <c r="BE193" i="1"/>
  <c r="BA193" i="1"/>
  <c r="BK199" i="1" s="1"/>
  <c r="BM199" i="1" s="1"/>
  <c r="AL193" i="1"/>
  <c r="AR193" i="1" s="1"/>
  <c r="AG193" i="1"/>
  <c r="AI200" i="1" s="1"/>
  <c r="N193" i="1"/>
  <c r="S194" i="2"/>
  <c r="K194" i="2"/>
  <c r="M194" i="2" s="1"/>
  <c r="BE192" i="1"/>
  <c r="BA192" i="1"/>
  <c r="AL192" i="1"/>
  <c r="AR192" i="1" s="1"/>
  <c r="AG192" i="1"/>
  <c r="AI199" i="1" s="1"/>
  <c r="N192" i="1"/>
  <c r="S193" i="2"/>
  <c r="K193" i="2"/>
  <c r="Q196" i="2" l="1"/>
  <c r="M196" i="2"/>
  <c r="BK198" i="1"/>
  <c r="BM198" i="1" s="1"/>
  <c r="U195" i="2"/>
  <c r="M195" i="2"/>
  <c r="BG193" i="1"/>
  <c r="U194" i="2"/>
  <c r="Q194" i="2"/>
  <c r="BG192" i="1"/>
  <c r="U193" i="2"/>
  <c r="S192" i="2" l="1"/>
  <c r="BE191" i="1" l="1"/>
  <c r="BA191" i="1"/>
  <c r="AL191" i="1"/>
  <c r="AR191" i="1" s="1"/>
  <c r="AG191" i="1"/>
  <c r="N191" i="1"/>
  <c r="AI198" i="1" l="1"/>
  <c r="BK197" i="1"/>
  <c r="BM197" i="1" s="1"/>
  <c r="BG191" i="1"/>
  <c r="K192" i="2"/>
  <c r="BE190" i="1"/>
  <c r="BA190" i="1"/>
  <c r="AL190" i="1"/>
  <c r="AR190" i="1" s="1"/>
  <c r="AG190" i="1"/>
  <c r="N190" i="1"/>
  <c r="S191" i="2"/>
  <c r="K191" i="2"/>
  <c r="S190" i="2"/>
  <c r="M192" i="2" l="1"/>
  <c r="Q193" i="2"/>
  <c r="M193" i="2"/>
  <c r="AI197" i="1"/>
  <c r="BK196" i="1"/>
  <c r="BM196" i="1" s="1"/>
  <c r="U192" i="2"/>
  <c r="Q192" i="2"/>
  <c r="BG190" i="1"/>
  <c r="U191" i="2"/>
  <c r="BE189" i="1" l="1"/>
  <c r="BA189" i="1"/>
  <c r="BK195" i="1" s="1"/>
  <c r="BM195" i="1" s="1"/>
  <c r="AL189" i="1"/>
  <c r="AR189" i="1" s="1"/>
  <c r="AG189" i="1"/>
  <c r="AI196" i="1" s="1"/>
  <c r="N189" i="1"/>
  <c r="K190" i="2"/>
  <c r="S189" i="2"/>
  <c r="Q191" i="2" l="1"/>
  <c r="M191" i="2"/>
  <c r="BG189" i="1"/>
  <c r="U190" i="2"/>
  <c r="BE188" i="1" l="1"/>
  <c r="BA188" i="1"/>
  <c r="BK194" i="1" s="1"/>
  <c r="AL188" i="1"/>
  <c r="AG188" i="1"/>
  <c r="AI195" i="1" s="1"/>
  <c r="N188" i="1"/>
  <c r="K189" i="2"/>
  <c r="Q190" i="2" l="1"/>
  <c r="M190" i="2"/>
  <c r="BM194" i="1"/>
  <c r="BK305" i="1"/>
  <c r="AR188" i="1"/>
  <c r="BG188" i="1"/>
  <c r="U189" i="2"/>
  <c r="BE187" i="1"/>
  <c r="BA187" i="1"/>
  <c r="BK193" i="1" s="1"/>
  <c r="BM193" i="1" s="1"/>
  <c r="AL187" i="1"/>
  <c r="AR187" i="1" s="1"/>
  <c r="AG187" i="1"/>
  <c r="AI194" i="1" s="1"/>
  <c r="S188" i="2"/>
  <c r="K188" i="2"/>
  <c r="N187" i="1"/>
  <c r="BE186" i="1"/>
  <c r="BA186" i="1"/>
  <c r="AL186" i="1"/>
  <c r="AR186" i="1" s="1"/>
  <c r="AG186" i="1"/>
  <c r="AI193" i="1" s="1"/>
  <c r="Q186" i="1"/>
  <c r="S193" i="1" s="1"/>
  <c r="N186" i="1"/>
  <c r="S187" i="2"/>
  <c r="K187" i="2"/>
  <c r="BE185" i="1"/>
  <c r="BA185" i="1"/>
  <c r="AL185" i="1"/>
  <c r="AR185" i="1" s="1"/>
  <c r="AG185" i="1"/>
  <c r="AI192" i="1" s="1"/>
  <c r="Q185" i="1"/>
  <c r="S192" i="1" s="1"/>
  <c r="N185" i="1"/>
  <c r="S186" i="2"/>
  <c r="K186" i="2"/>
  <c r="Q187" i="2" l="1"/>
  <c r="M188" i="2"/>
  <c r="M189" i="2"/>
  <c r="Q189" i="2"/>
  <c r="BK191" i="1"/>
  <c r="BM191" i="1" s="1"/>
  <c r="BK192" i="1"/>
  <c r="BM192" i="1" s="1"/>
  <c r="BG187" i="1"/>
  <c r="U188" i="2"/>
  <c r="Q188" i="2"/>
  <c r="BG186" i="1"/>
  <c r="U187" i="2"/>
  <c r="M187" i="2"/>
  <c r="BG185" i="1"/>
  <c r="U186" i="2"/>
  <c r="BE184" i="1" l="1"/>
  <c r="BA184" i="1"/>
  <c r="BK190" i="1" s="1"/>
  <c r="BM190" i="1" s="1"/>
  <c r="AL184" i="1"/>
  <c r="AG184" i="1"/>
  <c r="AI191" i="1" s="1"/>
  <c r="Q184" i="1"/>
  <c r="S191" i="1" s="1"/>
  <c r="N184" i="1"/>
  <c r="S185" i="2"/>
  <c r="K185" i="2"/>
  <c r="Q186" i="2" l="1"/>
  <c r="M186" i="2"/>
  <c r="BG184" i="1"/>
  <c r="AR184" i="1"/>
  <c r="U185" i="2"/>
  <c r="BE183" i="1" l="1"/>
  <c r="BA183" i="1"/>
  <c r="BK189" i="1" s="1"/>
  <c r="BM189" i="1" s="1"/>
  <c r="AL183" i="1"/>
  <c r="AR183" i="1" s="1"/>
  <c r="AG183" i="1"/>
  <c r="AI190" i="1" s="1"/>
  <c r="Q183" i="1"/>
  <c r="S190" i="1" s="1"/>
  <c r="N183" i="1"/>
  <c r="S184" i="2"/>
  <c r="K184" i="2"/>
  <c r="M185" i="2" l="1"/>
  <c r="Q185" i="2"/>
  <c r="BG183" i="1"/>
  <c r="U184" i="2"/>
  <c r="S183" i="2"/>
  <c r="BE182" i="1" l="1"/>
  <c r="BA182" i="1"/>
  <c r="BK188" i="1" s="1"/>
  <c r="BM188" i="1" s="1"/>
  <c r="AL182" i="1"/>
  <c r="AR182" i="1" s="1"/>
  <c r="AG182" i="1"/>
  <c r="AI189" i="1" s="1"/>
  <c r="Q182" i="1"/>
  <c r="S189" i="1" s="1"/>
  <c r="N182" i="1"/>
  <c r="K183" i="2"/>
  <c r="BE181" i="1"/>
  <c r="BA181" i="1"/>
  <c r="AL181" i="1"/>
  <c r="AR181" i="1" s="1"/>
  <c r="AG181" i="1"/>
  <c r="AI188" i="1" s="1"/>
  <c r="Q181" i="1"/>
  <c r="S188" i="1" s="1"/>
  <c r="N181" i="1"/>
  <c r="S182" i="2"/>
  <c r="K182" i="2"/>
  <c r="M182" i="2" s="1"/>
  <c r="BE180" i="1"/>
  <c r="BA180" i="1"/>
  <c r="AL180" i="1"/>
  <c r="AR180" i="1" s="1"/>
  <c r="AG180" i="1"/>
  <c r="Q180" i="1"/>
  <c r="S187" i="1" s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S178" i="2"/>
  <c r="BE177" i="1"/>
  <c r="BA177" i="1"/>
  <c r="AL177" i="1"/>
  <c r="AR177" i="1" s="1"/>
  <c r="AG177" i="1"/>
  <c r="Q177" i="1"/>
  <c r="N177" i="1"/>
  <c r="K178" i="2"/>
  <c r="Q179" i="2" l="1"/>
  <c r="M183" i="2"/>
  <c r="Q184" i="2"/>
  <c r="M184" i="2"/>
  <c r="U182" i="2"/>
  <c r="S186" i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U183" i="2"/>
  <c r="BG182" i="1"/>
  <c r="Q183" i="2"/>
  <c r="BG181" i="1"/>
  <c r="Q182" i="2"/>
  <c r="BG180" i="1"/>
  <c r="U181" i="2"/>
  <c r="Q181" i="2"/>
  <c r="M180" i="2"/>
  <c r="Q180" i="2"/>
  <c r="BG179" i="1"/>
  <c r="BG178" i="1"/>
  <c r="U179" i="2"/>
  <c r="M179" i="2"/>
  <c r="BG177" i="1"/>
  <c r="U178" i="2"/>
  <c r="BE176" i="1"/>
  <c r="BA176" i="1"/>
  <c r="AL176" i="1"/>
  <c r="AR176" i="1" s="1"/>
  <c r="AG176" i="1"/>
  <c r="Q176" i="1"/>
  <c r="S183" i="1" s="1"/>
  <c r="N176" i="1"/>
  <c r="S176" i="2"/>
  <c r="S177" i="2"/>
  <c r="K177" i="2"/>
  <c r="Q178" i="2" s="1"/>
  <c r="M178" i="2" l="1"/>
  <c r="BK303" i="1"/>
  <c r="BK306" i="1"/>
  <c r="AI183" i="1"/>
  <c r="BM187" i="1"/>
  <c r="BK182" i="1"/>
  <c r="BM182" i="1" s="1"/>
  <c r="BG176" i="1"/>
  <c r="U177" i="2"/>
  <c r="BE175" i="1"/>
  <c r="BA175" i="1"/>
  <c r="AL175" i="1"/>
  <c r="AR175" i="1" s="1"/>
  <c r="AG175" i="1"/>
  <c r="Q175" i="1"/>
  <c r="S182" i="1" s="1"/>
  <c r="N175" i="1"/>
  <c r="K176" i="2"/>
  <c r="M177" i="2" s="1"/>
  <c r="Q177" i="2" l="1"/>
  <c r="AI182" i="1"/>
  <c r="BK181" i="1"/>
  <c r="BM181" i="1" s="1"/>
  <c r="U176" i="2"/>
  <c r="BG175" i="1"/>
  <c r="S175" i="2" l="1"/>
  <c r="BE174" i="1" l="1"/>
  <c r="BA174" i="1"/>
  <c r="AL174" i="1"/>
  <c r="AR174" i="1" s="1"/>
  <c r="AG174" i="1"/>
  <c r="Q174" i="1"/>
  <c r="S181" i="1" s="1"/>
  <c r="K175" i="2"/>
  <c r="Q176" i="2" l="1"/>
  <c r="M176" i="2"/>
  <c r="AI181" i="1"/>
  <c r="BK180" i="1"/>
  <c r="BG174" i="1"/>
  <c r="U175" i="2"/>
  <c r="S174" i="2"/>
  <c r="BE173" i="1"/>
  <c r="BA173" i="1"/>
  <c r="AL173" i="1"/>
  <c r="AR173" i="1" s="1"/>
  <c r="AG173" i="1"/>
  <c r="Q173" i="1"/>
  <c r="N173" i="1"/>
  <c r="K174" i="2"/>
  <c r="Q174" i="2" s="1"/>
  <c r="S173" i="2"/>
  <c r="BE172" i="1"/>
  <c r="BA172" i="1"/>
  <c r="AL172" i="1"/>
  <c r="AG172" i="1"/>
  <c r="Q172" i="1"/>
  <c r="S179" i="1" s="1"/>
  <c r="N172" i="1"/>
  <c r="K173" i="2"/>
  <c r="M175" i="2" l="1"/>
  <c r="Q175" i="2"/>
  <c r="BK179" i="1"/>
  <c r="BM179" i="1" s="1"/>
  <c r="BM180" i="1"/>
  <c r="AI179" i="1"/>
  <c r="BK178" i="1"/>
  <c r="BM178" i="1" s="1"/>
  <c r="AI180" i="1"/>
  <c r="S180" i="1"/>
  <c r="BG173" i="1"/>
  <c r="U174" i="2"/>
  <c r="M174" i="2"/>
  <c r="BG172" i="1"/>
  <c r="AR172" i="1"/>
  <c r="U173" i="2"/>
  <c r="M173" i="2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3" i="2" l="1"/>
  <c r="BG171" i="1"/>
  <c r="BK177" i="1"/>
  <c r="BM177" i="1" s="1"/>
  <c r="U172" i="2"/>
  <c r="S170" i="2" l="1"/>
  <c r="K170" i="2"/>
  <c r="S171" i="2"/>
  <c r="U171" i="2" s="1"/>
  <c r="K171" i="2"/>
  <c r="Q172" i="2" l="1"/>
  <c r="M172" i="2"/>
  <c r="U170" i="2"/>
  <c r="Q171" i="2"/>
  <c r="M171" i="2"/>
  <c r="BE170" i="1" l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BE169" i="1" l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70" i="2" l="1"/>
  <c r="Q170" i="2"/>
  <c r="U169" i="2"/>
  <c r="BG169" i="1"/>
  <c r="S168" i="2" l="1"/>
  <c r="BE168" i="1" l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M169" i="2" l="1"/>
  <c r="Q169" i="2"/>
  <c r="BG168" i="1"/>
  <c r="U168" i="2"/>
  <c r="S167" i="2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Q168" i="2" l="1"/>
  <c r="M168" i="2"/>
  <c r="AR167" i="1"/>
  <c r="BG167" i="1"/>
  <c r="U167" i="2"/>
  <c r="N110" i="1" l="1"/>
  <c r="N103" i="1"/>
  <c r="S166" i="2"/>
  <c r="BE166" i="1" l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S165" i="2"/>
  <c r="BE165" i="1"/>
  <c r="BA165" i="1"/>
  <c r="AL165" i="1"/>
  <c r="AR165" i="1" s="1"/>
  <c r="AG165" i="1"/>
  <c r="AI172" i="1" s="1"/>
  <c r="Q165" i="1"/>
  <c r="S172" i="1" s="1"/>
  <c r="N165" i="1"/>
  <c r="BK171" i="1" l="1"/>
  <c r="BM171" i="1" s="1"/>
  <c r="M167" i="2"/>
  <c r="Q167" i="2"/>
  <c r="BG165" i="1"/>
  <c r="BG166" i="1"/>
  <c r="U166" i="2"/>
  <c r="Q166" i="2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6" i="2" l="1"/>
  <c r="BG164" i="1"/>
  <c r="U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M165" i="2" l="1"/>
  <c r="Q165" i="2"/>
  <c r="BG163" i="1"/>
  <c r="AR163" i="1"/>
  <c r="U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4" i="2" l="1"/>
  <c r="Q164" i="2"/>
  <c r="BK168" i="1"/>
  <c r="BG162" i="1"/>
  <c r="AR162" i="1"/>
  <c r="U163" i="2"/>
  <c r="BM168" i="1" l="1"/>
  <c r="BE161" i="1"/>
  <c r="BA161" i="1"/>
  <c r="AL161" i="1"/>
  <c r="AR161" i="1" s="1"/>
  <c r="AG161" i="1"/>
  <c r="Q161" i="1"/>
  <c r="S168" i="1" s="1"/>
  <c r="N161" i="1"/>
  <c r="K162" i="2"/>
  <c r="M163" i="2" l="1"/>
  <c r="Q163" i="2"/>
  <c r="AI168" i="1"/>
  <c r="BK167" i="1"/>
  <c r="BM167" i="1" s="1"/>
  <c r="BG161" i="1"/>
  <c r="U162" i="2"/>
  <c r="S161" i="2"/>
  <c r="BE160" i="1" l="1"/>
  <c r="BA160" i="1"/>
  <c r="AL160" i="1"/>
  <c r="AR160" i="1" s="1"/>
  <c r="AG160" i="1"/>
  <c r="Q160" i="1"/>
  <c r="N160" i="1"/>
  <c r="K161" i="2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61" i="2" l="1"/>
  <c r="Q162" i="2"/>
  <c r="M162" i="2"/>
  <c r="S165" i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353" i="1"/>
  <c r="AP354" i="1" s="1"/>
  <c r="U160" i="2"/>
  <c r="BG159" i="1"/>
  <c r="Q160" i="2"/>
  <c r="BG158" i="1"/>
  <c r="U159" i="2"/>
  <c r="BM166" i="1" l="1"/>
  <c r="BE157" i="1"/>
  <c r="BA157" i="1"/>
  <c r="AL157" i="1"/>
  <c r="AR157" i="1" s="1"/>
  <c r="AG157" i="1"/>
  <c r="AI164" i="1" s="1"/>
  <c r="Q157" i="1"/>
  <c r="S164" i="1" s="1"/>
  <c r="S158" i="2"/>
  <c r="K158" i="2"/>
  <c r="Q159" i="2" l="1"/>
  <c r="M159" i="2"/>
  <c r="BK163" i="1"/>
  <c r="BM163" i="1" s="1"/>
  <c r="BG157" i="1"/>
  <c r="AI157" i="1"/>
  <c r="U158" i="2"/>
  <c r="BE156" i="1"/>
  <c r="BA156" i="1"/>
  <c r="AL156" i="1"/>
  <c r="AG156" i="1"/>
  <c r="Q156" i="1"/>
  <c r="S163" i="1" s="1"/>
  <c r="S157" i="2"/>
  <c r="K157" i="2"/>
  <c r="M158" i="2" s="1"/>
  <c r="Q158" i="2" l="1"/>
  <c r="AI156" i="1"/>
  <c r="AI163" i="1"/>
  <c r="BK162" i="1"/>
  <c r="BM162" i="1" s="1"/>
  <c r="AR156" i="1"/>
  <c r="BG156" i="1"/>
  <c r="U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7" i="2" l="1"/>
  <c r="Q157" i="2"/>
  <c r="AI155" i="1"/>
  <c r="AI162" i="1"/>
  <c r="BK161" i="1"/>
  <c r="BM161" i="1" s="1"/>
  <c r="BG155" i="1"/>
  <c r="U156" i="2"/>
  <c r="S155" i="2" l="1"/>
  <c r="BE154" i="1" l="1"/>
  <c r="BA154" i="1"/>
  <c r="AL154" i="1"/>
  <c r="AG154" i="1"/>
  <c r="Q154" i="1"/>
  <c r="S161" i="1" s="1"/>
  <c r="K155" i="2"/>
  <c r="H348" i="1"/>
  <c r="H349" i="1"/>
  <c r="J349" i="1" s="1"/>
  <c r="H350" i="1"/>
  <c r="J350" i="1" s="1"/>
  <c r="S154" i="2"/>
  <c r="M156" i="2" l="1"/>
  <c r="Q156" i="2"/>
  <c r="O350" i="1"/>
  <c r="AI154" i="1"/>
  <c r="AI161" i="1"/>
  <c r="BK160" i="1"/>
  <c r="BM160" i="1" s="1"/>
  <c r="AR154" i="1"/>
  <c r="BG154" i="1"/>
  <c r="U155" i="2"/>
  <c r="M155" i="2"/>
  <c r="J348" i="1"/>
  <c r="J355" i="1" s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Q155" i="2" l="1"/>
  <c r="O351" i="1"/>
  <c r="AA350" i="1"/>
  <c r="BG153" i="1"/>
  <c r="AI153" i="1"/>
  <c r="U154" i="2"/>
  <c r="S153" i="2"/>
  <c r="AG112" i="1" l="1"/>
  <c r="N131" i="1"/>
  <c r="K153" i="2"/>
  <c r="K152" i="2"/>
  <c r="S152" i="2"/>
  <c r="U152" i="2"/>
  <c r="M153" i="2" l="1"/>
  <c r="M154" i="2"/>
  <c r="Q154" i="2"/>
  <c r="U153" i="2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M152" i="2" l="1"/>
  <c r="Q152" i="2"/>
  <c r="U151" i="2"/>
  <c r="BG150" i="1"/>
  <c r="AR150" i="1"/>
  <c r="BE149" i="1"/>
  <c r="BA149" i="1"/>
  <c r="BK155" i="1" s="1"/>
  <c r="BM155" i="1" s="1"/>
  <c r="AL149" i="1"/>
  <c r="Q149" i="1"/>
  <c r="S156" i="1" s="1"/>
  <c r="K150" i="2"/>
  <c r="Q151" i="2" l="1"/>
  <c r="M151" i="2"/>
  <c r="BG149" i="1"/>
  <c r="AR149" i="1"/>
  <c r="U150" i="2"/>
  <c r="S149" i="2"/>
  <c r="BE148" i="1" l="1"/>
  <c r="BA148" i="1"/>
  <c r="BK154" i="1" s="1"/>
  <c r="BM154" i="1" s="1"/>
  <c r="AL148" i="1"/>
  <c r="Q148" i="1"/>
  <c r="S155" i="1" s="1"/>
  <c r="K149" i="2"/>
  <c r="Q150" i="2" l="1"/>
  <c r="M150" i="2"/>
  <c r="AR148" i="1"/>
  <c r="BG148" i="1"/>
  <c r="U149" i="2"/>
  <c r="S148" i="2"/>
  <c r="BE147" i="1" l="1"/>
  <c r="BA147" i="1"/>
  <c r="BK153" i="1" s="1"/>
  <c r="AL147" i="1"/>
  <c r="AR147" i="1" s="1"/>
  <c r="Q147" i="1"/>
  <c r="S154" i="1" s="1"/>
  <c r="K148" i="2"/>
  <c r="F291" i="3"/>
  <c r="F290" i="3"/>
  <c r="S147" i="2"/>
  <c r="Q149" i="2" l="1"/>
  <c r="M149" i="2"/>
  <c r="BM153" i="1"/>
  <c r="BG147" i="1"/>
  <c r="U148" i="2"/>
  <c r="BE146" i="1" l="1"/>
  <c r="BA146" i="1"/>
  <c r="BK152" i="1" s="1"/>
  <c r="BM152" i="1" s="1"/>
  <c r="AL146" i="1"/>
  <c r="Q146" i="1"/>
  <c r="S153" i="1" s="1"/>
  <c r="K147" i="2"/>
  <c r="Q148" i="2" l="1"/>
  <c r="M148" i="2"/>
  <c r="AR146" i="1"/>
  <c r="BG146" i="1"/>
  <c r="U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M147" i="2" l="1"/>
  <c r="Q147" i="2"/>
  <c r="BK150" i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326" i="1" l="1"/>
  <c r="AR318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325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K138" i="2"/>
  <c r="BE136" i="1"/>
  <c r="BA136" i="1"/>
  <c r="BK142" i="1" s="1"/>
  <c r="BM142" i="1" s="1"/>
  <c r="AL136" i="1"/>
  <c r="AR136" i="1" s="1"/>
  <c r="Q136" i="1"/>
  <c r="S143" i="1" s="1"/>
  <c r="U138" i="2" l="1"/>
  <c r="V168" i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V209" i="1" l="1"/>
  <c r="V210" i="1" s="1"/>
  <c r="V211" i="1" s="1"/>
  <c r="V212" i="1" s="1"/>
  <c r="V213" i="1" s="1"/>
  <c r="BG135" i="1"/>
  <c r="U136" i="2"/>
  <c r="S135" i="2"/>
  <c r="V214" i="1" l="1"/>
  <c r="V215" i="1" s="1"/>
  <c r="V216" i="1" s="1"/>
  <c r="V217" i="1" s="1"/>
  <c r="V218" i="1" s="1"/>
  <c r="V219" i="1" s="1"/>
  <c r="V220" i="1" s="1"/>
  <c r="BE134" i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V221" i="1" l="1"/>
  <c r="V222" i="1" s="1"/>
  <c r="V223" i="1" s="1"/>
  <c r="V224" i="1" s="1"/>
  <c r="V225" i="1" s="1"/>
  <c r="V226" i="1" s="1"/>
  <c r="V227" i="1" s="1"/>
  <c r="V228" i="1" s="1"/>
  <c r="V229" i="1" s="1"/>
  <c r="Q135" i="2"/>
  <c r="M136" i="2"/>
  <c r="Q136" i="2"/>
  <c r="BK139" i="1"/>
  <c r="BG134" i="1"/>
  <c r="U135" i="2"/>
  <c r="M135" i="2"/>
  <c r="BG133" i="1"/>
  <c r="U134" i="2"/>
  <c r="D330" i="1"/>
  <c r="S133" i="2"/>
  <c r="V230" i="1" l="1"/>
  <c r="V231" i="1" s="1"/>
  <c r="V232" i="1" s="1"/>
  <c r="BM139" i="1"/>
  <c r="W24" i="1"/>
  <c r="W25" i="1"/>
  <c r="BE132" i="1"/>
  <c r="BA132" i="1"/>
  <c r="BK138" i="1" s="1"/>
  <c r="AL132" i="1"/>
  <c r="AR132" i="1" s="1"/>
  <c r="Q132" i="1"/>
  <c r="S139" i="1" s="1"/>
  <c r="K133" i="2"/>
  <c r="V233" i="1" l="1"/>
  <c r="V234" i="1" s="1"/>
  <c r="V235" i="1" s="1"/>
  <c r="V236" i="1" s="1"/>
  <c r="V237" i="1" s="1"/>
  <c r="V238" i="1" s="1"/>
  <c r="V239" i="1" s="1"/>
  <c r="V240" i="1" s="1"/>
  <c r="M134" i="2"/>
  <c r="Q134" i="2"/>
  <c r="BM138" i="1"/>
  <c r="BG132" i="1"/>
  <c r="U133" i="2"/>
  <c r="V241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V242" i="1" l="1"/>
  <c r="V243" i="1" s="1"/>
  <c r="V244" i="1" s="1"/>
  <c r="V245" i="1" s="1"/>
  <c r="S137" i="1"/>
  <c r="Q133" i="2"/>
  <c r="M133" i="2"/>
  <c r="U132" i="2"/>
  <c r="U131" i="2"/>
  <c r="M132" i="2"/>
  <c r="M131" i="2"/>
  <c r="Q132" i="2"/>
  <c r="BG131" i="1"/>
  <c r="BG130" i="1"/>
  <c r="V246" i="1" l="1"/>
  <c r="V247" i="1" s="1"/>
  <c r="V248" i="1" s="1"/>
  <c r="V249" i="1" s="1"/>
  <c r="V250" i="1" s="1"/>
  <c r="BE129" i="1"/>
  <c r="BA129" i="1"/>
  <c r="AL129" i="1"/>
  <c r="AR129" i="1" s="1"/>
  <c r="Q129" i="1"/>
  <c r="K129" i="2"/>
  <c r="V251" i="1" l="1"/>
  <c r="V252" i="1" s="1"/>
  <c r="V253" i="1" s="1"/>
  <c r="V254" i="1" s="1"/>
  <c r="V255" i="1" s="1"/>
  <c r="V256" i="1" s="1"/>
  <c r="V257" i="1" s="1"/>
  <c r="S136" i="1"/>
  <c r="Q130" i="2"/>
  <c r="M130" i="2"/>
  <c r="BG129" i="1"/>
  <c r="U129" i="2"/>
  <c r="BE128" i="1"/>
  <c r="BA128" i="1"/>
  <c r="AL128" i="1"/>
  <c r="AR128" i="1" s="1"/>
  <c r="Q128" i="1"/>
  <c r="S135" i="1" s="1"/>
  <c r="S128" i="2"/>
  <c r="V258" i="1" l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BG128" i="1"/>
  <c r="V269" i="1" l="1"/>
  <c r="V270" i="1" s="1"/>
  <c r="V271" i="1" s="1"/>
  <c r="V272" i="1" s="1"/>
  <c r="V273" i="1" s="1"/>
  <c r="V274" i="1" s="1"/>
  <c r="BE127" i="1"/>
  <c r="BA127" i="1"/>
  <c r="AL127" i="1"/>
  <c r="AR127" i="1" s="1"/>
  <c r="Q127" i="1"/>
  <c r="S134" i="1" s="1"/>
  <c r="K128" i="2"/>
  <c r="V275" i="1" l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Q128" i="2" l="1"/>
  <c r="BG126" i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317" i="1" s="1"/>
  <c r="AH113" i="1"/>
  <c r="AP317" i="1" s="1"/>
  <c r="BE124" i="1"/>
  <c r="BA124" i="1"/>
  <c r="AL124" i="1"/>
  <c r="AG124" i="1"/>
  <c r="AI131" i="1" s="1"/>
  <c r="K125" i="2"/>
  <c r="S124" i="2"/>
  <c r="AV317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S122" i="2"/>
  <c r="D337" i="1"/>
  <c r="BE121" i="1"/>
  <c r="BA121" i="1"/>
  <c r="AL121" i="1"/>
  <c r="AR121" i="1" s="1"/>
  <c r="K122" i="2"/>
  <c r="M123" i="2" s="1"/>
  <c r="AH271" i="1" l="1"/>
  <c r="AH264" i="1"/>
  <c r="AH255" i="1"/>
  <c r="AH247" i="1"/>
  <c r="AH239" i="1"/>
  <c r="AH231" i="1"/>
  <c r="AH242" i="1"/>
  <c r="AH241" i="1"/>
  <c r="AH270" i="1"/>
  <c r="AH261" i="1"/>
  <c r="AH254" i="1"/>
  <c r="AH246" i="1"/>
  <c r="AH240" i="1"/>
  <c r="AH249" i="1"/>
  <c r="AH265" i="1"/>
  <c r="AH269" i="1"/>
  <c r="AH259" i="1"/>
  <c r="AH253" i="1"/>
  <c r="AH245" i="1"/>
  <c r="AH237" i="1"/>
  <c r="AH267" i="1"/>
  <c r="AH251" i="1"/>
  <c r="AH268" i="1"/>
  <c r="AH263" i="1"/>
  <c r="AH252" i="1"/>
  <c r="AH244" i="1"/>
  <c r="AH236" i="1"/>
  <c r="AH234" i="1"/>
  <c r="AH233" i="1"/>
  <c r="AH266" i="1"/>
  <c r="AH258" i="1"/>
  <c r="AH250" i="1"/>
  <c r="AH243" i="1"/>
  <c r="AH235" i="1"/>
  <c r="AH257" i="1"/>
  <c r="AH260" i="1"/>
  <c r="AH262" i="1"/>
  <c r="AH256" i="1"/>
  <c r="AH248" i="1"/>
  <c r="AH238" i="1"/>
  <c r="AH232" i="1"/>
  <c r="Q123" i="2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N143" i="1" l="1"/>
  <c r="AG324" i="1"/>
  <c r="AP318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BA362" i="1" l="1"/>
  <c r="BE374" i="1"/>
  <c r="BG365" i="1"/>
  <c r="BC363" i="1"/>
  <c r="BE363" i="1" s="1"/>
  <c r="AV318" i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BA374" i="1" s="1"/>
  <c r="AL113" i="1"/>
  <c r="K114" i="2"/>
  <c r="BA378" i="1" l="1"/>
  <c r="BC376" i="1"/>
  <c r="BG374" i="1"/>
  <c r="M115" i="2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272" i="3"/>
  <c r="AA271" i="3"/>
  <c r="AA270" i="3"/>
  <c r="AA269" i="3"/>
  <c r="AA268" i="3"/>
  <c r="AA267" i="3"/>
  <c r="AA266" i="3"/>
  <c r="AA265" i="3"/>
  <c r="AA264" i="3"/>
  <c r="AA263" i="3"/>
  <c r="AJ273" i="3"/>
  <c r="AJ276" i="3" s="1"/>
  <c r="Y273" i="3"/>
  <c r="W273" i="3"/>
  <c r="S107" i="2"/>
  <c r="AA273" i="3" l="1"/>
  <c r="AA276" i="3" s="1"/>
  <c r="U273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Q47" i="1"/>
  <c r="Q48" i="1" s="1"/>
  <c r="Q40" i="1"/>
  <c r="Q33" i="1"/>
  <c r="BE89" i="1"/>
  <c r="BA89" i="1"/>
  <c r="AL89" i="1"/>
  <c r="AR89" i="1" s="1"/>
  <c r="AG89" i="1"/>
  <c r="AI96" i="1" s="1"/>
  <c r="Q89" i="1"/>
  <c r="S54" i="1" l="1"/>
  <c r="S82" i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AL83" i="1"/>
  <c r="AR83" i="1" s="1"/>
  <c r="S84" i="2"/>
  <c r="K84" i="2"/>
  <c r="F284" i="3"/>
  <c r="F287" i="3" s="1"/>
  <c r="S83" i="2"/>
  <c r="BK89" i="1" l="1"/>
  <c r="BM89" i="1" s="1"/>
  <c r="BK112" i="1"/>
  <c r="Q85" i="2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316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G76" i="1"/>
  <c r="U77" i="2"/>
  <c r="S76" i="2"/>
  <c r="BM82" i="1" l="1"/>
  <c r="BE75" i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I60" i="3"/>
  <c r="AH230" i="1" l="1"/>
  <c r="AH222" i="1"/>
  <c r="AH219" i="1"/>
  <c r="AH228" i="1"/>
  <c r="AH225" i="1"/>
  <c r="AH217" i="1"/>
  <c r="AH229" i="1"/>
  <c r="AH221" i="1"/>
  <c r="AH226" i="1"/>
  <c r="AH215" i="1"/>
  <c r="AH227" i="1"/>
  <c r="AH218" i="1"/>
  <c r="AH216" i="1"/>
  <c r="AH220" i="1"/>
  <c r="AH223" i="1"/>
  <c r="AH224" i="1"/>
  <c r="AH214" i="1"/>
  <c r="AH213" i="1"/>
  <c r="AH210" i="1"/>
  <c r="AH212" i="1"/>
  <c r="AH211" i="1"/>
  <c r="AH209" i="1"/>
  <c r="AH208" i="1"/>
  <c r="AH207" i="1"/>
  <c r="AH206" i="1"/>
  <c r="AH205" i="1"/>
  <c r="AH204" i="1"/>
  <c r="AH203" i="1"/>
  <c r="AH202" i="1"/>
  <c r="AH201" i="1"/>
  <c r="AH200" i="1"/>
  <c r="AH199" i="1"/>
  <c r="AH196" i="1"/>
  <c r="AH197" i="1"/>
  <c r="AH198" i="1"/>
  <c r="AH195" i="1"/>
  <c r="AH194" i="1"/>
  <c r="AH192" i="1"/>
  <c r="AH193" i="1"/>
  <c r="AH191" i="1"/>
  <c r="AH190" i="1"/>
  <c r="AH189" i="1"/>
  <c r="AH187" i="1"/>
  <c r="AH188" i="1"/>
  <c r="AH186" i="1"/>
  <c r="AH185" i="1"/>
  <c r="AH184" i="1"/>
  <c r="AH181" i="1"/>
  <c r="AH182" i="1"/>
  <c r="AH178" i="1"/>
  <c r="AH179" i="1"/>
  <c r="AH180" i="1"/>
  <c r="AH177" i="1"/>
  <c r="AH183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58" i="1"/>
  <c r="AH156" i="1"/>
  <c r="AH157" i="1"/>
  <c r="AH155" i="1"/>
  <c r="AH154" i="1"/>
  <c r="AH164" i="1"/>
  <c r="AH160" i="1"/>
  <c r="AH163" i="1"/>
  <c r="AH159" i="1"/>
  <c r="AH162" i="1"/>
  <c r="AH161" i="1"/>
  <c r="AH153" i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AL69" i="1"/>
  <c r="AR69" i="1" s="1"/>
  <c r="BM75" i="1" l="1"/>
  <c r="Q71" i="2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316" i="1"/>
  <c r="AV316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274" i="3" l="1"/>
  <c r="I271" i="3"/>
  <c r="L271" i="3" s="1"/>
  <c r="I78" i="3"/>
  <c r="I80" i="3" s="1"/>
  <c r="I77" i="3"/>
  <c r="BE64" i="1"/>
  <c r="BA64" i="1"/>
  <c r="AL64" i="1"/>
  <c r="AR64" i="1" s="1"/>
  <c r="K65" i="2"/>
  <c r="Y19" i="3"/>
  <c r="Q66" i="2" l="1"/>
  <c r="M66" i="2"/>
  <c r="L274" i="3"/>
  <c r="I79" i="3"/>
  <c r="I81" i="3" s="1"/>
  <c r="I82" i="3" s="1"/>
  <c r="BG64" i="1"/>
  <c r="U65" i="2"/>
  <c r="S64" i="2"/>
  <c r="N81" i="3" l="1"/>
  <c r="N82" i="3" s="1"/>
  <c r="I273" i="3"/>
  <c r="L273" i="3" s="1"/>
  <c r="K64" i="2"/>
  <c r="BE63" i="1"/>
  <c r="BA63" i="1"/>
  <c r="AL63" i="1"/>
  <c r="AR63" i="1" s="1"/>
  <c r="Y18" i="3"/>
  <c r="Q65" i="2" l="1"/>
  <c r="M65" i="2"/>
  <c r="I275" i="3"/>
  <c r="U64" i="2"/>
  <c r="BG63" i="1"/>
  <c r="L264" i="3" l="1"/>
  <c r="L275" i="3"/>
  <c r="L263" i="3"/>
  <c r="S63" i="2"/>
  <c r="BE62" i="1"/>
  <c r="BA62" i="1"/>
  <c r="BK68" i="1" s="1"/>
  <c r="AL62" i="1"/>
  <c r="AR62" i="1" s="1"/>
  <c r="K63" i="2"/>
  <c r="Y17" i="3"/>
  <c r="BM68" i="1" l="1"/>
  <c r="Q64" i="2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AL55" i="1"/>
  <c r="AR55" i="1" s="1"/>
  <c r="BM61" i="1" l="1"/>
  <c r="BK84" i="1"/>
  <c r="BK85" i="1" s="1"/>
  <c r="U94" i="3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314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U157" i="3" l="1"/>
  <c r="U158" i="3" s="1"/>
  <c r="U159" i="3" s="1"/>
  <c r="U160" i="3" s="1"/>
  <c r="U161" i="3" s="1"/>
  <c r="U162" i="3" s="1"/>
  <c r="C167" i="2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U163" i="3" l="1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U176" i="3" s="1"/>
  <c r="U177" i="3" s="1"/>
  <c r="U178" i="3" s="1"/>
  <c r="C175" i="2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U179" i="3" l="1"/>
  <c r="C183" i="2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U180" i="3" l="1"/>
  <c r="U181" i="3" s="1"/>
  <c r="U182" i="3" s="1"/>
  <c r="U183" i="3" s="1"/>
  <c r="U184" i="3" s="1"/>
  <c r="U185" i="3" s="1"/>
  <c r="U186" i="3" s="1"/>
  <c r="C193" i="2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361" i="1"/>
  <c r="B364" i="1"/>
  <c r="U187" i="3" l="1"/>
  <c r="U188" i="3" s="1"/>
  <c r="U189" i="3" s="1"/>
  <c r="U190" i="3" s="1"/>
  <c r="U191" i="3" s="1"/>
  <c r="U192" i="3" s="1"/>
  <c r="U193" i="3" s="1"/>
  <c r="U194" i="3" s="1"/>
  <c r="U195" i="3" s="1"/>
  <c r="C196" i="2"/>
  <c r="C197" i="2" s="1"/>
  <c r="C198" i="2" s="1"/>
  <c r="C199" i="2" s="1"/>
  <c r="C200" i="2" s="1"/>
  <c r="C201" i="2" s="1"/>
  <c r="W147" i="2"/>
  <c r="W148" i="2" s="1"/>
  <c r="BM54" i="1"/>
  <c r="BW19" i="1"/>
  <c r="AX18" i="1"/>
  <c r="BG48" i="1"/>
  <c r="BE47" i="1"/>
  <c r="BA47" i="1"/>
  <c r="AL47" i="1"/>
  <c r="AR47" i="1" s="1"/>
  <c r="U196" i="3" l="1"/>
  <c r="U197" i="3" s="1"/>
  <c r="U198" i="3" s="1"/>
  <c r="U199" i="3" s="1"/>
  <c r="U200" i="3" s="1"/>
  <c r="C202" i="2"/>
  <c r="C203" i="2" s="1"/>
  <c r="C204" i="2" s="1"/>
  <c r="C205" i="2" s="1"/>
  <c r="C206" i="2" s="1"/>
  <c r="W149" i="2"/>
  <c r="BW20" i="1"/>
  <c r="AX19" i="1"/>
  <c r="BG47" i="1"/>
  <c r="BE46" i="1"/>
  <c r="BA46" i="1"/>
  <c r="AL46" i="1"/>
  <c r="AR46" i="1" s="1"/>
  <c r="U201" i="3" l="1"/>
  <c r="U202" i="3" s="1"/>
  <c r="U203" i="3" s="1"/>
  <c r="U204" i="3" s="1"/>
  <c r="U205" i="3" s="1"/>
  <c r="C207" i="2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W150" i="2"/>
  <c r="W151" i="2" s="1"/>
  <c r="BW21" i="1"/>
  <c r="AX20" i="1"/>
  <c r="BG46" i="1"/>
  <c r="BE45" i="1"/>
  <c r="BA45" i="1"/>
  <c r="AL45" i="1"/>
  <c r="AR45" i="1" s="1"/>
  <c r="U206" i="3" l="1"/>
  <c r="U207" i="3" s="1"/>
  <c r="U208" i="3" s="1"/>
  <c r="U209" i="3" s="1"/>
  <c r="U210" i="3" s="1"/>
  <c r="U211" i="3" s="1"/>
  <c r="U212" i="3" s="1"/>
  <c r="C223" i="2"/>
  <c r="C224" i="2" s="1"/>
  <c r="C225" i="2" s="1"/>
  <c r="C226" i="2" s="1"/>
  <c r="C227" i="2" s="1"/>
  <c r="W152" i="2"/>
  <c r="W153" i="2" s="1"/>
  <c r="BW22" i="1"/>
  <c r="AX21" i="1"/>
  <c r="BG45" i="1"/>
  <c r="U213" i="3" l="1"/>
  <c r="U214" i="3" s="1"/>
  <c r="U215" i="3" s="1"/>
  <c r="U216" i="3" s="1"/>
  <c r="U217" i="3" s="1"/>
  <c r="U218" i="3" s="1"/>
  <c r="U219" i="3" s="1"/>
  <c r="U220" i="3" s="1"/>
  <c r="U221" i="3" s="1"/>
  <c r="C228" i="2"/>
  <c r="C229" i="2" s="1"/>
  <c r="C230" i="2" s="1"/>
  <c r="C231" i="2" s="1"/>
  <c r="C232" i="2" s="1"/>
  <c r="C233" i="2" s="1"/>
  <c r="C234" i="2" s="1"/>
  <c r="W154" i="2"/>
  <c r="W155" i="2" s="1"/>
  <c r="BW23" i="1"/>
  <c r="AX22" i="1"/>
  <c r="BE44" i="1"/>
  <c r="BA44" i="1"/>
  <c r="AL44" i="1"/>
  <c r="AR44" i="1" s="1"/>
  <c r="U222" i="3" l="1"/>
  <c r="U223" i="3" s="1"/>
  <c r="U224" i="3" s="1"/>
  <c r="U225" i="3" s="1"/>
  <c r="U226" i="3" s="1"/>
  <c r="U227" i="3" s="1"/>
  <c r="U228" i="3" s="1"/>
  <c r="U229" i="3" s="1"/>
  <c r="U230" i="3" s="1"/>
  <c r="C235" i="2"/>
  <c r="C236" i="2" s="1"/>
  <c r="C237" i="2" s="1"/>
  <c r="C238" i="2" s="1"/>
  <c r="C239" i="2" s="1"/>
  <c r="C240" i="2" s="1"/>
  <c r="C241" i="2" s="1"/>
  <c r="C242" i="2" s="1"/>
  <c r="C243" i="2" s="1"/>
  <c r="W156" i="2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U231" i="3" l="1"/>
  <c r="U232" i="3" s="1"/>
  <c r="U233" i="3" s="1"/>
  <c r="U234" i="3" s="1"/>
  <c r="U235" i="3" s="1"/>
  <c r="U236" i="3" s="1"/>
  <c r="U237" i="3" s="1"/>
  <c r="U238" i="3" s="1"/>
  <c r="C244" i="2"/>
  <c r="C245" i="2" s="1"/>
  <c r="C246" i="2" s="1"/>
  <c r="C247" i="2" s="1"/>
  <c r="C248" i="2" s="1"/>
  <c r="C249" i="2" s="1"/>
  <c r="C250" i="2" s="1"/>
  <c r="C251" i="2" s="1"/>
  <c r="C252" i="2" s="1"/>
  <c r="W162" i="2"/>
  <c r="W163" i="2" s="1"/>
  <c r="W164" i="2" s="1"/>
  <c r="BW25" i="1"/>
  <c r="AX24" i="1"/>
  <c r="BE43" i="1"/>
  <c r="BG43" i="1" s="1"/>
  <c r="U239" i="3" l="1"/>
  <c r="U240" i="3" s="1"/>
  <c r="U241" i="3" s="1"/>
  <c r="U242" i="3" s="1"/>
  <c r="U243" i="3" s="1"/>
  <c r="U244" i="3" s="1"/>
  <c r="U255" i="3" s="1"/>
  <c r="C253" i="2"/>
  <c r="C254" i="2" s="1"/>
  <c r="C255" i="2" s="1"/>
  <c r="C256" i="2" s="1"/>
  <c r="C257" i="2" s="1"/>
  <c r="C258" i="2" s="1"/>
  <c r="C259" i="2" s="1"/>
  <c r="W165" i="2"/>
  <c r="W166" i="2" s="1"/>
  <c r="BW26" i="1"/>
  <c r="AX25" i="1"/>
  <c r="BE42" i="1"/>
  <c r="BA42" i="1"/>
  <c r="AL42" i="1"/>
  <c r="AR42" i="1" s="1"/>
  <c r="C260" i="2" l="1"/>
  <c r="C261" i="2" s="1"/>
  <c r="C262" i="2" s="1"/>
  <c r="C263" i="2" s="1"/>
  <c r="C264" i="2" s="1"/>
  <c r="C265" i="2" s="1"/>
  <c r="C266" i="2" s="1"/>
  <c r="C267" i="2" s="1"/>
  <c r="W167" i="2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C268" i="2" l="1"/>
  <c r="C269" i="2" s="1"/>
  <c r="C270" i="2" s="1"/>
  <c r="C271" i="2" s="1"/>
  <c r="C272" i="2" s="1"/>
  <c r="C273" i="2" s="1"/>
  <c r="C274" i="2" s="1"/>
  <c r="C275" i="2" s="1"/>
  <c r="W183" i="2"/>
  <c r="BW28" i="1"/>
  <c r="AX27" i="1"/>
  <c r="BE41" i="1"/>
  <c r="BA41" i="1"/>
  <c r="BK47" i="1" s="1"/>
  <c r="BM47" i="1" s="1"/>
  <c r="AL41" i="1"/>
  <c r="AR41" i="1" s="1"/>
  <c r="C276" i="2" l="1"/>
  <c r="C277" i="2" s="1"/>
  <c r="C278" i="2" s="1"/>
  <c r="C279" i="2" s="1"/>
  <c r="C280" i="2" s="1"/>
  <c r="C281" i="2" s="1"/>
  <c r="C282" i="2" s="1"/>
  <c r="C283" i="2" s="1"/>
  <c r="W184" i="2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C284" i="2" l="1"/>
  <c r="C285" i="2" s="1"/>
  <c r="C286" i="2" s="1"/>
  <c r="C287" i="2" s="1"/>
  <c r="C300" i="2" s="1"/>
  <c r="W193" i="2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W202" i="2" s="1"/>
  <c r="W203" i="2" s="1"/>
  <c r="W204" i="2" s="1"/>
  <c r="W205" i="2" s="1"/>
  <c r="W206" i="2" s="1"/>
  <c r="BW33" i="1"/>
  <c r="AX32" i="1"/>
  <c r="BE37" i="1"/>
  <c r="BA37" i="1"/>
  <c r="AL37" i="1"/>
  <c r="AR37" i="1" s="1"/>
  <c r="BE36" i="1"/>
  <c r="BA36" i="1"/>
  <c r="AL36" i="1"/>
  <c r="AR36" i="1" s="1"/>
  <c r="W207" i="2" l="1"/>
  <c r="W208" i="2" s="1"/>
  <c r="W209" i="2" s="1"/>
  <c r="W210" i="2" s="1"/>
  <c r="W211" i="2" s="1"/>
  <c r="W212" i="2" s="1"/>
  <c r="W213" i="2" s="1"/>
  <c r="W214" i="2" s="1"/>
  <c r="W215" i="2" s="1"/>
  <c r="BW34" i="1"/>
  <c r="AX33" i="1"/>
  <c r="BE35" i="1"/>
  <c r="BA35" i="1"/>
  <c r="AL35" i="1"/>
  <c r="AR35" i="1" s="1"/>
  <c r="W216" i="2" l="1"/>
  <c r="W217" i="2" s="1"/>
  <c r="W218" i="2" s="1"/>
  <c r="W219" i="2" s="1"/>
  <c r="W220" i="2" s="1"/>
  <c r="W221" i="2" s="1"/>
  <c r="W222" i="2" s="1"/>
  <c r="BW35" i="1"/>
  <c r="AX34" i="1"/>
  <c r="BE34" i="1"/>
  <c r="BA34" i="1"/>
  <c r="BK40" i="1" s="1"/>
  <c r="BM40" i="1" s="1"/>
  <c r="AL34" i="1"/>
  <c r="AR34" i="1" s="1"/>
  <c r="W223" i="2" l="1"/>
  <c r="BW36" i="1"/>
  <c r="AX35" i="1"/>
  <c r="BE33" i="1"/>
  <c r="BA33" i="1"/>
  <c r="AL33" i="1"/>
  <c r="AR33" i="1" s="1"/>
  <c r="BE32" i="1"/>
  <c r="BA32" i="1"/>
  <c r="AL32" i="1"/>
  <c r="AR32" i="1" s="1"/>
  <c r="W224" i="2" l="1"/>
  <c r="BW37" i="1"/>
  <c r="AX36" i="1"/>
  <c r="BE31" i="1"/>
  <c r="BA31" i="1"/>
  <c r="AL31" i="1"/>
  <c r="AR31" i="1" s="1"/>
  <c r="W225" i="2" l="1"/>
  <c r="W226" i="2" s="1"/>
  <c r="W227" i="2" s="1"/>
  <c r="BW38" i="1"/>
  <c r="AX37" i="1"/>
  <c r="W29" i="1"/>
  <c r="AG33" i="1" s="1"/>
  <c r="W228" i="2" l="1"/>
  <c r="W229" i="2" s="1"/>
  <c r="AI40" i="1"/>
  <c r="BW39" i="1"/>
  <c r="AX38" i="1"/>
  <c r="BE30" i="1"/>
  <c r="BA30" i="1"/>
  <c r="AL30" i="1"/>
  <c r="AR30" i="1" s="1"/>
  <c r="BA29" i="1"/>
  <c r="BE29" i="1"/>
  <c r="AL29" i="1"/>
  <c r="AR29" i="1" s="1"/>
  <c r="W230" i="2" l="1"/>
  <c r="W231" i="2" s="1"/>
  <c r="W232" i="2" s="1"/>
  <c r="W233" i="2" s="1"/>
  <c r="W234" i="2" s="1"/>
  <c r="BW40" i="1"/>
  <c r="BN40" i="1" s="1"/>
  <c r="AX39" i="1"/>
  <c r="BE28" i="1"/>
  <c r="BA28" i="1"/>
  <c r="AL28" i="1"/>
  <c r="AR28" i="1" s="1"/>
  <c r="W235" i="2" l="1"/>
  <c r="W236" i="2" s="1"/>
  <c r="BW41" i="1"/>
  <c r="BN41" i="1" s="1"/>
  <c r="AX40" i="1"/>
  <c r="BE27" i="1"/>
  <c r="AL27" i="1"/>
  <c r="AR27" i="1" s="1"/>
  <c r="BE26" i="1"/>
  <c r="AL26" i="1"/>
  <c r="AR26" i="1" s="1"/>
  <c r="W237" i="2" l="1"/>
  <c r="W238" i="2" s="1"/>
  <c r="W239" i="2" s="1"/>
  <c r="W240" i="2" s="1"/>
  <c r="W241" i="2" s="1"/>
  <c r="W242" i="2" s="1"/>
  <c r="W243" i="2" s="1"/>
  <c r="BW42" i="1"/>
  <c r="BN42" i="1" s="1"/>
  <c r="AX41" i="1"/>
  <c r="W23" i="1"/>
  <c r="W22" i="1"/>
  <c r="AH51" i="1" s="1"/>
  <c r="W21" i="1"/>
  <c r="W20" i="1"/>
  <c r="W17" i="1"/>
  <c r="W13" i="1"/>
  <c r="W12" i="1"/>
  <c r="W10" i="1"/>
  <c r="W244" i="2" l="1"/>
  <c r="AG26" i="1"/>
  <c r="AI33" i="1" s="1"/>
  <c r="AR315" i="1"/>
  <c r="BW43" i="1"/>
  <c r="BN43" i="1" s="1"/>
  <c r="AX42" i="1"/>
  <c r="BE24" i="1"/>
  <c r="BC24" i="1"/>
  <c r="W245" i="2" l="1"/>
  <c r="W246" i="2" s="1"/>
  <c r="W247" i="2" s="1"/>
  <c r="W248" i="2" s="1"/>
  <c r="W249" i="2" s="1"/>
  <c r="W250" i="2" s="1"/>
  <c r="W251" i="2" s="1"/>
  <c r="W252" i="2" s="1"/>
  <c r="AR323" i="1"/>
  <c r="AR325" i="1" s="1"/>
  <c r="AV325" i="1" s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W253" i="2" l="1"/>
  <c r="BW45" i="1"/>
  <c r="BN45" i="1" s="1"/>
  <c r="AX44" i="1"/>
  <c r="BP25" i="1"/>
  <c r="BR24" i="1"/>
  <c r="AL24" i="1"/>
  <c r="AR24" i="1" s="1"/>
  <c r="D23" i="1"/>
  <c r="AL23" i="1"/>
  <c r="AR23" i="1" s="1"/>
  <c r="W254" i="2" l="1"/>
  <c r="W255" i="2" s="1"/>
  <c r="W256" i="2" s="1"/>
  <c r="W257" i="2" s="1"/>
  <c r="W258" i="2" s="1"/>
  <c r="W259" i="2" s="1"/>
  <c r="Q26" i="1"/>
  <c r="S33" i="1" s="1"/>
  <c r="AH50" i="1"/>
  <c r="BW46" i="1"/>
  <c r="BN46" i="1" s="1"/>
  <c r="AX45" i="1"/>
  <c r="BR25" i="1"/>
  <c r="BP26" i="1"/>
  <c r="W260" i="2" l="1"/>
  <c r="W261" i="2" s="1"/>
  <c r="W262" i="2" s="1"/>
  <c r="W263" i="2" s="1"/>
  <c r="W264" i="2" s="1"/>
  <c r="W265" i="2" s="1"/>
  <c r="W266" i="2" s="1"/>
  <c r="W267" i="2" s="1"/>
  <c r="W268" i="2" s="1"/>
  <c r="W269" i="2" s="1"/>
  <c r="W270" i="2" s="1"/>
  <c r="W271" i="2" s="1"/>
  <c r="W272" i="2" s="1"/>
  <c r="W273" i="2" s="1"/>
  <c r="W274" i="2" s="1"/>
  <c r="W275" i="2" s="1"/>
  <c r="W276" i="2" s="1"/>
  <c r="W277" i="2" s="1"/>
  <c r="W278" i="2" s="1"/>
  <c r="W279" i="2" s="1"/>
  <c r="W280" i="2" s="1"/>
  <c r="W281" i="2" s="1"/>
  <c r="W282" i="2" s="1"/>
  <c r="W283" i="2" s="1"/>
  <c r="AP315" i="1"/>
  <c r="AV315" i="1" s="1"/>
  <c r="BA321" i="1" s="1"/>
  <c r="BA322" i="1" s="1"/>
  <c r="AH49" i="1"/>
  <c r="BW47" i="1"/>
  <c r="BN47" i="1" s="1"/>
  <c r="AX46" i="1"/>
  <c r="BR26" i="1"/>
  <c r="BP27" i="1"/>
  <c r="AL22" i="1"/>
  <c r="AR22" i="1" s="1"/>
  <c r="W299" i="2" l="1"/>
  <c r="W300" i="2" s="1"/>
  <c r="W284" i="2"/>
  <c r="W285" i="2" s="1"/>
  <c r="W286" i="2" s="1"/>
  <c r="W287" i="2" s="1"/>
  <c r="BW48" i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206" i="1" l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W60" i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234" i="1" l="1"/>
  <c r="B235" i="1" s="1"/>
  <c r="B236" i="1" s="1"/>
  <c r="B237" i="1" s="1"/>
  <c r="B238" i="1" s="1"/>
  <c r="B239" i="1" s="1"/>
  <c r="B240" i="1" s="1"/>
  <c r="B241" i="1" s="1"/>
  <c r="B242" i="1" s="1"/>
  <c r="BW61" i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243" i="1" l="1"/>
  <c r="B244" i="1" s="1"/>
  <c r="B245" i="1" s="1"/>
  <c r="B246" i="1" s="1"/>
  <c r="BW63" i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B247" i="1" l="1"/>
  <c r="B248" i="1" s="1"/>
  <c r="B249" i="1" s="1"/>
  <c r="B250" i="1" s="1"/>
  <c r="B251" i="1" s="1"/>
  <c r="AX64" i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252" i="1" l="1"/>
  <c r="B253" i="1" s="1"/>
  <c r="B254" i="1" s="1"/>
  <c r="B255" i="1" s="1"/>
  <c r="B256" i="1" s="1"/>
  <c r="B257" i="1" s="1"/>
  <c r="B258" i="1" s="1"/>
  <c r="BW66" i="1"/>
  <c r="BW67" i="1" s="1"/>
  <c r="AX65" i="1"/>
  <c r="BN65" i="1"/>
  <c r="AA22" i="1"/>
  <c r="AE22" i="1" s="1"/>
  <c r="AC21" i="1"/>
  <c r="BR43" i="1"/>
  <c r="BP44" i="1"/>
  <c r="J22" i="1"/>
  <c r="H22" i="1"/>
  <c r="O22" i="1" s="1"/>
  <c r="AV21" i="1"/>
  <c r="B259" i="1" l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AA23" i="1"/>
  <c r="AE23" i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270" i="1" l="1"/>
  <c r="B271" i="1" s="1"/>
  <c r="B272" i="1" s="1"/>
  <c r="B273" i="1" s="1"/>
  <c r="B274" i="1" s="1"/>
  <c r="B275" i="1" s="1"/>
  <c r="BW69" i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276" i="1" l="1"/>
  <c r="B277" i="1" s="1"/>
  <c r="B278" i="1" s="1"/>
  <c r="B279" i="1" s="1"/>
  <c r="B280" i="1" s="1"/>
  <c r="B281" i="1" s="1"/>
  <c r="B282" i="1" s="1"/>
  <c r="BW70" i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283" i="1" l="1"/>
  <c r="B284" i="1" s="1"/>
  <c r="B285" i="1" s="1"/>
  <c r="B286" i="1" s="1"/>
  <c r="B287" i="1" s="1"/>
  <c r="B288" i="1" s="1"/>
  <c r="B289" i="1" s="1"/>
  <c r="B290" i="1" s="1"/>
  <c r="B291" i="1" s="1"/>
  <c r="B298" i="1" s="1"/>
  <c r="BW72" i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275" i="3"/>
  <c r="Y276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275" i="3"/>
  <c r="W276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W196" i="1" s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197" i="1" l="1"/>
  <c r="AX196" i="1"/>
  <c r="BN196" i="1"/>
  <c r="BN195" i="1"/>
  <c r="AX195" i="1"/>
  <c r="BR179" i="1"/>
  <c r="BP180" i="1"/>
  <c r="AA161" i="1"/>
  <c r="AE160" i="1"/>
  <c r="J130" i="1"/>
  <c r="H130" i="1"/>
  <c r="O129" i="1"/>
  <c r="AV129" i="1"/>
  <c r="AC129" i="1"/>
  <c r="BW198" i="1" l="1"/>
  <c r="AX197" i="1"/>
  <c r="BN197" i="1"/>
  <c r="BR180" i="1"/>
  <c r="BP181" i="1"/>
  <c r="BP182" i="1" s="1"/>
  <c r="AE161" i="1"/>
  <c r="AA162" i="1"/>
  <c r="AA163" i="1" s="1"/>
  <c r="AV130" i="1"/>
  <c r="J131" i="1"/>
  <c r="H131" i="1"/>
  <c r="O130" i="1"/>
  <c r="AC130" i="1"/>
  <c r="BW199" i="1" l="1"/>
  <c r="BN198" i="1"/>
  <c r="AX198" i="1"/>
  <c r="BP183" i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N199" i="1" l="1"/>
  <c r="BW200" i="1"/>
  <c r="AX199" i="1"/>
  <c r="BP184" i="1"/>
  <c r="BP185" i="1" s="1"/>
  <c r="BR183" i="1"/>
  <c r="AA165" i="1"/>
  <c r="AE164" i="1"/>
  <c r="J133" i="1"/>
  <c r="H133" i="1"/>
  <c r="O132" i="1"/>
  <c r="AV132" i="1"/>
  <c r="AC132" i="1"/>
  <c r="AX200" i="1" l="1"/>
  <c r="BW201" i="1"/>
  <c r="BN200" i="1"/>
  <c r="BP186" i="1"/>
  <c r="BR185" i="1"/>
  <c r="BR184" i="1"/>
  <c r="AE165" i="1"/>
  <c r="AA166" i="1"/>
  <c r="AV133" i="1"/>
  <c r="H134" i="1"/>
  <c r="J134" i="1"/>
  <c r="O133" i="1"/>
  <c r="AC133" i="1"/>
  <c r="AX201" i="1" l="1"/>
  <c r="BW202" i="1"/>
  <c r="BN201" i="1"/>
  <c r="BR186" i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N202" i="1" l="1"/>
  <c r="AX202" i="1"/>
  <c r="BW203" i="1"/>
  <c r="BR188" i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W204" i="1" l="1"/>
  <c r="BN203" i="1"/>
  <c r="AX203" i="1"/>
  <c r="BR189" i="1"/>
  <c r="BP190" i="1"/>
  <c r="AE170" i="1"/>
  <c r="AA171" i="1"/>
  <c r="O136" i="1"/>
  <c r="J137" i="1"/>
  <c r="H137" i="1"/>
  <c r="AV136" i="1"/>
  <c r="AC136" i="1"/>
  <c r="AX204" i="1" l="1"/>
  <c r="BW205" i="1"/>
  <c r="BW206" i="1" s="1"/>
  <c r="BN204" i="1"/>
  <c r="BR190" i="1"/>
  <c r="BP191" i="1"/>
  <c r="AA172" i="1"/>
  <c r="AE171" i="1"/>
  <c r="AV137" i="1"/>
  <c r="J138" i="1"/>
  <c r="H138" i="1"/>
  <c r="O137" i="1"/>
  <c r="AC137" i="1"/>
  <c r="AX206" i="1" l="1"/>
  <c r="BW207" i="1"/>
  <c r="BN206" i="1"/>
  <c r="BN205" i="1"/>
  <c r="AX205" i="1"/>
  <c r="BR191" i="1"/>
  <c r="BP192" i="1"/>
  <c r="AE172" i="1"/>
  <c r="AA173" i="1"/>
  <c r="AA174" i="1" s="1"/>
  <c r="J139" i="1"/>
  <c r="H139" i="1"/>
  <c r="AV138" i="1"/>
  <c r="O138" i="1"/>
  <c r="AC138" i="1"/>
  <c r="BN207" i="1" l="1"/>
  <c r="AX207" i="1"/>
  <c r="BW208" i="1"/>
  <c r="BP193" i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W209" i="1" l="1"/>
  <c r="AX208" i="1"/>
  <c r="BN208" i="1"/>
  <c r="BR193" i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N209" i="1" l="1"/>
  <c r="AX209" i="1"/>
  <c r="BW210" i="1"/>
  <c r="BR194" i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W211" i="1" l="1"/>
  <c r="AX210" i="1"/>
  <c r="BN210" i="1"/>
  <c r="BR196" i="1"/>
  <c r="BP197" i="1"/>
  <c r="BR195" i="1"/>
  <c r="AE177" i="1"/>
  <c r="AA178" i="1"/>
  <c r="H143" i="1"/>
  <c r="J143" i="1"/>
  <c r="O142" i="1"/>
  <c r="AV142" i="1"/>
  <c r="AC142" i="1"/>
  <c r="AA96" i="3"/>
  <c r="AA97" i="3"/>
  <c r="BW212" i="1" l="1"/>
  <c r="AX211" i="1"/>
  <c r="BN211" i="1"/>
  <c r="BR197" i="1"/>
  <c r="BP198" i="1"/>
  <c r="AE178" i="1"/>
  <c r="AA179" i="1"/>
  <c r="O143" i="1"/>
  <c r="J144" i="1"/>
  <c r="H144" i="1"/>
  <c r="AV143" i="1"/>
  <c r="AC143" i="1"/>
  <c r="AX212" i="1" l="1"/>
  <c r="BN212" i="1"/>
  <c r="BW213" i="1"/>
  <c r="BR198" i="1"/>
  <c r="BP199" i="1"/>
  <c r="BP200" i="1" s="1"/>
  <c r="AA180" i="1"/>
  <c r="AE179" i="1"/>
  <c r="O144" i="1"/>
  <c r="H145" i="1"/>
  <c r="J145" i="1"/>
  <c r="AV144" i="1"/>
  <c r="AC144" i="1"/>
  <c r="BW214" i="1" l="1"/>
  <c r="BW215" i="1" s="1"/>
  <c r="BN213" i="1"/>
  <c r="AX213" i="1"/>
  <c r="BR200" i="1"/>
  <c r="BP201" i="1"/>
  <c r="BR199" i="1"/>
  <c r="AE180" i="1"/>
  <c r="AA181" i="1"/>
  <c r="AA182" i="1" s="1"/>
  <c r="J146" i="1"/>
  <c r="H146" i="1"/>
  <c r="AV145" i="1"/>
  <c r="O145" i="1"/>
  <c r="AC145" i="1"/>
  <c r="BN215" i="1" l="1"/>
  <c r="BW216" i="1"/>
  <c r="AX215" i="1"/>
  <c r="BN214" i="1"/>
  <c r="AX214" i="1"/>
  <c r="BR201" i="1"/>
  <c r="BP202" i="1"/>
  <c r="AE182" i="1"/>
  <c r="AA183" i="1"/>
  <c r="AE181" i="1"/>
  <c r="J147" i="1"/>
  <c r="H147" i="1"/>
  <c r="O146" i="1"/>
  <c r="AV146" i="1"/>
  <c r="AC146" i="1"/>
  <c r="BW217" i="1" l="1"/>
  <c r="AX216" i="1"/>
  <c r="BN216" i="1"/>
  <c r="BR202" i="1"/>
  <c r="BP203" i="1"/>
  <c r="AA184" i="1"/>
  <c r="AA185" i="1" s="1"/>
  <c r="AE183" i="1"/>
  <c r="AV147" i="1"/>
  <c r="H148" i="1"/>
  <c r="J148" i="1"/>
  <c r="O147" i="1"/>
  <c r="AC147" i="1"/>
  <c r="AX217" i="1" l="1"/>
  <c r="BW218" i="1"/>
  <c r="BN217" i="1"/>
  <c r="BR203" i="1"/>
  <c r="BP204" i="1"/>
  <c r="AE185" i="1"/>
  <c r="AA186" i="1"/>
  <c r="AE184" i="1"/>
  <c r="O148" i="1"/>
  <c r="J149" i="1"/>
  <c r="H149" i="1"/>
  <c r="AV148" i="1"/>
  <c r="AC148" i="1"/>
  <c r="AA103" i="3"/>
  <c r="AA100" i="3"/>
  <c r="AX218" i="1" l="1"/>
  <c r="BW219" i="1"/>
  <c r="BN218" i="1"/>
  <c r="BR204" i="1"/>
  <c r="BP205" i="1"/>
  <c r="BP206" i="1" s="1"/>
  <c r="AA187" i="1"/>
  <c r="AA188" i="1" s="1"/>
  <c r="AE186" i="1"/>
  <c r="H150" i="1"/>
  <c r="J150" i="1"/>
  <c r="O149" i="1"/>
  <c r="AV149" i="1"/>
  <c r="AC149" i="1"/>
  <c r="AA101" i="3"/>
  <c r="AA102" i="3"/>
  <c r="AX219" i="1" l="1"/>
  <c r="BW220" i="1"/>
  <c r="BN219" i="1"/>
  <c r="BR206" i="1"/>
  <c r="BP207" i="1"/>
  <c r="BR205" i="1"/>
  <c r="AE188" i="1"/>
  <c r="AA189" i="1"/>
  <c r="AE187" i="1"/>
  <c r="J151" i="1"/>
  <c r="H151" i="1"/>
  <c r="O150" i="1"/>
  <c r="AV150" i="1"/>
  <c r="AC150" i="1"/>
  <c r="BN220" i="1" l="1"/>
  <c r="BW221" i="1"/>
  <c r="BW222" i="1" s="1"/>
  <c r="AX220" i="1"/>
  <c r="BP208" i="1"/>
  <c r="BR207" i="1"/>
  <c r="AE189" i="1"/>
  <c r="AA190" i="1"/>
  <c r="O151" i="1"/>
  <c r="AV151" i="1"/>
  <c r="J152" i="1"/>
  <c r="H152" i="1"/>
  <c r="AC151" i="1"/>
  <c r="BN222" i="1" l="1"/>
  <c r="BW223" i="1"/>
  <c r="AX222" i="1"/>
  <c r="BN221" i="1"/>
  <c r="AX221" i="1"/>
  <c r="BR208" i="1"/>
  <c r="BP209" i="1"/>
  <c r="BP210" i="1" s="1"/>
  <c r="AE190" i="1"/>
  <c r="AA191" i="1"/>
  <c r="J153" i="1"/>
  <c r="H153" i="1"/>
  <c r="O152" i="1"/>
  <c r="AV152" i="1"/>
  <c r="AC152" i="1"/>
  <c r="AA105" i="3"/>
  <c r="AA106" i="3"/>
  <c r="AA104" i="3"/>
  <c r="BN223" i="1" l="1"/>
  <c r="BW224" i="1"/>
  <c r="AX223" i="1"/>
  <c r="BR210" i="1"/>
  <c r="BP211" i="1"/>
  <c r="BR209" i="1"/>
  <c r="AA192" i="1"/>
  <c r="AE191" i="1"/>
  <c r="J154" i="1"/>
  <c r="H154" i="1"/>
  <c r="O153" i="1"/>
  <c r="AV153" i="1"/>
  <c r="AC153" i="1"/>
  <c r="BN224" i="1" l="1"/>
  <c r="BW225" i="1"/>
  <c r="AX224" i="1"/>
  <c r="BR211" i="1"/>
  <c r="BP212" i="1"/>
  <c r="AE192" i="1"/>
  <c r="AA193" i="1"/>
  <c r="AV154" i="1"/>
  <c r="J155" i="1"/>
  <c r="H155" i="1"/>
  <c r="O154" i="1"/>
  <c r="AC154" i="1"/>
  <c r="BN225" i="1" l="1"/>
  <c r="BW226" i="1"/>
  <c r="AX225" i="1"/>
  <c r="BR212" i="1"/>
  <c r="BP213" i="1"/>
  <c r="AE193" i="1"/>
  <c r="AA194" i="1"/>
  <c r="J156" i="1"/>
  <c r="H156" i="1"/>
  <c r="AV155" i="1"/>
  <c r="O155" i="1"/>
  <c r="AC155" i="1"/>
  <c r="AA108" i="3"/>
  <c r="AA109" i="3"/>
  <c r="AA107" i="3"/>
  <c r="AX226" i="1" l="1"/>
  <c r="BW227" i="1"/>
  <c r="BN226" i="1"/>
  <c r="BR213" i="1"/>
  <c r="BP214" i="1"/>
  <c r="BP215" i="1" s="1"/>
  <c r="AE194" i="1"/>
  <c r="AA195" i="1"/>
  <c r="AA196" i="1" s="1"/>
  <c r="AV156" i="1"/>
  <c r="J157" i="1"/>
  <c r="H157" i="1"/>
  <c r="O156" i="1"/>
  <c r="AC156" i="1"/>
  <c r="AX227" i="1" l="1"/>
  <c r="BW228" i="1"/>
  <c r="BN227" i="1"/>
  <c r="BP216" i="1"/>
  <c r="BP217" i="1" s="1"/>
  <c r="BR215" i="1"/>
  <c r="BR214" i="1"/>
  <c r="AE196" i="1"/>
  <c r="AA197" i="1"/>
  <c r="AE195" i="1"/>
  <c r="O157" i="1"/>
  <c r="J158" i="1"/>
  <c r="H158" i="1"/>
  <c r="AV157" i="1"/>
  <c r="AC157" i="1"/>
  <c r="BW229" i="1" l="1"/>
  <c r="BN228" i="1"/>
  <c r="AX228" i="1"/>
  <c r="BR217" i="1"/>
  <c r="BP218" i="1"/>
  <c r="BR216" i="1"/>
  <c r="AA198" i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BN229" i="1" l="1"/>
  <c r="BW230" i="1"/>
  <c r="BW231" i="1" s="1"/>
  <c r="AX229" i="1"/>
  <c r="BR218" i="1"/>
  <c r="BP219" i="1"/>
  <c r="AA199" i="1"/>
  <c r="AA200" i="1" s="1"/>
  <c r="AE198" i="1"/>
  <c r="AV159" i="1"/>
  <c r="J160" i="1"/>
  <c r="H160" i="1"/>
  <c r="O159" i="1"/>
  <c r="AC159" i="1"/>
  <c r="BN231" i="1" l="1"/>
  <c r="BW232" i="1"/>
  <c r="AX231" i="1"/>
  <c r="BN230" i="1"/>
  <c r="AX230" i="1"/>
  <c r="BR219" i="1"/>
  <c r="BP220" i="1"/>
  <c r="AA201" i="1"/>
  <c r="AE200" i="1"/>
  <c r="AE199" i="1"/>
  <c r="O160" i="1"/>
  <c r="H161" i="1"/>
  <c r="J161" i="1"/>
  <c r="AV160" i="1"/>
  <c r="AC160" i="1"/>
  <c r="BN232" i="1" l="1"/>
  <c r="BW233" i="1"/>
  <c r="BW234" i="1" s="1"/>
  <c r="AX232" i="1"/>
  <c r="BR220" i="1"/>
  <c r="BP221" i="1"/>
  <c r="BP222" i="1" s="1"/>
  <c r="AE201" i="1"/>
  <c r="AA202" i="1"/>
  <c r="O161" i="1"/>
  <c r="H162" i="1"/>
  <c r="J162" i="1"/>
  <c r="AV161" i="1"/>
  <c r="AC161" i="1"/>
  <c r="AX234" i="1" l="1"/>
  <c r="BW235" i="1"/>
  <c r="BN234" i="1"/>
  <c r="BN233" i="1"/>
  <c r="AX233" i="1"/>
  <c r="BR222" i="1"/>
  <c r="BP223" i="1"/>
  <c r="BR221" i="1"/>
  <c r="AA203" i="1"/>
  <c r="AE202" i="1"/>
  <c r="J163" i="1"/>
  <c r="H163" i="1"/>
  <c r="O162" i="1"/>
  <c r="AV162" i="1"/>
  <c r="AC162" i="1"/>
  <c r="BW236" i="1" l="1"/>
  <c r="AX235" i="1"/>
  <c r="BN235" i="1"/>
  <c r="BR223" i="1"/>
  <c r="BP224" i="1"/>
  <c r="AA204" i="1"/>
  <c r="AE203" i="1"/>
  <c r="O163" i="1"/>
  <c r="J164" i="1"/>
  <c r="H164" i="1"/>
  <c r="AV163" i="1"/>
  <c r="AC163" i="1"/>
  <c r="AX236" i="1" l="1"/>
  <c r="BW237" i="1"/>
  <c r="BN236" i="1"/>
  <c r="BR224" i="1"/>
  <c r="BP225" i="1"/>
  <c r="AA205" i="1"/>
  <c r="AA206" i="1" s="1"/>
  <c r="H334" i="1"/>
  <c r="AE204" i="1"/>
  <c r="O164" i="1"/>
  <c r="H165" i="1"/>
  <c r="AV164" i="1"/>
  <c r="J165" i="1"/>
  <c r="AC164" i="1"/>
  <c r="BN237" i="1" l="1"/>
  <c r="BW238" i="1"/>
  <c r="AX237" i="1"/>
  <c r="BR225" i="1"/>
  <c r="BP226" i="1"/>
  <c r="AE206" i="1"/>
  <c r="AA207" i="1"/>
  <c r="AE205" i="1"/>
  <c r="O165" i="1"/>
  <c r="AV165" i="1"/>
  <c r="H166" i="1"/>
  <c r="J166" i="1"/>
  <c r="AC165" i="1"/>
  <c r="AA121" i="3"/>
  <c r="AA119" i="3"/>
  <c r="AA120" i="3"/>
  <c r="AA118" i="3"/>
  <c r="BN238" i="1" l="1"/>
  <c r="BW239" i="1"/>
  <c r="AX238" i="1"/>
  <c r="BR226" i="1"/>
  <c r="BP227" i="1"/>
  <c r="AE207" i="1"/>
  <c r="AA208" i="1"/>
  <c r="J167" i="1"/>
  <c r="O166" i="1"/>
  <c r="AV166" i="1"/>
  <c r="H167" i="1"/>
  <c r="AC166" i="1"/>
  <c r="AX239" i="1" l="1"/>
  <c r="BW240" i="1"/>
  <c r="BN239" i="1"/>
  <c r="BR227" i="1"/>
  <c r="BP228" i="1"/>
  <c r="AA209" i="1"/>
  <c r="AA210" i="1" s="1"/>
  <c r="AE208" i="1"/>
  <c r="H168" i="1"/>
  <c r="J168" i="1"/>
  <c r="O167" i="1"/>
  <c r="AV167" i="1"/>
  <c r="AC167" i="1"/>
  <c r="BW241" i="1" l="1"/>
  <c r="BN240" i="1"/>
  <c r="AX240" i="1"/>
  <c r="BR228" i="1"/>
  <c r="BP229" i="1"/>
  <c r="AE210" i="1"/>
  <c r="AA211" i="1"/>
  <c r="AE209" i="1"/>
  <c r="J169" i="1"/>
  <c r="H169" i="1"/>
  <c r="AV168" i="1"/>
  <c r="O168" i="1"/>
  <c r="AC168" i="1"/>
  <c r="BN241" i="1" l="1"/>
  <c r="BW242" i="1"/>
  <c r="BW243" i="1" s="1"/>
  <c r="AX241" i="1"/>
  <c r="BP230" i="1"/>
  <c r="BP231" i="1" s="1"/>
  <c r="BR229" i="1"/>
  <c r="AE211" i="1"/>
  <c r="AA212" i="1"/>
  <c r="O169" i="1"/>
  <c r="J170" i="1"/>
  <c r="H170" i="1"/>
  <c r="AV169" i="1"/>
  <c r="AC169" i="1"/>
  <c r="BN243" i="1" l="1"/>
  <c r="BW244" i="1"/>
  <c r="AX243" i="1"/>
  <c r="BN242" i="1"/>
  <c r="AX242" i="1"/>
  <c r="BR231" i="1"/>
  <c r="BP232" i="1"/>
  <c r="BR230" i="1"/>
  <c r="AE212" i="1"/>
  <c r="AA213" i="1"/>
  <c r="AV170" i="1"/>
  <c r="H171" i="1"/>
  <c r="J171" i="1"/>
  <c r="O170" i="1"/>
  <c r="AC170" i="1"/>
  <c r="AA127" i="3"/>
  <c r="AA128" i="3"/>
  <c r="AA125" i="3"/>
  <c r="AA126" i="3"/>
  <c r="AA123" i="3"/>
  <c r="AA124" i="3"/>
  <c r="AA122" i="3"/>
  <c r="BN244" i="1" l="1"/>
  <c r="BW245" i="1"/>
  <c r="AX244" i="1"/>
  <c r="BR232" i="1"/>
  <c r="BP233" i="1"/>
  <c r="BP234" i="1" s="1"/>
  <c r="AE213" i="1"/>
  <c r="AA214" i="1"/>
  <c r="AA215" i="1" s="1"/>
  <c r="O171" i="1"/>
  <c r="J172" i="1"/>
  <c r="H172" i="1"/>
  <c r="AV171" i="1"/>
  <c r="AC171" i="1"/>
  <c r="BN245" i="1" l="1"/>
  <c r="BW246" i="1"/>
  <c r="BW247" i="1" s="1"/>
  <c r="AX245" i="1"/>
  <c r="BP235" i="1"/>
  <c r="BR234" i="1"/>
  <c r="BR233" i="1"/>
  <c r="AA216" i="1"/>
  <c r="AA217" i="1" s="1"/>
  <c r="AE215" i="1"/>
  <c r="AE214" i="1"/>
  <c r="O172" i="1"/>
  <c r="J173" i="1"/>
  <c r="H173" i="1"/>
  <c r="AV172" i="1"/>
  <c r="AC172" i="1"/>
  <c r="AX247" i="1" l="1"/>
  <c r="BW248" i="1"/>
  <c r="BN247" i="1"/>
  <c r="BN246" i="1"/>
  <c r="AX246" i="1"/>
  <c r="BR235" i="1"/>
  <c r="BP236" i="1"/>
  <c r="AA218" i="1"/>
  <c r="AE217" i="1"/>
  <c r="AE216" i="1"/>
  <c r="J174" i="1"/>
  <c r="H174" i="1"/>
  <c r="O173" i="1"/>
  <c r="AV173" i="1"/>
  <c r="AC173" i="1"/>
  <c r="BN248" i="1" l="1"/>
  <c r="AX248" i="1"/>
  <c r="BW249" i="1"/>
  <c r="BR236" i="1"/>
  <c r="BP237" i="1"/>
  <c r="AA219" i="1"/>
  <c r="AE218" i="1"/>
  <c r="O174" i="1"/>
  <c r="J175" i="1"/>
  <c r="H175" i="1"/>
  <c r="AV174" i="1"/>
  <c r="AC174" i="1"/>
  <c r="AX249" i="1" l="1"/>
  <c r="BW250" i="1"/>
  <c r="BN249" i="1"/>
  <c r="BR237" i="1"/>
  <c r="BP238" i="1"/>
  <c r="AA220" i="1"/>
  <c r="AE219" i="1"/>
  <c r="AV175" i="1"/>
  <c r="J176" i="1"/>
  <c r="H176" i="1"/>
  <c r="O175" i="1"/>
  <c r="AC175" i="1"/>
  <c r="BN250" i="1" l="1"/>
  <c r="BW251" i="1"/>
  <c r="BW252" i="1" s="1"/>
  <c r="AX250" i="1"/>
  <c r="BR238" i="1"/>
  <c r="BP239" i="1"/>
  <c r="AE220" i="1"/>
  <c r="AA221" i="1"/>
  <c r="AA222" i="1" s="1"/>
  <c r="O176" i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X252" i="1" l="1"/>
  <c r="BW253" i="1"/>
  <c r="BN252" i="1"/>
  <c r="AX251" i="1"/>
  <c r="BN251" i="1"/>
  <c r="BR239" i="1"/>
  <c r="BP240" i="1"/>
  <c r="AE222" i="1"/>
  <c r="AA223" i="1"/>
  <c r="AE221" i="1"/>
  <c r="AV177" i="1"/>
  <c r="H178" i="1"/>
  <c r="J178" i="1"/>
  <c r="O177" i="1"/>
  <c r="AC177" i="1"/>
  <c r="BW254" i="1" l="1"/>
  <c r="BN253" i="1"/>
  <c r="AX253" i="1"/>
  <c r="BR240" i="1"/>
  <c r="BP241" i="1"/>
  <c r="AE223" i="1"/>
  <c r="AA224" i="1"/>
  <c r="AV178" i="1"/>
  <c r="J179" i="1"/>
  <c r="H179" i="1"/>
  <c r="O178" i="1"/>
  <c r="AC178" i="1"/>
  <c r="BW255" i="1" l="1"/>
  <c r="AX254" i="1"/>
  <c r="BN254" i="1"/>
  <c r="BR241" i="1"/>
  <c r="BP242" i="1"/>
  <c r="BP243" i="1" s="1"/>
  <c r="AE224" i="1"/>
  <c r="AA225" i="1"/>
  <c r="AV179" i="1"/>
  <c r="J180" i="1"/>
  <c r="H180" i="1"/>
  <c r="O179" i="1"/>
  <c r="AC179" i="1"/>
  <c r="BN255" i="1" l="1"/>
  <c r="AX255" i="1"/>
  <c r="BW256" i="1"/>
  <c r="BR243" i="1"/>
  <c r="BP244" i="1"/>
  <c r="BR242" i="1"/>
  <c r="AE225" i="1"/>
  <c r="AA226" i="1"/>
  <c r="AV180" i="1"/>
  <c r="J181" i="1"/>
  <c r="H181" i="1"/>
  <c r="O180" i="1"/>
  <c r="AC180" i="1"/>
  <c r="AX256" i="1" l="1"/>
  <c r="BW257" i="1"/>
  <c r="BN256" i="1"/>
  <c r="BR244" i="1"/>
  <c r="BP245" i="1"/>
  <c r="AE226" i="1"/>
  <c r="AA227" i="1"/>
  <c r="J182" i="1"/>
  <c r="H182" i="1"/>
  <c r="O181" i="1"/>
  <c r="AV181" i="1"/>
  <c r="AC181" i="1"/>
  <c r="BN257" i="1" l="1"/>
  <c r="BW258" i="1"/>
  <c r="BW259" i="1" s="1"/>
  <c r="AX257" i="1"/>
  <c r="BR245" i="1"/>
  <c r="BP246" i="1"/>
  <c r="BP247" i="1" s="1"/>
  <c r="AA228" i="1"/>
  <c r="AE227" i="1"/>
  <c r="AV182" i="1"/>
  <c r="J183" i="1"/>
  <c r="O182" i="1"/>
  <c r="H183" i="1"/>
  <c r="AC182" i="1"/>
  <c r="AX259" i="1" l="1"/>
  <c r="BW260" i="1"/>
  <c r="BN259" i="1"/>
  <c r="AX258" i="1"/>
  <c r="BN258" i="1"/>
  <c r="BR247" i="1"/>
  <c r="BP248" i="1"/>
  <c r="BR246" i="1"/>
  <c r="AE228" i="1"/>
  <c r="AA229" i="1"/>
  <c r="AC183" i="1"/>
  <c r="AV183" i="1"/>
  <c r="H184" i="1"/>
  <c r="J184" i="1"/>
  <c r="O183" i="1"/>
  <c r="BN260" i="1" l="1"/>
  <c r="BW261" i="1"/>
  <c r="AX260" i="1"/>
  <c r="BR248" i="1"/>
  <c r="BP249" i="1"/>
  <c r="AE229" i="1"/>
  <c r="AA230" i="1"/>
  <c r="AA231" i="1" s="1"/>
  <c r="H185" i="1"/>
  <c r="J185" i="1"/>
  <c r="AV184" i="1"/>
  <c r="O184" i="1"/>
  <c r="AC184" i="1"/>
  <c r="AA138" i="3"/>
  <c r="AA137" i="3"/>
  <c r="AX261" i="1" l="1"/>
  <c r="BW262" i="1"/>
  <c r="BN261" i="1"/>
  <c r="BR249" i="1"/>
  <c r="BP250" i="1"/>
  <c r="AA232" i="1"/>
  <c r="AE231" i="1"/>
  <c r="AE230" i="1"/>
  <c r="AV185" i="1"/>
  <c r="O185" i="1"/>
  <c r="J186" i="1"/>
  <c r="H186" i="1"/>
  <c r="AC185" i="1"/>
  <c r="BW263" i="1" l="1"/>
  <c r="AX262" i="1"/>
  <c r="BN262" i="1"/>
  <c r="BP251" i="1"/>
  <c r="BP252" i="1" s="1"/>
  <c r="BR250" i="1"/>
  <c r="AA233" i="1"/>
  <c r="AA234" i="1" s="1"/>
  <c r="AE232" i="1"/>
  <c r="O186" i="1"/>
  <c r="H187" i="1"/>
  <c r="J187" i="1"/>
  <c r="AV186" i="1"/>
  <c r="AC186" i="1"/>
  <c r="AX263" i="1" l="1"/>
  <c r="BW264" i="1"/>
  <c r="BN263" i="1"/>
  <c r="BP253" i="1"/>
  <c r="BR252" i="1"/>
  <c r="BR251" i="1"/>
  <c r="AE234" i="1"/>
  <c r="AA235" i="1"/>
  <c r="AE233" i="1"/>
  <c r="H188" i="1"/>
  <c r="J188" i="1"/>
  <c r="O187" i="1"/>
  <c r="AV187" i="1"/>
  <c r="AC187" i="1"/>
  <c r="AA140" i="3"/>
  <c r="AA141" i="3"/>
  <c r="AA139" i="3"/>
  <c r="AX264" i="1" l="1"/>
  <c r="BW265" i="1"/>
  <c r="BN264" i="1"/>
  <c r="BP254" i="1"/>
  <c r="BR253" i="1"/>
  <c r="AA236" i="1"/>
  <c r="AE235" i="1"/>
  <c r="AV188" i="1"/>
  <c r="J189" i="1"/>
  <c r="H189" i="1"/>
  <c r="O188" i="1"/>
  <c r="AC188" i="1"/>
  <c r="BW266" i="1" l="1"/>
  <c r="BN265" i="1"/>
  <c r="AX265" i="1"/>
  <c r="BR254" i="1"/>
  <c r="BP255" i="1"/>
  <c r="AE236" i="1"/>
  <c r="AA237" i="1"/>
  <c r="O189" i="1"/>
  <c r="J190" i="1"/>
  <c r="H190" i="1"/>
  <c r="AV189" i="1"/>
  <c r="AC189" i="1"/>
  <c r="AX266" i="1" l="1"/>
  <c r="BW267" i="1"/>
  <c r="BN266" i="1"/>
  <c r="BR255" i="1"/>
  <c r="BP256" i="1"/>
  <c r="AA238" i="1"/>
  <c r="AE237" i="1"/>
  <c r="O190" i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BN267" i="1" l="1"/>
  <c r="AX267" i="1"/>
  <c r="BW268" i="1"/>
  <c r="BR256" i="1"/>
  <c r="BP257" i="1"/>
  <c r="AA239" i="1"/>
  <c r="AE238" i="1"/>
  <c r="AV191" i="1"/>
  <c r="J192" i="1"/>
  <c r="H192" i="1"/>
  <c r="O191" i="1"/>
  <c r="AC191" i="1"/>
  <c r="BN268" i="1" l="1"/>
  <c r="AX268" i="1"/>
  <c r="BW269" i="1"/>
  <c r="BW270" i="1" s="1"/>
  <c r="BP258" i="1"/>
  <c r="BP259" i="1" s="1"/>
  <c r="BR257" i="1"/>
  <c r="AE239" i="1"/>
  <c r="AA240" i="1"/>
  <c r="J193" i="1"/>
  <c r="H193" i="1"/>
  <c r="AV192" i="1"/>
  <c r="O192" i="1"/>
  <c r="AC192" i="1"/>
  <c r="AX270" i="1" l="1"/>
  <c r="BW271" i="1"/>
  <c r="BW272" i="1" s="1"/>
  <c r="BN270" i="1"/>
  <c r="BR259" i="1"/>
  <c r="BP260" i="1"/>
  <c r="BN269" i="1"/>
  <c r="AX269" i="1"/>
  <c r="BR258" i="1"/>
  <c r="AA241" i="1"/>
  <c r="AE240" i="1"/>
  <c r="J194" i="1"/>
  <c r="H194" i="1"/>
  <c r="O193" i="1"/>
  <c r="AV193" i="1"/>
  <c r="AC193" i="1"/>
  <c r="AX272" i="1" l="1"/>
  <c r="BW273" i="1"/>
  <c r="BN272" i="1"/>
  <c r="AX271" i="1"/>
  <c r="BN271" i="1"/>
  <c r="BR260" i="1"/>
  <c r="BP261" i="1"/>
  <c r="AE241" i="1"/>
  <c r="AA242" i="1"/>
  <c r="AA243" i="1" s="1"/>
  <c r="AV194" i="1"/>
  <c r="J195" i="1"/>
  <c r="H195" i="1"/>
  <c r="O194" i="1"/>
  <c r="AC194" i="1"/>
  <c r="AX273" i="1" l="1"/>
  <c r="BW274" i="1"/>
  <c r="BN273" i="1"/>
  <c r="BR261" i="1"/>
  <c r="BP262" i="1"/>
  <c r="AE243" i="1"/>
  <c r="AA244" i="1"/>
  <c r="AE242" i="1"/>
  <c r="H196" i="1"/>
  <c r="J196" i="1"/>
  <c r="AV195" i="1"/>
  <c r="O195" i="1"/>
  <c r="AC195" i="1"/>
  <c r="BN274" i="1" l="1"/>
  <c r="BW275" i="1"/>
  <c r="BW276" i="1" s="1"/>
  <c r="AX274" i="1"/>
  <c r="BP263" i="1"/>
  <c r="BR262" i="1"/>
  <c r="AA245" i="1"/>
  <c r="AE244" i="1"/>
  <c r="AV196" i="1"/>
  <c r="J197" i="1"/>
  <c r="H197" i="1"/>
  <c r="O196" i="1"/>
  <c r="AC196" i="1"/>
  <c r="BN276" i="1" l="1"/>
  <c r="AX276" i="1"/>
  <c r="BW277" i="1"/>
  <c r="AX275" i="1"/>
  <c r="BN275" i="1"/>
  <c r="BR263" i="1"/>
  <c r="BP264" i="1"/>
  <c r="AE245" i="1"/>
  <c r="AA246" i="1"/>
  <c r="AA247" i="1" s="1"/>
  <c r="H198" i="1"/>
  <c r="J198" i="1"/>
  <c r="O197" i="1"/>
  <c r="AV197" i="1"/>
  <c r="AC197" i="1"/>
  <c r="AX277" i="1" l="1"/>
  <c r="BW278" i="1"/>
  <c r="BN277" i="1"/>
  <c r="BR264" i="1"/>
  <c r="BP265" i="1"/>
  <c r="AE247" i="1"/>
  <c r="AA248" i="1"/>
  <c r="AE246" i="1"/>
  <c r="J199" i="1"/>
  <c r="O198" i="1"/>
  <c r="H199" i="1"/>
  <c r="AV198" i="1"/>
  <c r="AC198" i="1"/>
  <c r="AA151" i="3"/>
  <c r="AA150" i="3"/>
  <c r="AX278" i="1" l="1"/>
  <c r="BW279" i="1"/>
  <c r="BN278" i="1"/>
  <c r="BR265" i="1"/>
  <c r="BP266" i="1"/>
  <c r="AE248" i="1"/>
  <c r="AA249" i="1"/>
  <c r="J200" i="1"/>
  <c r="H200" i="1"/>
  <c r="AV199" i="1"/>
  <c r="O199" i="1"/>
  <c r="AC199" i="1"/>
  <c r="AA152" i="3"/>
  <c r="AA153" i="3"/>
  <c r="AX279" i="1" l="1"/>
  <c r="BW280" i="1"/>
  <c r="BN279" i="1"/>
  <c r="BP267" i="1"/>
  <c r="BR266" i="1"/>
  <c r="AE249" i="1"/>
  <c r="AA250" i="1"/>
  <c r="O200" i="1"/>
  <c r="H201" i="1"/>
  <c r="J201" i="1"/>
  <c r="AV200" i="1"/>
  <c r="AC200" i="1"/>
  <c r="BN280" i="1" l="1"/>
  <c r="BW281" i="1"/>
  <c r="AX280" i="1"/>
  <c r="BR267" i="1"/>
  <c r="BP268" i="1"/>
  <c r="AA251" i="1"/>
  <c r="AA252" i="1" s="1"/>
  <c r="AE250" i="1"/>
  <c r="AV201" i="1"/>
  <c r="J202" i="1"/>
  <c r="H202" i="1"/>
  <c r="O201" i="1"/>
  <c r="AC201" i="1"/>
  <c r="AX281" i="1" l="1"/>
  <c r="BW282" i="1"/>
  <c r="BW283" i="1" s="1"/>
  <c r="BN281" i="1"/>
  <c r="BR268" i="1"/>
  <c r="BP269" i="1"/>
  <c r="BP270" i="1" s="1"/>
  <c r="AE252" i="1"/>
  <c r="AA253" i="1"/>
  <c r="AE251" i="1"/>
  <c r="AV202" i="1"/>
  <c r="H203" i="1"/>
  <c r="J203" i="1"/>
  <c r="O202" i="1"/>
  <c r="AC202" i="1"/>
  <c r="AA159" i="3"/>
  <c r="AA160" i="3"/>
  <c r="AA157" i="3"/>
  <c r="AA158" i="3"/>
  <c r="AA155" i="3"/>
  <c r="AA156" i="3"/>
  <c r="AA154" i="3"/>
  <c r="AX283" i="1" l="1"/>
  <c r="BW284" i="1"/>
  <c r="BN283" i="1"/>
  <c r="AX282" i="1"/>
  <c r="BN282" i="1"/>
  <c r="BR270" i="1"/>
  <c r="BP271" i="1"/>
  <c r="BP272" i="1" s="1"/>
  <c r="BR269" i="1"/>
  <c r="AA254" i="1"/>
  <c r="AE253" i="1"/>
  <c r="AV203" i="1"/>
  <c r="H204" i="1"/>
  <c r="J204" i="1"/>
  <c r="O203" i="1"/>
  <c r="AC203" i="1"/>
  <c r="BN284" i="1" l="1"/>
  <c r="BW285" i="1"/>
  <c r="AX284" i="1"/>
  <c r="BR272" i="1"/>
  <c r="BP273" i="1"/>
  <c r="BR271" i="1"/>
  <c r="AE254" i="1"/>
  <c r="AA255" i="1"/>
  <c r="AV204" i="1"/>
  <c r="H205" i="1"/>
  <c r="J205" i="1"/>
  <c r="O204" i="1"/>
  <c r="AC204" i="1"/>
  <c r="BN285" i="1" l="1"/>
  <c r="BW286" i="1"/>
  <c r="AX285" i="1"/>
  <c r="BR273" i="1"/>
  <c r="BP274" i="1"/>
  <c r="AE255" i="1"/>
  <c r="AA256" i="1"/>
  <c r="H206" i="1"/>
  <c r="J206" i="1"/>
  <c r="AV205" i="1"/>
  <c r="O205" i="1"/>
  <c r="AC205" i="1"/>
  <c r="BN286" i="1" l="1"/>
  <c r="BW287" i="1"/>
  <c r="AX286" i="1"/>
  <c r="BR274" i="1"/>
  <c r="BP275" i="1"/>
  <c r="AE256" i="1"/>
  <c r="AA257" i="1"/>
  <c r="AV206" i="1"/>
  <c r="H207" i="1"/>
  <c r="J207" i="1"/>
  <c r="O206" i="1"/>
  <c r="AC206" i="1"/>
  <c r="AX287" i="1" l="1"/>
  <c r="BW288" i="1"/>
  <c r="BN287" i="1"/>
  <c r="BR275" i="1"/>
  <c r="BP276" i="1"/>
  <c r="AE257" i="1"/>
  <c r="AA258" i="1"/>
  <c r="AA259" i="1" s="1"/>
  <c r="O207" i="1"/>
  <c r="J208" i="1"/>
  <c r="H208" i="1"/>
  <c r="AV207" i="1"/>
  <c r="AC207" i="1"/>
  <c r="BN288" i="1" l="1"/>
  <c r="BW289" i="1"/>
  <c r="AX288" i="1"/>
  <c r="BR276" i="1"/>
  <c r="BP277" i="1"/>
  <c r="AE259" i="1"/>
  <c r="AA260" i="1"/>
  <c r="AE258" i="1"/>
  <c r="J209" i="1"/>
  <c r="H209" i="1"/>
  <c r="AV208" i="1"/>
  <c r="O208" i="1"/>
  <c r="AC208" i="1"/>
  <c r="AA162" i="3"/>
  <c r="AA163" i="3"/>
  <c r="AA161" i="3"/>
  <c r="BN289" i="1" l="1"/>
  <c r="BW290" i="1"/>
  <c r="AX289" i="1"/>
  <c r="BR277" i="1"/>
  <c r="BP278" i="1"/>
  <c r="AE260" i="1"/>
  <c r="AA261" i="1"/>
  <c r="J210" i="1"/>
  <c r="H210" i="1"/>
  <c r="AV209" i="1"/>
  <c r="O209" i="1"/>
  <c r="AC209" i="1"/>
  <c r="AX290" i="1" l="1"/>
  <c r="BW291" i="1"/>
  <c r="BN290" i="1"/>
  <c r="BR278" i="1"/>
  <c r="BP279" i="1"/>
  <c r="AA262" i="1"/>
  <c r="AE261" i="1"/>
  <c r="O210" i="1"/>
  <c r="H211" i="1"/>
  <c r="J211" i="1"/>
  <c r="AV210" i="1"/>
  <c r="AC210" i="1"/>
  <c r="BN291" i="1" l="1"/>
  <c r="AX291" i="1"/>
  <c r="BW297" i="1"/>
  <c r="BW298" i="1" s="1"/>
  <c r="BR279" i="1"/>
  <c r="BP280" i="1"/>
  <c r="AE262" i="1"/>
  <c r="AA263" i="1"/>
  <c r="O211" i="1"/>
  <c r="J212" i="1"/>
  <c r="H212" i="1"/>
  <c r="AV211" i="1"/>
  <c r="AC211" i="1"/>
  <c r="BR280" i="1" l="1"/>
  <c r="BP281" i="1"/>
  <c r="AE263" i="1"/>
  <c r="AA264" i="1"/>
  <c r="AV212" i="1"/>
  <c r="J213" i="1"/>
  <c r="H213" i="1"/>
  <c r="O212" i="1"/>
  <c r="AC212" i="1"/>
  <c r="AA169" i="3"/>
  <c r="AA167" i="3"/>
  <c r="AA168" i="3"/>
  <c r="AA165" i="3"/>
  <c r="AA166" i="3"/>
  <c r="AA164" i="3"/>
  <c r="BR281" i="1" l="1"/>
  <c r="BP282" i="1"/>
  <c r="BP283" i="1" s="1"/>
  <c r="AE264" i="1"/>
  <c r="AA265" i="1"/>
  <c r="AV213" i="1"/>
  <c r="J214" i="1"/>
  <c r="H214" i="1"/>
  <c r="O213" i="1"/>
  <c r="AC213" i="1"/>
  <c r="BR283" i="1" l="1"/>
  <c r="BP284" i="1"/>
  <c r="BR282" i="1"/>
  <c r="AE265" i="1"/>
  <c r="AA266" i="1"/>
  <c r="J215" i="1"/>
  <c r="H215" i="1"/>
  <c r="O214" i="1"/>
  <c r="AV214" i="1"/>
  <c r="AC214" i="1"/>
  <c r="BR284" i="1" l="1"/>
  <c r="BP285" i="1"/>
  <c r="AA267" i="1"/>
  <c r="AE266" i="1"/>
  <c r="AV215" i="1"/>
  <c r="H216" i="1"/>
  <c r="J216" i="1"/>
  <c r="AC215" i="1"/>
  <c r="O215" i="1"/>
  <c r="BR285" i="1" l="1"/>
  <c r="BP286" i="1"/>
  <c r="AE267" i="1"/>
  <c r="AA268" i="1"/>
  <c r="H217" i="1"/>
  <c r="J217" i="1"/>
  <c r="O216" i="1"/>
  <c r="AV216" i="1"/>
  <c r="AC216" i="1"/>
  <c r="BR286" i="1" l="1"/>
  <c r="BP287" i="1"/>
  <c r="AE268" i="1"/>
  <c r="AA269" i="1"/>
  <c r="AA270" i="1" s="1"/>
  <c r="AV217" i="1"/>
  <c r="J218" i="1"/>
  <c r="H218" i="1"/>
  <c r="O217" i="1"/>
  <c r="AC217" i="1"/>
  <c r="AA170" i="3"/>
  <c r="BR287" i="1" l="1"/>
  <c r="BP288" i="1"/>
  <c r="AA271" i="1"/>
  <c r="AA272" i="1" s="1"/>
  <c r="AE270" i="1"/>
  <c r="AE269" i="1"/>
  <c r="O218" i="1"/>
  <c r="J219" i="1"/>
  <c r="H219" i="1"/>
  <c r="AV218" i="1"/>
  <c r="AC218" i="1"/>
  <c r="BR288" i="1" l="1"/>
  <c r="BP289" i="1"/>
  <c r="AE272" i="1"/>
  <c r="AA273" i="1"/>
  <c r="AE271" i="1"/>
  <c r="AV219" i="1"/>
  <c r="J220" i="1"/>
  <c r="H220" i="1"/>
  <c r="O219" i="1"/>
  <c r="AC219" i="1"/>
  <c r="AA176" i="3"/>
  <c r="AA174" i="3"/>
  <c r="AA175" i="3"/>
  <c r="AA172" i="3"/>
  <c r="AA173" i="3"/>
  <c r="AA171" i="3"/>
  <c r="BR289" i="1" l="1"/>
  <c r="BP290" i="1"/>
  <c r="AE273" i="1"/>
  <c r="AA274" i="1"/>
  <c r="AV220" i="1"/>
  <c r="H221" i="1"/>
  <c r="J221" i="1"/>
  <c r="O220" i="1"/>
  <c r="AC220" i="1"/>
  <c r="BR290" i="1" l="1"/>
  <c r="BP291" i="1"/>
  <c r="AE274" i="1"/>
  <c r="AA275" i="1"/>
  <c r="J222" i="1"/>
  <c r="H222" i="1"/>
  <c r="AV221" i="1"/>
  <c r="O221" i="1"/>
  <c r="AC221" i="1"/>
  <c r="BR291" i="1" l="1"/>
  <c r="AE275" i="1"/>
  <c r="AA276" i="1"/>
  <c r="AV222" i="1"/>
  <c r="H223" i="1"/>
  <c r="J223" i="1"/>
  <c r="O222" i="1"/>
  <c r="AC222" i="1"/>
  <c r="AE276" i="1" l="1"/>
  <c r="AA277" i="1"/>
  <c r="AV223" i="1"/>
  <c r="H224" i="1"/>
  <c r="J224" i="1"/>
  <c r="O223" i="1"/>
  <c r="AC223" i="1"/>
  <c r="AA278" i="1" l="1"/>
  <c r="AE277" i="1"/>
  <c r="AV224" i="1"/>
  <c r="H225" i="1"/>
  <c r="J225" i="1"/>
  <c r="O224" i="1"/>
  <c r="AC224" i="1"/>
  <c r="AA184" i="3"/>
  <c r="AA182" i="3"/>
  <c r="AA183" i="3"/>
  <c r="AA180" i="3"/>
  <c r="AA181" i="3"/>
  <c r="AA178" i="3"/>
  <c r="AA179" i="3"/>
  <c r="AA177" i="3"/>
  <c r="AA279" i="1" l="1"/>
  <c r="AE278" i="1"/>
  <c r="O225" i="1"/>
  <c r="H226" i="1"/>
  <c r="J226" i="1"/>
  <c r="AV225" i="1"/>
  <c r="AC225" i="1"/>
  <c r="AA280" i="1" l="1"/>
  <c r="AE279" i="1"/>
  <c r="O226" i="1"/>
  <c r="J227" i="1"/>
  <c r="H227" i="1"/>
  <c r="AV226" i="1"/>
  <c r="AC226" i="1"/>
  <c r="AA281" i="1" l="1"/>
  <c r="AE280" i="1"/>
  <c r="AV227" i="1"/>
  <c r="H228" i="1"/>
  <c r="J228" i="1"/>
  <c r="O227" i="1"/>
  <c r="AC227" i="1"/>
  <c r="AA282" i="1" l="1"/>
  <c r="AA283" i="1" s="1"/>
  <c r="AE281" i="1"/>
  <c r="J229" i="1"/>
  <c r="H229" i="1"/>
  <c r="O228" i="1"/>
  <c r="AV228" i="1"/>
  <c r="AC228" i="1"/>
  <c r="AA284" i="1" l="1"/>
  <c r="AE283" i="1"/>
  <c r="AE282" i="1"/>
  <c r="O229" i="1"/>
  <c r="H230" i="1"/>
  <c r="J230" i="1"/>
  <c r="AV229" i="1"/>
  <c r="AC229" i="1"/>
  <c r="AE284" i="1" l="1"/>
  <c r="AA285" i="1"/>
  <c r="J231" i="1"/>
  <c r="H231" i="1"/>
  <c r="AV230" i="1"/>
  <c r="O230" i="1"/>
  <c r="AC230" i="1"/>
  <c r="AE285" i="1" l="1"/>
  <c r="AA286" i="1"/>
  <c r="O231" i="1"/>
  <c r="H232" i="1"/>
  <c r="J232" i="1"/>
  <c r="AV231" i="1"/>
  <c r="AC231" i="1"/>
  <c r="AE286" i="1" l="1"/>
  <c r="AA287" i="1"/>
  <c r="O232" i="1"/>
  <c r="H233" i="1"/>
  <c r="J233" i="1"/>
  <c r="AV232" i="1"/>
  <c r="AC232" i="1"/>
  <c r="AE287" i="1" l="1"/>
  <c r="AA288" i="1"/>
  <c r="J234" i="1"/>
  <c r="H234" i="1"/>
  <c r="O233" i="1"/>
  <c r="AV233" i="1"/>
  <c r="AC233" i="1"/>
  <c r="AA186" i="3"/>
  <c r="AA187" i="3"/>
  <c r="AA185" i="3"/>
  <c r="AE288" i="1" l="1"/>
  <c r="AA289" i="1"/>
  <c r="AV234" i="1"/>
  <c r="H235" i="1"/>
  <c r="J235" i="1"/>
  <c r="O234" i="1"/>
  <c r="AC234" i="1"/>
  <c r="AA290" i="1" l="1"/>
  <c r="AE289" i="1"/>
  <c r="AV235" i="1"/>
  <c r="J236" i="1"/>
  <c r="H236" i="1"/>
  <c r="O235" i="1"/>
  <c r="AC235" i="1"/>
  <c r="AE290" i="1" l="1"/>
  <c r="AA291" i="1"/>
  <c r="AV236" i="1"/>
  <c r="J237" i="1"/>
  <c r="H237" i="1"/>
  <c r="O236" i="1"/>
  <c r="AC236" i="1"/>
  <c r="AA197" i="3"/>
  <c r="AA195" i="3"/>
  <c r="AA196" i="3"/>
  <c r="AA193" i="3"/>
  <c r="AA194" i="3"/>
  <c r="AA191" i="3"/>
  <c r="AA192" i="3"/>
  <c r="AA189" i="3"/>
  <c r="AA190" i="3"/>
  <c r="AA188" i="3"/>
  <c r="AE291" i="1" l="1"/>
  <c r="O237" i="1"/>
  <c r="H238" i="1"/>
  <c r="J238" i="1"/>
  <c r="AV237" i="1"/>
  <c r="AC237" i="1"/>
  <c r="AD49" i="2" l="1"/>
  <c r="AD51" i="2" s="1"/>
  <c r="AD53" i="2" s="1"/>
  <c r="AD55" i="2" s="1"/>
  <c r="AD57" i="2" s="1"/>
  <c r="I21" i="3"/>
  <c r="I35" i="3" s="1"/>
  <c r="AJ21" i="2"/>
  <c r="AV238" i="1"/>
  <c r="J239" i="1"/>
  <c r="H239" i="1"/>
  <c r="O238" i="1"/>
  <c r="AC238" i="1"/>
  <c r="AV239" i="1" l="1"/>
  <c r="H240" i="1"/>
  <c r="J240" i="1"/>
  <c r="O239" i="1"/>
  <c r="AC239" i="1"/>
  <c r="J241" i="1" l="1"/>
  <c r="H241" i="1"/>
  <c r="O240" i="1"/>
  <c r="AV240" i="1"/>
  <c r="AC240" i="1"/>
  <c r="O241" i="1" l="1"/>
  <c r="J242" i="1"/>
  <c r="H242" i="1"/>
  <c r="AV241" i="1"/>
  <c r="AC241" i="1"/>
  <c r="J243" i="1" l="1"/>
  <c r="H243" i="1"/>
  <c r="O242" i="1"/>
  <c r="AV242" i="1"/>
  <c r="AC242" i="1"/>
  <c r="O243" i="1" l="1"/>
  <c r="J244" i="1"/>
  <c r="H244" i="1"/>
  <c r="AV243" i="1"/>
  <c r="AC243" i="1"/>
  <c r="AV244" i="1" l="1"/>
  <c r="J245" i="1"/>
  <c r="H245" i="1"/>
  <c r="O244" i="1"/>
  <c r="AC244" i="1"/>
  <c r="AA201" i="3"/>
  <c r="AA199" i="3"/>
  <c r="AA200" i="3"/>
  <c r="AA198" i="3"/>
  <c r="AC245" i="1" l="1"/>
  <c r="J246" i="1"/>
  <c r="H246" i="1"/>
  <c r="O245" i="1"/>
  <c r="AV245" i="1"/>
  <c r="H247" i="1" l="1"/>
  <c r="J247" i="1"/>
  <c r="O246" i="1"/>
  <c r="AV246" i="1"/>
  <c r="AC246" i="1"/>
  <c r="H248" i="1" l="1"/>
  <c r="J248" i="1"/>
  <c r="O247" i="1"/>
  <c r="AV247" i="1"/>
  <c r="AC247" i="1"/>
  <c r="O248" i="1" l="1"/>
  <c r="H249" i="1"/>
  <c r="AV248" i="1"/>
  <c r="J249" i="1"/>
  <c r="AC248" i="1"/>
  <c r="AV249" i="1" l="1"/>
  <c r="J250" i="1"/>
  <c r="H250" i="1"/>
  <c r="O249" i="1"/>
  <c r="AC249" i="1"/>
  <c r="AA205" i="3"/>
  <c r="AA203" i="3"/>
  <c r="AA204" i="3"/>
  <c r="AA202" i="3"/>
  <c r="O250" i="1" l="1"/>
  <c r="J251" i="1"/>
  <c r="AV250" i="1"/>
  <c r="H251" i="1"/>
  <c r="AC250" i="1"/>
  <c r="H252" i="1" l="1"/>
  <c r="J252" i="1"/>
  <c r="AV251" i="1"/>
  <c r="O251" i="1"/>
  <c r="AC251" i="1"/>
  <c r="AV252" i="1" l="1"/>
  <c r="H253" i="1"/>
  <c r="J253" i="1"/>
  <c r="O252" i="1"/>
  <c r="AC252" i="1"/>
  <c r="O253" i="1" l="1"/>
  <c r="J254" i="1"/>
  <c r="H254" i="1"/>
  <c r="AV253" i="1"/>
  <c r="AC253" i="1"/>
  <c r="O254" i="1" l="1"/>
  <c r="J255" i="1"/>
  <c r="H255" i="1"/>
  <c r="AV254" i="1"/>
  <c r="AC254" i="1"/>
  <c r="AA212" i="3"/>
  <c r="AA213" i="3"/>
  <c r="AA210" i="3"/>
  <c r="AA211" i="3"/>
  <c r="AA207" i="3"/>
  <c r="AA209" i="3"/>
  <c r="AA206" i="3"/>
  <c r="O255" i="1" l="1"/>
  <c r="J256" i="1"/>
  <c r="H256" i="1"/>
  <c r="AV255" i="1"/>
  <c r="AC255" i="1"/>
  <c r="AV256" i="1" l="1"/>
  <c r="H257" i="1"/>
  <c r="J257" i="1"/>
  <c r="O256" i="1"/>
  <c r="AC256" i="1"/>
  <c r="O257" i="1" l="1"/>
  <c r="J258" i="1"/>
  <c r="H258" i="1"/>
  <c r="AV257" i="1"/>
  <c r="AC257" i="1"/>
  <c r="H259" i="1" l="1"/>
  <c r="J259" i="1"/>
  <c r="O258" i="1"/>
  <c r="AV258" i="1"/>
  <c r="AC258" i="1"/>
  <c r="O259" i="1" l="1"/>
  <c r="H260" i="1"/>
  <c r="J260" i="1"/>
  <c r="AV259" i="1"/>
  <c r="AC259" i="1"/>
  <c r="O260" i="1" l="1"/>
  <c r="J261" i="1"/>
  <c r="H261" i="1"/>
  <c r="AV260" i="1"/>
  <c r="AC260" i="1"/>
  <c r="AV261" i="1" l="1"/>
  <c r="H262" i="1"/>
  <c r="J262" i="1"/>
  <c r="O261" i="1"/>
  <c r="AC261" i="1"/>
  <c r="AA223" i="3"/>
  <c r="AA224" i="3"/>
  <c r="AA221" i="3"/>
  <c r="AA222" i="3"/>
  <c r="AA219" i="3"/>
  <c r="AA220" i="3"/>
  <c r="AA217" i="3"/>
  <c r="AA218" i="3"/>
  <c r="AA215" i="3"/>
  <c r="AA216" i="3"/>
  <c r="AA214" i="3"/>
  <c r="AV262" i="1" l="1"/>
  <c r="H263" i="1"/>
  <c r="J263" i="1"/>
  <c r="O262" i="1"/>
  <c r="AC262" i="1"/>
  <c r="AV263" i="1" l="1"/>
  <c r="J264" i="1"/>
  <c r="H264" i="1"/>
  <c r="O263" i="1"/>
  <c r="AC263" i="1"/>
  <c r="AV264" i="1" l="1"/>
  <c r="J265" i="1"/>
  <c r="H265" i="1"/>
  <c r="O264" i="1"/>
  <c r="AC264" i="1"/>
  <c r="AV265" i="1" l="1"/>
  <c r="H266" i="1"/>
  <c r="J266" i="1"/>
  <c r="O265" i="1"/>
  <c r="AC265" i="1"/>
  <c r="AV266" i="1" l="1"/>
  <c r="J267" i="1"/>
  <c r="H267" i="1"/>
  <c r="O266" i="1"/>
  <c r="AC266" i="1"/>
  <c r="O267" i="1" l="1"/>
  <c r="J268" i="1"/>
  <c r="H268" i="1"/>
  <c r="AV267" i="1"/>
  <c r="AC267" i="1"/>
  <c r="O268" i="1" l="1"/>
  <c r="J269" i="1"/>
  <c r="H269" i="1"/>
  <c r="AV268" i="1"/>
  <c r="AC268" i="1"/>
  <c r="H270" i="1" l="1"/>
  <c r="J270" i="1"/>
  <c r="O269" i="1"/>
  <c r="H314" i="1"/>
  <c r="AV269" i="1"/>
  <c r="H315" i="1"/>
  <c r="AC269" i="1"/>
  <c r="AV270" i="1" l="1"/>
  <c r="H271" i="1"/>
  <c r="J271" i="1"/>
  <c r="O270" i="1"/>
  <c r="AC270" i="1"/>
  <c r="J272" i="1" l="1"/>
  <c r="H272" i="1"/>
  <c r="AV271" i="1"/>
  <c r="O271" i="1"/>
  <c r="AC271" i="1"/>
  <c r="J273" i="1" l="1"/>
  <c r="H273" i="1"/>
  <c r="O272" i="1"/>
  <c r="AV272" i="1"/>
  <c r="AC272" i="1"/>
  <c r="AA225" i="3"/>
  <c r="H274" i="1" l="1"/>
  <c r="J274" i="1"/>
  <c r="AV273" i="1"/>
  <c r="O273" i="1"/>
  <c r="AC273" i="1"/>
  <c r="AV274" i="1" l="1"/>
  <c r="J275" i="1"/>
  <c r="H275" i="1"/>
  <c r="O274" i="1"/>
  <c r="AC274" i="1"/>
  <c r="AA229" i="3"/>
  <c r="AA227" i="3"/>
  <c r="AA228" i="3"/>
  <c r="AA226" i="3"/>
  <c r="H276" i="1" l="1"/>
  <c r="J276" i="1"/>
  <c r="AC275" i="1"/>
  <c r="O275" i="1"/>
  <c r="AV275" i="1"/>
  <c r="AV276" i="1" l="1"/>
  <c r="J277" i="1"/>
  <c r="H277" i="1"/>
  <c r="O276" i="1"/>
  <c r="AC276" i="1"/>
  <c r="AV277" i="1" l="1"/>
  <c r="O277" i="1"/>
  <c r="H278" i="1"/>
  <c r="J278" i="1"/>
  <c r="AC277" i="1"/>
  <c r="AA237" i="3"/>
  <c r="AA235" i="3"/>
  <c r="AA236" i="3"/>
  <c r="AA233" i="3"/>
  <c r="AA234" i="3"/>
  <c r="AA231" i="3"/>
  <c r="AA232" i="3"/>
  <c r="AA230" i="3"/>
  <c r="AV278" i="1" l="1"/>
  <c r="H279" i="1"/>
  <c r="J279" i="1"/>
  <c r="O278" i="1"/>
  <c r="AC278" i="1"/>
  <c r="AV279" i="1" l="1"/>
  <c r="J280" i="1"/>
  <c r="H280" i="1"/>
  <c r="O279" i="1"/>
  <c r="AC279" i="1"/>
  <c r="AV280" i="1" l="1"/>
  <c r="H281" i="1"/>
  <c r="J281" i="1"/>
  <c r="O280" i="1"/>
  <c r="AC280" i="1"/>
  <c r="AV281" i="1" l="1"/>
  <c r="J282" i="1"/>
  <c r="H282" i="1"/>
  <c r="O281" i="1"/>
  <c r="AC281" i="1"/>
  <c r="I23" i="3" l="1"/>
  <c r="I25" i="3" s="1"/>
  <c r="I27" i="3" s="1"/>
  <c r="H283" i="1"/>
  <c r="J283" i="1"/>
  <c r="O282" i="1"/>
  <c r="AV282" i="1"/>
  <c r="AC282" i="1"/>
  <c r="AV283" i="1" l="1"/>
  <c r="J284" i="1"/>
  <c r="H284" i="1"/>
  <c r="O283" i="1"/>
  <c r="AC283" i="1"/>
  <c r="N27" i="3"/>
  <c r="N28" i="3" s="1"/>
  <c r="I34" i="3"/>
  <c r="AV284" i="1" l="1"/>
  <c r="J285" i="1"/>
  <c r="H285" i="1"/>
  <c r="O284" i="1"/>
  <c r="AC284" i="1"/>
  <c r="AV285" i="1" l="1"/>
  <c r="J286" i="1"/>
  <c r="H286" i="1"/>
  <c r="O285" i="1"/>
  <c r="AC285" i="1"/>
  <c r="AA245" i="3"/>
  <c r="AA243" i="3"/>
  <c r="AA244" i="3"/>
  <c r="AA241" i="3"/>
  <c r="AA242" i="3"/>
  <c r="AA239" i="3"/>
  <c r="AA240" i="3"/>
  <c r="AA238" i="3"/>
  <c r="AV286" i="1" l="1"/>
  <c r="J287" i="1"/>
  <c r="H287" i="1"/>
  <c r="O286" i="1"/>
  <c r="AC286" i="1"/>
  <c r="O287" i="1" l="1"/>
  <c r="J288" i="1"/>
  <c r="H288" i="1"/>
  <c r="AV287" i="1"/>
  <c r="AC287" i="1"/>
  <c r="O288" i="1" l="1"/>
  <c r="J289" i="1"/>
  <c r="H289" i="1"/>
  <c r="AV288" i="1"/>
  <c r="AC288" i="1"/>
  <c r="AV289" i="1" l="1"/>
  <c r="J290" i="1"/>
  <c r="O289" i="1"/>
  <c r="H290" i="1"/>
  <c r="AC289" i="1"/>
  <c r="AV290" i="1" l="1"/>
  <c r="H291" i="1"/>
  <c r="J291" i="1"/>
  <c r="O290" i="1"/>
  <c r="AC290" i="1"/>
  <c r="AV291" i="1" l="1"/>
  <c r="O291" i="1"/>
  <c r="AC291" i="1"/>
  <c r="I32" i="3" l="1"/>
  <c r="AF21" i="2"/>
  <c r="I36" i="3" l="1"/>
  <c r="W247" i="3" s="1"/>
  <c r="AA247" i="3" s="1"/>
  <c r="L34" i="3"/>
  <c r="I28" i="3"/>
  <c r="L32" i="3"/>
  <c r="L35" i="3"/>
  <c r="L36" i="3" l="1"/>
  <c r="Y247" i="3" s="1"/>
  <c r="AA246" i="3"/>
  <c r="Y214" i="3" l="1"/>
  <c r="Y244" i="3"/>
  <c r="Y12" i="3"/>
  <c r="Y121" i="3"/>
</calcChain>
</file>

<file path=xl/sharedStrings.xml><?xml version="1.0" encoding="utf-8"?>
<sst xmlns="http://schemas.openxmlformats.org/spreadsheetml/2006/main" count="323" uniqueCount="175">
  <si>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</si>
  <si>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</si>
  <si>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</si>
  <si>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</si>
  <si>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</si>
  <si>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</si>
  <si>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</si>
  <si>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</si>
  <si>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</si>
  <si>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</si>
  <si>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</si>
  <si>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</si>
  <si>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</si>
  <si>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</si>
  <si>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</si>
  <si>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</si>
  <si>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</si>
  <si>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</si>
  <si>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</si>
  <si>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</si>
  <si>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</si>
  <si>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</si>
  <si>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</si>
  <si>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</si>
  <si>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</si>
  <si>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</si>
  <si>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</si>
  <si>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</si>
  <si>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</si>
  <si>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</si>
  <si>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</si>
  <si>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</si>
  <si>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</si>
  <si>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</si>
  <si>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</si>
  <si>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</si>
  <si>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</si>
  <si>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</si>
  <si>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</si>
  <si>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</si>
  <si>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</si>
  <si>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</si>
  <si>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</si>
  <si>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</si>
  <si>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</si>
  <si>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</si>
  <si>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</si>
  <si>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</si>
  <si>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</si>
  <si>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</si>
  <si>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</si>
  <si>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</si>
  <si>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</si>
  <si>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</si>
  <si>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</si>
  <si>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</si>
  <si>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</si>
  <si>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</si>
  <si>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</si>
  <si>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</si>
  <si>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</si>
  <si>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</si>
  <si>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</si>
  <si>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</si>
  <si>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</si>
  <si>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</si>
  <si>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</si>
  <si>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</si>
  <si>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</si>
  <si>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</si>
  <si>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</si>
  <si>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</si>
  <si>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</si>
  <si>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</si>
  <si>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</si>
  <si>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</si>
  <si>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</si>
  <si>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</si>
  <si>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</si>
  <si>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</si>
  <si>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</si>
  <si>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</si>
  <si>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</si>
  <si>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</si>
  <si>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</si>
  <si>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</si>
  <si>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</si>
  <si>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</si>
  <si>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</si>
  <si>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</si>
  <si>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</si>
  <si>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</si>
  <si>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</si>
  <si>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</si>
  <si>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</si>
  <si>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</si>
  <si>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</si>
  <si>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</si>
  <si>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</si>
  <si>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</si>
  <si>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</si>
  <si>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</si>
  <si>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</si>
  <si>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</si>
  <si>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</si>
  <si>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</si>
  <si>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</si>
  <si>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</si>
  <si>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</si>
  <si>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</si>
  <si>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</si>
  <si>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</si>
  <si>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</si>
  <si>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</si>
  <si>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</si>
  <si>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</si>
  <si>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</si>
  <si>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</si>
  <si>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</si>
  <si>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</si>
  <si>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</si>
  <si>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</si>
  <si>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</si>
  <si>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</si>
  <si>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</si>
  <si>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</si>
  <si>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</si>
  <si>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</si>
  <si>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</si>
  <si>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</si>
  <si>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</si>
  <si>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</si>
  <si>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</si>
  <si>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</si>
  <si>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</si>
  <si>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</si>
  <si>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</si>
  <si>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</si>
  <si>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</si>
  <si>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</si>
  <si>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</si>
  <si>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</si>
  <si>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</si>
  <si>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</si>
  <si>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</si>
  <si>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</si>
  <si>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</si>
  <si>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</si>
  <si>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</si>
  <si>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</si>
  <si>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</si>
  <si>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</si>
  <si>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</si>
  <si>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</si>
  <si>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</si>
  <si>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</si>
  <si>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</si>
  <si>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</si>
  <si>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</si>
  <si>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</si>
  <si>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</si>
  <si>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</si>
  <si>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</si>
  <si>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</si>
  <si>
    <t>August</t>
  </si>
  <si>
    <t>September</t>
  </si>
  <si>
    <t>October</t>
  </si>
  <si>
    <t>For October we used data through the tenth and tripled the amount.</t>
  </si>
  <si>
    <t>Month</t>
  </si>
  <si>
    <t>Percent</t>
  </si>
  <si>
    <t>Cases ten days prior</t>
  </si>
  <si>
    <t>Estimated due to data retention error.</t>
  </si>
  <si>
    <t>30 day ending 12/6/20</t>
  </si>
  <si>
    <t>Period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</si>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</sst>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36394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4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41" fontId="0" fillId="0" borderId="0" xfId="4" applyFont="1"/>
    <xf numFmtId="0" fontId="0" fillId="24" borderId="0" xfId="0" applyFont="1" applyFill="1"/>
    <xf numFmtId="0" fontId="0" fillId="13" borderId="0" xfId="0" applyFill="1"/>
    <xf numFmtId="0" fontId="3" fillId="13" borderId="0" xfId="0" applyFont="1" applyFill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21" fillId="13" borderId="0" xfId="0" applyFont="1" applyFill="1"/>
    <xf numFmtId="0" fontId="20" fillId="13" borderId="0" xfId="0" applyFont="1" applyFill="1"/>
    <xf numFmtId="164" fontId="20" fillId="13" borderId="0" xfId="0" applyNumberFormat="1" applyFont="1" applyFill="1"/>
    <xf numFmtId="165" fontId="20" fillId="13" borderId="0" xfId="2" applyNumberFormat="1" applyFont="1" applyFill="1"/>
    <xf numFmtId="49" fontId="19" fillId="13" borderId="0" xfId="0" applyNumberFormat="1" applyFont="1" applyFill="1"/>
    <xf numFmtId="49" fontId="19" fillId="13" borderId="0" xfId="0" applyNumberFormat="1" applyFont="1" applyFill="1" applyAlignment="1">
      <alignment horizontal="right"/>
    </xf>
    <xf numFmtId="0" fontId="7" fillId="13" borderId="0" xfId="0" applyFont="1" applyFill="1"/>
    <xf numFmtId="0" fontId="18" fillId="13" borderId="0" xfId="0" applyFont="1" applyFill="1" applyBorder="1" applyAlignment="1">
      <alignment horizontal="center"/>
    </xf>
    <xf numFmtId="164" fontId="0" fillId="13" borderId="0" xfId="0" applyNumberFormat="1" applyFill="1"/>
    <xf numFmtId="3" fontId="22" fillId="0" borderId="0" xfId="0" applyNumberFormat="1" applyFont="1"/>
    <xf numFmtId="164" fontId="0" fillId="13" borderId="0" xfId="1" applyNumberFormat="1" applyFont="1" applyFill="1"/>
    <xf numFmtId="164" fontId="0" fillId="24" borderId="17" xfId="1" applyNumberFormat="1" applyFont="1" applyFill="1" applyBorder="1"/>
    <xf numFmtId="164" fontId="0" fillId="13" borderId="17" xfId="1" applyNumberFormat="1" applyFont="1" applyFill="1" applyBorder="1"/>
    <xf numFmtId="49" fontId="5" fillId="0" borderId="0" xfId="0" applyNumberFormat="1" applyFont="1"/>
    <xf numFmtId="0" fontId="0" fillId="3" borderId="0" xfId="0" applyFill="1"/>
    <xf numFmtId="0" fontId="2" fillId="3" borderId="0" xfId="0" applyFont="1" applyFill="1"/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1" applyNumberFormat="1" applyFont="1" applyFill="1"/>
    <xf numFmtId="164" fontId="2" fillId="3" borderId="0" xfId="0" applyNumberFormat="1" applyFont="1" applyFill="1"/>
    <xf numFmtId="165" fontId="2" fillId="3" borderId="0" xfId="2" applyNumberFormat="1" applyFont="1" applyFill="1"/>
    <xf numFmtId="164" fontId="0" fillId="24" borderId="0" xfId="0" applyNumberFormat="1" applyFill="1"/>
    <xf numFmtId="43" fontId="2" fillId="3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" fontId="18" fillId="13" borderId="0" xfId="0" applyNumberFormat="1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'Main Table'!$AG$26:$AG$243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Table'!$BK$40:$BK$297</c:f>
              <c:numCache>
                <c:formatCode>_(* #,##0_);_(* \(#,##0\);_(* "-"??_);_(@_)</c:formatCode>
                <c:ptCount val="258"/>
                <c:pt idx="0">
                  <c:v>1029291</c:v>
                </c:pt>
                <c:pt idx="7">
                  <c:v>1608915</c:v>
                </c:pt>
                <c:pt idx="11">
                  <c:v>6376446</c:v>
                </c:pt>
                <c:pt idx="14">
                  <c:v>1726276</c:v>
                </c:pt>
                <c:pt idx="21">
                  <c:v>2247785</c:v>
                </c:pt>
                <c:pt idx="28">
                  <c:v>2431055</c:v>
                </c:pt>
                <c:pt idx="35">
                  <c:v>2874176</c:v>
                </c:pt>
                <c:pt idx="42">
                  <c:v>2922811</c:v>
                </c:pt>
                <c:pt idx="43">
                  <c:v>3400297</c:v>
                </c:pt>
                <c:pt idx="44">
                  <c:v>10475827</c:v>
                </c:pt>
                <c:pt idx="45">
                  <c:v>2618956.75</c:v>
                </c:pt>
                <c:pt idx="49">
                  <c:v>3619110</c:v>
                </c:pt>
                <c:pt idx="56">
                  <c:v>3499254</c:v>
                </c:pt>
                <c:pt idx="63">
                  <c:v>3701059</c:v>
                </c:pt>
                <c:pt idx="70">
                  <c:v>4100378</c:v>
                </c:pt>
                <c:pt idx="72">
                  <c:v>16525460</c:v>
                </c:pt>
                <c:pt idx="77">
                  <c:v>4994441</c:v>
                </c:pt>
                <c:pt idx="84">
                  <c:v>4882798</c:v>
                </c:pt>
                <c:pt idx="91">
                  <c:v>5872128</c:v>
                </c:pt>
                <c:pt idx="98">
                  <c:v>5877840</c:v>
                </c:pt>
                <c:pt idx="99">
                  <c:v>5856329</c:v>
                </c:pt>
                <c:pt idx="100">
                  <c:v>5891863</c:v>
                </c:pt>
                <c:pt idx="101">
                  <c:v>5951509</c:v>
                </c:pt>
                <c:pt idx="102">
                  <c:v>5968969</c:v>
                </c:pt>
                <c:pt idx="103">
                  <c:v>5973287</c:v>
                </c:pt>
                <c:pt idx="104">
                  <c:v>5874659</c:v>
                </c:pt>
                <c:pt idx="105">
                  <c:v>5705709</c:v>
                </c:pt>
                <c:pt idx="106">
                  <c:v>5919305</c:v>
                </c:pt>
                <c:pt idx="107">
                  <c:v>5813621</c:v>
                </c:pt>
                <c:pt idx="108">
                  <c:v>5696916</c:v>
                </c:pt>
                <c:pt idx="109">
                  <c:v>5624277</c:v>
                </c:pt>
                <c:pt idx="110">
                  <c:v>5402744</c:v>
                </c:pt>
                <c:pt idx="111">
                  <c:v>5383638</c:v>
                </c:pt>
                <c:pt idx="112">
                  <c:v>5507967</c:v>
                </c:pt>
                <c:pt idx="113">
                  <c:v>5241074</c:v>
                </c:pt>
                <c:pt idx="114">
                  <c:v>5323320</c:v>
                </c:pt>
                <c:pt idx="115">
                  <c:v>5169866</c:v>
                </c:pt>
                <c:pt idx="116">
                  <c:v>5379181</c:v>
                </c:pt>
                <c:pt idx="117">
                  <c:v>5465552</c:v>
                </c:pt>
                <c:pt idx="118">
                  <c:v>5614126</c:v>
                </c:pt>
                <c:pt idx="119">
                  <c:v>5527379</c:v>
                </c:pt>
                <c:pt idx="120">
                  <c:v>5509166</c:v>
                </c:pt>
                <c:pt idx="121">
                  <c:v>5425294</c:v>
                </c:pt>
                <c:pt idx="122">
                  <c:v>5564548</c:v>
                </c:pt>
                <c:pt idx="123">
                  <c:v>5343730</c:v>
                </c:pt>
                <c:pt idx="124">
                  <c:v>5356571</c:v>
                </c:pt>
                <c:pt idx="125">
                  <c:v>5250502</c:v>
                </c:pt>
                <c:pt idx="126">
                  <c:v>5198748</c:v>
                </c:pt>
                <c:pt idx="127">
                  <c:v>5195698</c:v>
                </c:pt>
                <c:pt idx="128">
                  <c:v>5563756</c:v>
                </c:pt>
                <c:pt idx="129">
                  <c:v>5516857</c:v>
                </c:pt>
                <c:pt idx="130">
                  <c:v>5604154</c:v>
                </c:pt>
                <c:pt idx="131">
                  <c:v>5581090</c:v>
                </c:pt>
                <c:pt idx="132">
                  <c:v>5627222</c:v>
                </c:pt>
                <c:pt idx="133">
                  <c:v>5670701</c:v>
                </c:pt>
                <c:pt idx="134">
                  <c:v>5741362</c:v>
                </c:pt>
                <c:pt idx="135">
                  <c:v>5418712</c:v>
                </c:pt>
                <c:pt idx="136">
                  <c:v>5465845</c:v>
                </c:pt>
                <c:pt idx="137">
                  <c:v>5409043</c:v>
                </c:pt>
                <c:pt idx="138">
                  <c:v>5596047</c:v>
                </c:pt>
                <c:pt idx="139">
                  <c:v>5656805</c:v>
                </c:pt>
                <c:pt idx="140">
                  <c:v>5644840</c:v>
                </c:pt>
                <c:pt idx="141">
                  <c:v>5443009</c:v>
                </c:pt>
                <c:pt idx="142">
                  <c:v>5306855</c:v>
                </c:pt>
                <c:pt idx="143">
                  <c:v>5184661</c:v>
                </c:pt>
                <c:pt idx="144">
                  <c:v>5103260</c:v>
                </c:pt>
                <c:pt idx="145">
                  <c:v>4949989</c:v>
                </c:pt>
                <c:pt idx="146">
                  <c:v>4944301</c:v>
                </c:pt>
                <c:pt idx="147">
                  <c:v>4928581</c:v>
                </c:pt>
                <c:pt idx="148">
                  <c:v>4822472</c:v>
                </c:pt>
                <c:pt idx="149">
                  <c:v>4974984</c:v>
                </c:pt>
                <c:pt idx="150">
                  <c:v>5085995</c:v>
                </c:pt>
                <c:pt idx="151">
                  <c:v>5250233</c:v>
                </c:pt>
                <c:pt idx="152">
                  <c:v>5377755</c:v>
                </c:pt>
                <c:pt idx="153">
                  <c:v>5606809</c:v>
                </c:pt>
                <c:pt idx="154">
                  <c:v>5763109</c:v>
                </c:pt>
                <c:pt idx="155">
                  <c:v>6019453</c:v>
                </c:pt>
                <c:pt idx="156">
                  <c:v>6050015</c:v>
                </c:pt>
                <c:pt idx="157">
                  <c:v>6213023</c:v>
                </c:pt>
                <c:pt idx="158">
                  <c:v>6337169</c:v>
                </c:pt>
                <c:pt idx="159">
                  <c:v>6323894</c:v>
                </c:pt>
                <c:pt idx="160">
                  <c:v>6265211</c:v>
                </c:pt>
                <c:pt idx="161">
                  <c:v>6168553</c:v>
                </c:pt>
                <c:pt idx="162">
                  <c:v>6491931</c:v>
                </c:pt>
                <c:pt idx="163">
                  <c:v>6491249</c:v>
                </c:pt>
                <c:pt idx="164">
                  <c:v>6954135</c:v>
                </c:pt>
                <c:pt idx="165">
                  <c:v>6859769</c:v>
                </c:pt>
                <c:pt idx="166">
                  <c:v>7023091</c:v>
                </c:pt>
                <c:pt idx="167">
                  <c:v>6950760</c:v>
                </c:pt>
                <c:pt idx="168">
                  <c:v>7135104</c:v>
                </c:pt>
                <c:pt idx="169">
                  <c:v>6970468</c:v>
                </c:pt>
                <c:pt idx="170">
                  <c:v>7146096</c:v>
                </c:pt>
                <c:pt idx="171">
                  <c:v>6622624</c:v>
                </c:pt>
                <c:pt idx="172">
                  <c:v>6911855</c:v>
                </c:pt>
                <c:pt idx="173">
                  <c:v>6927689</c:v>
                </c:pt>
                <c:pt idx="174">
                  <c:v>7075139</c:v>
                </c:pt>
                <c:pt idx="175">
                  <c:v>7016632</c:v>
                </c:pt>
                <c:pt idx="176">
                  <c:v>7125450</c:v>
                </c:pt>
                <c:pt idx="177">
                  <c:v>7204254</c:v>
                </c:pt>
                <c:pt idx="178">
                  <c:v>7408289</c:v>
                </c:pt>
                <c:pt idx="179">
                  <c:v>7351533</c:v>
                </c:pt>
                <c:pt idx="180">
                  <c:v>7238312</c:v>
                </c:pt>
                <c:pt idx="181">
                  <c:v>7191246</c:v>
                </c:pt>
                <c:pt idx="182">
                  <c:v>7196983</c:v>
                </c:pt>
                <c:pt idx="183">
                  <c:v>7559483</c:v>
                </c:pt>
                <c:pt idx="184">
                  <c:v>7311304</c:v>
                </c:pt>
                <c:pt idx="185">
                  <c:v>7083019</c:v>
                </c:pt>
                <c:pt idx="186">
                  <c:v>7109220</c:v>
                </c:pt>
                <c:pt idx="187">
                  <c:v>7320266</c:v>
                </c:pt>
                <c:pt idx="188">
                  <c:v>7415825</c:v>
                </c:pt>
                <c:pt idx="189">
                  <c:v>7545447</c:v>
                </c:pt>
                <c:pt idx="190">
                  <c:v>7418985</c:v>
                </c:pt>
                <c:pt idx="191">
                  <c:v>7590057</c:v>
                </c:pt>
                <c:pt idx="192">
                  <c:v>11544657</c:v>
                </c:pt>
                <c:pt idx="193">
                  <c:v>11864760</c:v>
                </c:pt>
                <c:pt idx="194">
                  <c:v>11893640</c:v>
                </c:pt>
                <c:pt idx="195">
                  <c:v>11977781</c:v>
                </c:pt>
                <c:pt idx="196">
                  <c:v>11808097</c:v>
                </c:pt>
                <c:pt idx="197">
                  <c:v>15218676</c:v>
                </c:pt>
                <c:pt idx="198">
                  <c:v>15424076</c:v>
                </c:pt>
                <c:pt idx="199">
                  <c:v>11855600</c:v>
                </c:pt>
                <c:pt idx="200">
                  <c:v>11925493</c:v>
                </c:pt>
                <c:pt idx="201">
                  <c:v>12069599</c:v>
                </c:pt>
                <c:pt idx="202">
                  <c:v>12368652</c:v>
                </c:pt>
                <c:pt idx="203">
                  <c:v>12565432</c:v>
                </c:pt>
                <c:pt idx="204">
                  <c:v>9589345</c:v>
                </c:pt>
                <c:pt idx="205">
                  <c:v>9746570</c:v>
                </c:pt>
                <c:pt idx="206">
                  <c:v>9867153</c:v>
                </c:pt>
                <c:pt idx="207">
                  <c:v>9859884</c:v>
                </c:pt>
                <c:pt idx="208">
                  <c:v>10121786</c:v>
                </c:pt>
                <c:pt idx="209">
                  <c:v>10196558</c:v>
                </c:pt>
                <c:pt idx="210">
                  <c:v>10552987</c:v>
                </c:pt>
                <c:pt idx="211">
                  <c:v>10851891</c:v>
                </c:pt>
                <c:pt idx="212">
                  <c:v>11096112</c:v>
                </c:pt>
                <c:pt idx="213">
                  <c:v>11318262</c:v>
                </c:pt>
                <c:pt idx="214">
                  <c:v>11529540</c:v>
                </c:pt>
                <c:pt idx="215">
                  <c:v>12015103</c:v>
                </c:pt>
                <c:pt idx="216">
                  <c:v>12288223</c:v>
                </c:pt>
                <c:pt idx="217">
                  <c:v>12516740</c:v>
                </c:pt>
                <c:pt idx="218">
                  <c:v>12494291</c:v>
                </c:pt>
                <c:pt idx="219">
                  <c:v>12670124</c:v>
                </c:pt>
                <c:pt idx="220">
                  <c:v>12869913</c:v>
                </c:pt>
                <c:pt idx="221">
                  <c:v>12158384</c:v>
                </c:pt>
                <c:pt idx="222">
                  <c:v>12132164</c:v>
                </c:pt>
                <c:pt idx="223">
                  <c:v>11993517</c:v>
                </c:pt>
                <c:pt idx="224">
                  <c:v>11598784</c:v>
                </c:pt>
                <c:pt idx="225">
                  <c:v>12278454</c:v>
                </c:pt>
                <c:pt idx="226">
                  <c:v>11845233</c:v>
                </c:pt>
                <c:pt idx="227">
                  <c:v>13800771</c:v>
                </c:pt>
                <c:pt idx="228">
                  <c:v>14626834</c:v>
                </c:pt>
                <c:pt idx="229">
                  <c:v>14594996</c:v>
                </c:pt>
                <c:pt idx="230">
                  <c:v>14817017</c:v>
                </c:pt>
                <c:pt idx="231">
                  <c:v>15188973</c:v>
                </c:pt>
                <c:pt idx="232">
                  <c:v>14590524</c:v>
                </c:pt>
                <c:pt idx="233">
                  <c:v>14991898</c:v>
                </c:pt>
                <c:pt idx="234">
                  <c:v>13207651</c:v>
                </c:pt>
                <c:pt idx="235">
                  <c:v>13351981</c:v>
                </c:pt>
                <c:pt idx="236">
                  <c:v>13308696</c:v>
                </c:pt>
                <c:pt idx="237">
                  <c:v>13654831</c:v>
                </c:pt>
                <c:pt idx="238">
                  <c:v>13735289</c:v>
                </c:pt>
                <c:pt idx="239">
                  <c:v>13685933</c:v>
                </c:pt>
                <c:pt idx="240">
                  <c:v>13739696</c:v>
                </c:pt>
                <c:pt idx="241">
                  <c:v>13608992</c:v>
                </c:pt>
                <c:pt idx="242">
                  <c:v>13487629</c:v>
                </c:pt>
                <c:pt idx="243">
                  <c:v>13623472</c:v>
                </c:pt>
                <c:pt idx="244">
                  <c:v>13091881</c:v>
                </c:pt>
                <c:pt idx="245">
                  <c:v>13021565</c:v>
                </c:pt>
                <c:pt idx="246">
                  <c:v>13435361</c:v>
                </c:pt>
                <c:pt idx="247">
                  <c:v>13450255</c:v>
                </c:pt>
                <c:pt idx="248">
                  <c:v>13412593</c:v>
                </c:pt>
                <c:pt idx="249">
                  <c:v>13459419</c:v>
                </c:pt>
                <c:pt idx="250">
                  <c:v>12349878</c:v>
                </c:pt>
                <c:pt idx="251">
                  <c:v>12844553</c:v>
                </c:pt>
                <c:pt idx="252">
                  <c:v>12492778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313</xdr:row>
      <xdr:rowOff>99060</xdr:rowOff>
    </xdr:from>
    <xdr:to>
      <xdr:col>22</xdr:col>
      <xdr:colOff>312420</xdr:colOff>
      <xdr:row>314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313</xdr:row>
      <xdr:rowOff>129540</xdr:rowOff>
    </xdr:from>
    <xdr:to>
      <xdr:col>23</xdr:col>
      <xdr:colOff>68580</xdr:colOff>
      <xdr:row>314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22</xdr:col>
      <xdr:colOff>480060</xdr:colOff>
      <xdr:row>6</xdr:row>
      <xdr:rowOff>121920</xdr:rowOff>
    </xdr:from>
    <xdr:to>
      <xdr:col>34</xdr:col>
      <xdr:colOff>464820</xdr:colOff>
      <xdr:row>24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259080</xdr:colOff>
      <xdr:row>4</xdr:row>
      <xdr:rowOff>7620</xdr:rowOff>
    </xdr:from>
    <xdr:to>
      <xdr:col>65</xdr:col>
      <xdr:colOff>281940</xdr:colOff>
      <xdr:row>21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331</xdr:row>
      <xdr:rowOff>125730</xdr:rowOff>
    </xdr:from>
    <xdr:to>
      <xdr:col>54</xdr:col>
      <xdr:colOff>213360</xdr:colOff>
      <xdr:row>346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5" name="Arrow: Down 1564">
          <a:extLst>
            <a:ext uri="{FF2B5EF4-FFF2-40B4-BE49-F238E27FC236}">
              <a16:creationId xmlns:a16="http://schemas.microsoft.com/office/drawing/2014/main" id="{71B4D63D-4780-4AD6-BA21-3B67936DD1E6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6" name="Arrow: Down 1565">
          <a:extLst>
            <a:ext uri="{FF2B5EF4-FFF2-40B4-BE49-F238E27FC236}">
              <a16:creationId xmlns:a16="http://schemas.microsoft.com/office/drawing/2014/main" id="{74E28FD7-418A-4E31-BD6F-230DE013B4D8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7" name="Arrow: Down 1566">
          <a:extLst>
            <a:ext uri="{FF2B5EF4-FFF2-40B4-BE49-F238E27FC236}">
              <a16:creationId xmlns:a16="http://schemas.microsoft.com/office/drawing/2014/main" id="{91DB2CD2-1294-462C-9E1B-F463F689FDD3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8" name="Arrow: Down 1567">
          <a:extLst>
            <a:ext uri="{FF2B5EF4-FFF2-40B4-BE49-F238E27FC236}">
              <a16:creationId xmlns:a16="http://schemas.microsoft.com/office/drawing/2014/main" id="{87F4672A-AC6A-41C8-A655-85337C5CEEC2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83820</xdr:colOff>
      <xdr:row>203</xdr:row>
      <xdr:rowOff>114300</xdr:rowOff>
    </xdr:to>
    <xdr:sp macro="" textlink="">
      <xdr:nvSpPr>
        <xdr:cNvPr id="1411" name="Arrow: Down 1410">
          <a:extLst>
            <a:ext uri="{FF2B5EF4-FFF2-40B4-BE49-F238E27FC236}">
              <a16:creationId xmlns:a16="http://schemas.microsoft.com/office/drawing/2014/main" id="{4C192A43-192C-402E-99F7-8D14D9B05FE8}"/>
            </a:ext>
          </a:extLst>
        </xdr:cNvPr>
        <xdr:cNvSpPr/>
      </xdr:nvSpPr>
      <xdr:spPr>
        <a:xfrm>
          <a:off x="19278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83820</xdr:colOff>
      <xdr:row>203</xdr:row>
      <xdr:rowOff>114300</xdr:rowOff>
    </xdr:to>
    <xdr:sp macro="" textlink="">
      <xdr:nvSpPr>
        <xdr:cNvPr id="1412" name="Arrow: Down 1411">
          <a:extLst>
            <a:ext uri="{FF2B5EF4-FFF2-40B4-BE49-F238E27FC236}">
              <a16:creationId xmlns:a16="http://schemas.microsoft.com/office/drawing/2014/main" id="{00ED1DCC-9F69-4D1B-AFA5-21B7AC2D3D77}"/>
            </a:ext>
          </a:extLst>
        </xdr:cNvPr>
        <xdr:cNvSpPr/>
      </xdr:nvSpPr>
      <xdr:spPr>
        <a:xfrm>
          <a:off x="36195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203</xdr:row>
      <xdr:rowOff>0</xdr:rowOff>
    </xdr:from>
    <xdr:to>
      <xdr:col>24</xdr:col>
      <xdr:colOff>83820</xdr:colOff>
      <xdr:row>203</xdr:row>
      <xdr:rowOff>114300</xdr:rowOff>
    </xdr:to>
    <xdr:sp macro="" textlink="">
      <xdr:nvSpPr>
        <xdr:cNvPr id="1414" name="Arrow: Down 1413">
          <a:extLst>
            <a:ext uri="{FF2B5EF4-FFF2-40B4-BE49-F238E27FC236}">
              <a16:creationId xmlns:a16="http://schemas.microsoft.com/office/drawing/2014/main" id="{84F9A811-1470-4637-B720-CB496DAC9679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203</xdr:row>
      <xdr:rowOff>0</xdr:rowOff>
    </xdr:from>
    <xdr:to>
      <xdr:col>60</xdr:col>
      <xdr:colOff>83820</xdr:colOff>
      <xdr:row>203</xdr:row>
      <xdr:rowOff>114300</xdr:rowOff>
    </xdr:to>
    <xdr:sp macro="" textlink="">
      <xdr:nvSpPr>
        <xdr:cNvPr id="1447" name="Arrow: Down 1446">
          <a:extLst>
            <a:ext uri="{FF2B5EF4-FFF2-40B4-BE49-F238E27FC236}">
              <a16:creationId xmlns:a16="http://schemas.microsoft.com/office/drawing/2014/main" id="{B8F8E0FF-D511-4059-B9B6-DD742BA6D102}"/>
            </a:ext>
          </a:extLst>
        </xdr:cNvPr>
        <xdr:cNvSpPr/>
      </xdr:nvSpPr>
      <xdr:spPr>
        <a:xfrm>
          <a:off x="161391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497" name="Arrow: Down 1496">
          <a:extLst>
            <a:ext uri="{FF2B5EF4-FFF2-40B4-BE49-F238E27FC236}">
              <a16:creationId xmlns:a16="http://schemas.microsoft.com/office/drawing/2014/main" id="{B4CAE8A5-7718-4CBD-B11D-3AC2E3FB1E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0" name="Arrow: Down 1499">
          <a:extLst>
            <a:ext uri="{FF2B5EF4-FFF2-40B4-BE49-F238E27FC236}">
              <a16:creationId xmlns:a16="http://schemas.microsoft.com/office/drawing/2014/main" id="{3B7356DF-94FA-484D-855C-DD7A0ED666C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502" name="Arrow: Down 1501">
          <a:extLst>
            <a:ext uri="{FF2B5EF4-FFF2-40B4-BE49-F238E27FC236}">
              <a16:creationId xmlns:a16="http://schemas.microsoft.com/office/drawing/2014/main" id="{F75A4B36-98E9-4153-BFDC-F7C68CCA64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5" name="Arrow: Down 1504">
          <a:extLst>
            <a:ext uri="{FF2B5EF4-FFF2-40B4-BE49-F238E27FC236}">
              <a16:creationId xmlns:a16="http://schemas.microsoft.com/office/drawing/2014/main" id="{53CEC494-0057-404D-A88D-5880E901BC2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204</xdr:row>
      <xdr:rowOff>0</xdr:rowOff>
    </xdr:from>
    <xdr:to>
      <xdr:col>24</xdr:col>
      <xdr:colOff>83820</xdr:colOff>
      <xdr:row>204</xdr:row>
      <xdr:rowOff>114300</xdr:rowOff>
    </xdr:to>
    <xdr:sp macro="" textlink="">
      <xdr:nvSpPr>
        <xdr:cNvPr id="1508" name="Arrow: Down 1507">
          <a:extLst>
            <a:ext uri="{FF2B5EF4-FFF2-40B4-BE49-F238E27FC236}">
              <a16:creationId xmlns:a16="http://schemas.microsoft.com/office/drawing/2014/main" id="{961B3582-8391-45CB-8AE6-3EA4AE43EF0B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204</xdr:row>
      <xdr:rowOff>0</xdr:rowOff>
    </xdr:from>
    <xdr:to>
      <xdr:col>11</xdr:col>
      <xdr:colOff>83820</xdr:colOff>
      <xdr:row>204</xdr:row>
      <xdr:rowOff>114300</xdr:rowOff>
    </xdr:to>
    <xdr:sp macro="" textlink="">
      <xdr:nvSpPr>
        <xdr:cNvPr id="1511" name="Arrow: Down 1510">
          <a:extLst>
            <a:ext uri="{FF2B5EF4-FFF2-40B4-BE49-F238E27FC236}">
              <a16:creationId xmlns:a16="http://schemas.microsoft.com/office/drawing/2014/main" id="{E65AAB5B-65B9-452B-B5BB-61874EFC7766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204</xdr:row>
      <xdr:rowOff>0</xdr:rowOff>
    </xdr:from>
    <xdr:to>
      <xdr:col>5</xdr:col>
      <xdr:colOff>83820</xdr:colOff>
      <xdr:row>204</xdr:row>
      <xdr:rowOff>114300</xdr:rowOff>
    </xdr:to>
    <xdr:sp macro="" textlink="">
      <xdr:nvSpPr>
        <xdr:cNvPr id="1512" name="Arrow: Down 1511">
          <a:extLst>
            <a:ext uri="{FF2B5EF4-FFF2-40B4-BE49-F238E27FC236}">
              <a16:creationId xmlns:a16="http://schemas.microsoft.com/office/drawing/2014/main" id="{D9BBF3AE-659B-465D-AE76-2A8599373A0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204</xdr:row>
      <xdr:rowOff>0</xdr:rowOff>
    </xdr:from>
    <xdr:to>
      <xdr:col>60</xdr:col>
      <xdr:colOff>83820</xdr:colOff>
      <xdr:row>204</xdr:row>
      <xdr:rowOff>114300</xdr:rowOff>
    </xdr:to>
    <xdr:sp macro="" textlink="">
      <xdr:nvSpPr>
        <xdr:cNvPr id="1514" name="Arrow: Down 1513">
          <a:extLst>
            <a:ext uri="{FF2B5EF4-FFF2-40B4-BE49-F238E27FC236}">
              <a16:creationId xmlns:a16="http://schemas.microsoft.com/office/drawing/2014/main" id="{B45A744B-BA33-4F16-97FD-90BDB036A6D9}"/>
            </a:ext>
          </a:extLst>
        </xdr:cNvPr>
        <xdr:cNvSpPr/>
      </xdr:nvSpPr>
      <xdr:spPr>
        <a:xfrm rot="10800000">
          <a:off x="161391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204</xdr:row>
      <xdr:rowOff>0</xdr:rowOff>
    </xdr:from>
    <xdr:to>
      <xdr:col>39</xdr:col>
      <xdr:colOff>83820</xdr:colOff>
      <xdr:row>204</xdr:row>
      <xdr:rowOff>114300</xdr:rowOff>
    </xdr:to>
    <xdr:sp macro="" textlink="">
      <xdr:nvSpPr>
        <xdr:cNvPr id="1519" name="Arrow: Down 1518">
          <a:extLst>
            <a:ext uri="{FF2B5EF4-FFF2-40B4-BE49-F238E27FC236}">
              <a16:creationId xmlns:a16="http://schemas.microsoft.com/office/drawing/2014/main" id="{D1E432FE-06E6-4BFD-9B0B-BE7DAA052B4E}"/>
            </a:ext>
          </a:extLst>
        </xdr:cNvPr>
        <xdr:cNvSpPr/>
      </xdr:nvSpPr>
      <xdr:spPr>
        <a:xfrm>
          <a:off x="95250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23" name="Arrow: Down 1522">
          <a:extLst>
            <a:ext uri="{FF2B5EF4-FFF2-40B4-BE49-F238E27FC236}">
              <a16:creationId xmlns:a16="http://schemas.microsoft.com/office/drawing/2014/main" id="{F895504C-86F0-4983-B34C-A4FCE30CCE00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0" name="Arrow: Down 1529">
          <a:extLst>
            <a:ext uri="{FF2B5EF4-FFF2-40B4-BE49-F238E27FC236}">
              <a16:creationId xmlns:a16="http://schemas.microsoft.com/office/drawing/2014/main" id="{006D58BA-6DD6-4EF1-8D77-10F65528DC22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31" name="Arrow: Down 1530">
          <a:extLst>
            <a:ext uri="{FF2B5EF4-FFF2-40B4-BE49-F238E27FC236}">
              <a16:creationId xmlns:a16="http://schemas.microsoft.com/office/drawing/2014/main" id="{8E69E520-80C7-440D-B5DB-AD47585E3D8A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2" name="Arrow: Down 1531">
          <a:extLst>
            <a:ext uri="{FF2B5EF4-FFF2-40B4-BE49-F238E27FC236}">
              <a16:creationId xmlns:a16="http://schemas.microsoft.com/office/drawing/2014/main" id="{930E46C0-3436-40F6-8F29-030261364EF5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205</xdr:row>
      <xdr:rowOff>0</xdr:rowOff>
    </xdr:from>
    <xdr:to>
      <xdr:col>24</xdr:col>
      <xdr:colOff>83820</xdr:colOff>
      <xdr:row>205</xdr:row>
      <xdr:rowOff>114300</xdr:rowOff>
    </xdr:to>
    <xdr:sp macro="" textlink="">
      <xdr:nvSpPr>
        <xdr:cNvPr id="1533" name="Arrow: Down 1532">
          <a:extLst>
            <a:ext uri="{FF2B5EF4-FFF2-40B4-BE49-F238E27FC236}">
              <a16:creationId xmlns:a16="http://schemas.microsoft.com/office/drawing/2014/main" id="{B1030B3F-6CE2-4DFD-AC55-F901E6AEB2A6}"/>
            </a:ext>
          </a:extLst>
        </xdr:cNvPr>
        <xdr:cNvSpPr/>
      </xdr:nvSpPr>
      <xdr:spPr>
        <a:xfrm>
          <a:off x="636270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83820</xdr:colOff>
      <xdr:row>205</xdr:row>
      <xdr:rowOff>114300</xdr:rowOff>
    </xdr:to>
    <xdr:sp macro="" textlink="">
      <xdr:nvSpPr>
        <xdr:cNvPr id="1534" name="Arrow: Down 1533">
          <a:extLst>
            <a:ext uri="{FF2B5EF4-FFF2-40B4-BE49-F238E27FC236}">
              <a16:creationId xmlns:a16="http://schemas.microsoft.com/office/drawing/2014/main" id="{EE71379C-D34E-47C8-A84A-9C444F67D519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205</xdr:row>
      <xdr:rowOff>0</xdr:rowOff>
    </xdr:from>
    <xdr:to>
      <xdr:col>5</xdr:col>
      <xdr:colOff>83820</xdr:colOff>
      <xdr:row>205</xdr:row>
      <xdr:rowOff>114300</xdr:rowOff>
    </xdr:to>
    <xdr:sp macro="" textlink="">
      <xdr:nvSpPr>
        <xdr:cNvPr id="1535" name="Arrow: Down 1534">
          <a:extLst>
            <a:ext uri="{FF2B5EF4-FFF2-40B4-BE49-F238E27FC236}">
              <a16:creationId xmlns:a16="http://schemas.microsoft.com/office/drawing/2014/main" id="{3A5CE941-C353-4E9C-955B-E705C0D11E4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205</xdr:row>
      <xdr:rowOff>0</xdr:rowOff>
    </xdr:from>
    <xdr:to>
      <xdr:col>60</xdr:col>
      <xdr:colOff>83820</xdr:colOff>
      <xdr:row>205</xdr:row>
      <xdr:rowOff>114300</xdr:rowOff>
    </xdr:to>
    <xdr:sp macro="" textlink="">
      <xdr:nvSpPr>
        <xdr:cNvPr id="1553" name="Arrow: Down 1552">
          <a:extLst>
            <a:ext uri="{FF2B5EF4-FFF2-40B4-BE49-F238E27FC236}">
              <a16:creationId xmlns:a16="http://schemas.microsoft.com/office/drawing/2014/main" id="{118E539B-0AC7-4FC2-A601-D7534CD953E3}"/>
            </a:ext>
          </a:extLst>
        </xdr:cNvPr>
        <xdr:cNvSpPr/>
      </xdr:nvSpPr>
      <xdr:spPr>
        <a:xfrm>
          <a:off x="1613916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64" name="Arrow: Down 1563">
          <a:extLst>
            <a:ext uri="{FF2B5EF4-FFF2-40B4-BE49-F238E27FC236}">
              <a16:creationId xmlns:a16="http://schemas.microsoft.com/office/drawing/2014/main" id="{BF49C1B5-7257-4433-8CC7-0C96DAD34C12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4" name="Arrow: Down 1573">
          <a:extLst>
            <a:ext uri="{FF2B5EF4-FFF2-40B4-BE49-F238E27FC236}">
              <a16:creationId xmlns:a16="http://schemas.microsoft.com/office/drawing/2014/main" id="{0639FC7D-6A52-47FC-9AB7-F006B5EE982E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75" name="Arrow: Down 1574">
          <a:extLst>
            <a:ext uri="{FF2B5EF4-FFF2-40B4-BE49-F238E27FC236}">
              <a16:creationId xmlns:a16="http://schemas.microsoft.com/office/drawing/2014/main" id="{134E5F0C-502A-45EC-AE23-B64CE8C74DAC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6" name="Arrow: Down 1575">
          <a:extLst>
            <a:ext uri="{FF2B5EF4-FFF2-40B4-BE49-F238E27FC236}">
              <a16:creationId xmlns:a16="http://schemas.microsoft.com/office/drawing/2014/main" id="{5C3BECFC-B8DC-4503-AA4B-60DD2FACFA22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206</xdr:row>
      <xdr:rowOff>0</xdr:rowOff>
    </xdr:from>
    <xdr:to>
      <xdr:col>24</xdr:col>
      <xdr:colOff>83820</xdr:colOff>
      <xdr:row>206</xdr:row>
      <xdr:rowOff>114300</xdr:rowOff>
    </xdr:to>
    <xdr:sp macro="" textlink="">
      <xdr:nvSpPr>
        <xdr:cNvPr id="1577" name="Arrow: Down 1576">
          <a:extLst>
            <a:ext uri="{FF2B5EF4-FFF2-40B4-BE49-F238E27FC236}">
              <a16:creationId xmlns:a16="http://schemas.microsoft.com/office/drawing/2014/main" id="{634DDD09-0BD1-4383-A17B-21DC71DA1DC6}"/>
            </a:ext>
          </a:extLst>
        </xdr:cNvPr>
        <xdr:cNvSpPr/>
      </xdr:nvSpPr>
      <xdr:spPr>
        <a:xfrm>
          <a:off x="63627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206</xdr:row>
      <xdr:rowOff>0</xdr:rowOff>
    </xdr:from>
    <xdr:to>
      <xdr:col>60</xdr:col>
      <xdr:colOff>83820</xdr:colOff>
      <xdr:row>206</xdr:row>
      <xdr:rowOff>114300</xdr:rowOff>
    </xdr:to>
    <xdr:sp macro="" textlink="">
      <xdr:nvSpPr>
        <xdr:cNvPr id="1437" name="Arrow: Down 1436">
          <a:extLst>
            <a:ext uri="{FF2B5EF4-FFF2-40B4-BE49-F238E27FC236}">
              <a16:creationId xmlns:a16="http://schemas.microsoft.com/office/drawing/2014/main" id="{BC545588-6C85-43C6-9751-034063ADE962}"/>
            </a:ext>
          </a:extLst>
        </xdr:cNvPr>
        <xdr:cNvSpPr/>
      </xdr:nvSpPr>
      <xdr:spPr>
        <a:xfrm rot="10800000">
          <a:off x="16139160" y="3777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206</xdr:row>
      <xdr:rowOff>0</xdr:rowOff>
    </xdr:from>
    <xdr:to>
      <xdr:col>39</xdr:col>
      <xdr:colOff>83820</xdr:colOff>
      <xdr:row>206</xdr:row>
      <xdr:rowOff>114300</xdr:rowOff>
    </xdr:to>
    <xdr:sp macro="" textlink="">
      <xdr:nvSpPr>
        <xdr:cNvPr id="1463" name="Arrow: Down 1462">
          <a:extLst>
            <a:ext uri="{FF2B5EF4-FFF2-40B4-BE49-F238E27FC236}">
              <a16:creationId xmlns:a16="http://schemas.microsoft.com/office/drawing/2014/main" id="{91CD7412-8086-421E-9F7D-4558AF87818E}"/>
            </a:ext>
          </a:extLst>
        </xdr:cNvPr>
        <xdr:cNvSpPr/>
      </xdr:nvSpPr>
      <xdr:spPr>
        <a:xfrm rot="10800000">
          <a:off x="95250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203</xdr:row>
      <xdr:rowOff>0</xdr:rowOff>
    </xdr:from>
    <xdr:to>
      <xdr:col>39</xdr:col>
      <xdr:colOff>83820</xdr:colOff>
      <xdr:row>203</xdr:row>
      <xdr:rowOff>114300</xdr:rowOff>
    </xdr:to>
    <xdr:sp macro="" textlink="">
      <xdr:nvSpPr>
        <xdr:cNvPr id="1464" name="Arrow: Down 1463">
          <a:extLst>
            <a:ext uri="{FF2B5EF4-FFF2-40B4-BE49-F238E27FC236}">
              <a16:creationId xmlns:a16="http://schemas.microsoft.com/office/drawing/2014/main" id="{9BC7965E-99E1-4A01-8429-97D215CE4480}"/>
            </a:ext>
          </a:extLst>
        </xdr:cNvPr>
        <xdr:cNvSpPr/>
      </xdr:nvSpPr>
      <xdr:spPr>
        <a:xfrm rot="10800000">
          <a:off x="95250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205</xdr:row>
      <xdr:rowOff>0</xdr:rowOff>
    </xdr:from>
    <xdr:to>
      <xdr:col>39</xdr:col>
      <xdr:colOff>83820</xdr:colOff>
      <xdr:row>205</xdr:row>
      <xdr:rowOff>114300</xdr:rowOff>
    </xdr:to>
    <xdr:sp macro="" textlink="">
      <xdr:nvSpPr>
        <xdr:cNvPr id="1465" name="Arrow: Down 1464">
          <a:extLst>
            <a:ext uri="{FF2B5EF4-FFF2-40B4-BE49-F238E27FC236}">
              <a16:creationId xmlns:a16="http://schemas.microsoft.com/office/drawing/2014/main" id="{9E34E8AC-6B49-412E-B145-54843A40F6E8}"/>
            </a:ext>
          </a:extLst>
        </xdr:cNvPr>
        <xdr:cNvSpPr/>
      </xdr:nvSpPr>
      <xdr:spPr>
        <a:xfrm rot="10800000">
          <a:off x="95250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5</xdr:col>
      <xdr:colOff>83820</xdr:colOff>
      <xdr:row>206</xdr:row>
      <xdr:rowOff>114300</xdr:rowOff>
    </xdr:to>
    <xdr:sp macro="" textlink="">
      <xdr:nvSpPr>
        <xdr:cNvPr id="1474" name="Arrow: Down 1473">
          <a:extLst>
            <a:ext uri="{FF2B5EF4-FFF2-40B4-BE49-F238E27FC236}">
              <a16:creationId xmlns:a16="http://schemas.microsoft.com/office/drawing/2014/main" id="{3330E4F3-D285-4805-B19D-FC4E98D63B4C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206</xdr:row>
      <xdr:rowOff>0</xdr:rowOff>
    </xdr:from>
    <xdr:to>
      <xdr:col>11</xdr:col>
      <xdr:colOff>83820</xdr:colOff>
      <xdr:row>206</xdr:row>
      <xdr:rowOff>114300</xdr:rowOff>
    </xdr:to>
    <xdr:sp macro="" textlink="">
      <xdr:nvSpPr>
        <xdr:cNvPr id="1485" name="Arrow: Down 1484">
          <a:extLst>
            <a:ext uri="{FF2B5EF4-FFF2-40B4-BE49-F238E27FC236}">
              <a16:creationId xmlns:a16="http://schemas.microsoft.com/office/drawing/2014/main" id="{5B6D8476-5959-44E5-B033-FFA7EB000060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490" name="Arrow: Down 1489">
          <a:extLst>
            <a:ext uri="{FF2B5EF4-FFF2-40B4-BE49-F238E27FC236}">
              <a16:creationId xmlns:a16="http://schemas.microsoft.com/office/drawing/2014/main" id="{A15049DE-C368-4357-84FF-947CC8CE7F03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496" name="Arrow: Down 1495">
          <a:extLst>
            <a:ext uri="{FF2B5EF4-FFF2-40B4-BE49-F238E27FC236}">
              <a16:creationId xmlns:a16="http://schemas.microsoft.com/office/drawing/2014/main" id="{69F9CE32-6FC5-4BE2-8CD4-FBE9CB027B16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506" name="Arrow: Down 1505">
          <a:extLst>
            <a:ext uri="{FF2B5EF4-FFF2-40B4-BE49-F238E27FC236}">
              <a16:creationId xmlns:a16="http://schemas.microsoft.com/office/drawing/2014/main" id="{590E9475-FE17-4F36-8E8C-BA25069FF51A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507" name="Arrow: Down 1506">
          <a:extLst>
            <a:ext uri="{FF2B5EF4-FFF2-40B4-BE49-F238E27FC236}">
              <a16:creationId xmlns:a16="http://schemas.microsoft.com/office/drawing/2014/main" id="{85A42CEA-5B89-4390-97E3-0B760FA44C99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207</xdr:row>
      <xdr:rowOff>0</xdr:rowOff>
    </xdr:from>
    <xdr:to>
      <xdr:col>24</xdr:col>
      <xdr:colOff>83820</xdr:colOff>
      <xdr:row>207</xdr:row>
      <xdr:rowOff>114300</xdr:rowOff>
    </xdr:to>
    <xdr:sp macro="" textlink="">
      <xdr:nvSpPr>
        <xdr:cNvPr id="1509" name="Arrow: Down 1508">
          <a:extLst>
            <a:ext uri="{FF2B5EF4-FFF2-40B4-BE49-F238E27FC236}">
              <a16:creationId xmlns:a16="http://schemas.microsoft.com/office/drawing/2014/main" id="{09694832-7F7C-4BF6-A2E1-C01EA8508459}"/>
            </a:ext>
          </a:extLst>
        </xdr:cNvPr>
        <xdr:cNvSpPr/>
      </xdr:nvSpPr>
      <xdr:spPr>
        <a:xfrm>
          <a:off x="63627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83820</xdr:colOff>
      <xdr:row>207</xdr:row>
      <xdr:rowOff>114300</xdr:rowOff>
    </xdr:to>
    <xdr:sp macro="" textlink="">
      <xdr:nvSpPr>
        <xdr:cNvPr id="1539" name="Arrow: Down 1538">
          <a:extLst>
            <a:ext uri="{FF2B5EF4-FFF2-40B4-BE49-F238E27FC236}">
              <a16:creationId xmlns:a16="http://schemas.microsoft.com/office/drawing/2014/main" id="{9D83E71C-3AF6-4D23-AEEC-3304BBE4A2A8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207</xdr:row>
      <xdr:rowOff>0</xdr:rowOff>
    </xdr:from>
    <xdr:to>
      <xdr:col>11</xdr:col>
      <xdr:colOff>83820</xdr:colOff>
      <xdr:row>207</xdr:row>
      <xdr:rowOff>114300</xdr:rowOff>
    </xdr:to>
    <xdr:sp macro="" textlink="">
      <xdr:nvSpPr>
        <xdr:cNvPr id="1541" name="Arrow: Down 1540">
          <a:extLst>
            <a:ext uri="{FF2B5EF4-FFF2-40B4-BE49-F238E27FC236}">
              <a16:creationId xmlns:a16="http://schemas.microsoft.com/office/drawing/2014/main" id="{34E0CE6D-8FBF-423A-A9D4-35E31A2F5179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60</xdr:col>
      <xdr:colOff>83820</xdr:colOff>
      <xdr:row>207</xdr:row>
      <xdr:rowOff>114300</xdr:rowOff>
    </xdr:to>
    <xdr:sp macro="" textlink="">
      <xdr:nvSpPr>
        <xdr:cNvPr id="1555" name="Arrow: Down 1554">
          <a:extLst>
            <a:ext uri="{FF2B5EF4-FFF2-40B4-BE49-F238E27FC236}">
              <a16:creationId xmlns:a16="http://schemas.microsoft.com/office/drawing/2014/main" id="{FDB6E449-91C2-46E6-9807-1704AA857B6E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207</xdr:row>
      <xdr:rowOff>0</xdr:rowOff>
    </xdr:from>
    <xdr:to>
      <xdr:col>39</xdr:col>
      <xdr:colOff>83820</xdr:colOff>
      <xdr:row>207</xdr:row>
      <xdr:rowOff>114300</xdr:rowOff>
    </xdr:to>
    <xdr:sp macro="" textlink="">
      <xdr:nvSpPr>
        <xdr:cNvPr id="1556" name="Arrow: Down 1555">
          <a:extLst>
            <a:ext uri="{FF2B5EF4-FFF2-40B4-BE49-F238E27FC236}">
              <a16:creationId xmlns:a16="http://schemas.microsoft.com/office/drawing/2014/main" id="{42C77985-B24B-43F9-89D9-5212200A52AD}"/>
            </a:ext>
          </a:extLst>
        </xdr:cNvPr>
        <xdr:cNvSpPr/>
      </xdr:nvSpPr>
      <xdr:spPr>
        <a:xfrm>
          <a:off x="9525000" y="3795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7" name="Arrow: Down 1556">
          <a:extLst>
            <a:ext uri="{FF2B5EF4-FFF2-40B4-BE49-F238E27FC236}">
              <a16:creationId xmlns:a16="http://schemas.microsoft.com/office/drawing/2014/main" id="{78A14097-7ACB-4B05-A1FF-D7F506546763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58" name="Arrow: Down 1557">
          <a:extLst>
            <a:ext uri="{FF2B5EF4-FFF2-40B4-BE49-F238E27FC236}">
              <a16:creationId xmlns:a16="http://schemas.microsoft.com/office/drawing/2014/main" id="{F621FF92-827C-4A7B-B9EB-B2C125173105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9" name="Arrow: Down 1558">
          <a:extLst>
            <a:ext uri="{FF2B5EF4-FFF2-40B4-BE49-F238E27FC236}">
              <a16:creationId xmlns:a16="http://schemas.microsoft.com/office/drawing/2014/main" id="{8040DA70-C318-4F44-BC3F-184099D6418C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60" name="Arrow: Down 1559">
          <a:extLst>
            <a:ext uri="{FF2B5EF4-FFF2-40B4-BE49-F238E27FC236}">
              <a16:creationId xmlns:a16="http://schemas.microsoft.com/office/drawing/2014/main" id="{54F10EE8-6EEA-46F7-B2E3-76FDA3A53459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208</xdr:row>
      <xdr:rowOff>0</xdr:rowOff>
    </xdr:from>
    <xdr:to>
      <xdr:col>60</xdr:col>
      <xdr:colOff>83820</xdr:colOff>
      <xdr:row>208</xdr:row>
      <xdr:rowOff>114300</xdr:rowOff>
    </xdr:to>
    <xdr:sp macro="" textlink="">
      <xdr:nvSpPr>
        <xdr:cNvPr id="1569" name="Arrow: Down 1568">
          <a:extLst>
            <a:ext uri="{FF2B5EF4-FFF2-40B4-BE49-F238E27FC236}">
              <a16:creationId xmlns:a16="http://schemas.microsoft.com/office/drawing/2014/main" id="{752643D6-05FD-4DFA-B2C2-635110A027B4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208</xdr:row>
      <xdr:rowOff>0</xdr:rowOff>
    </xdr:from>
    <xdr:to>
      <xdr:col>24</xdr:col>
      <xdr:colOff>83820</xdr:colOff>
      <xdr:row>208</xdr:row>
      <xdr:rowOff>114300</xdr:rowOff>
    </xdr:to>
    <xdr:sp macro="" textlink="">
      <xdr:nvSpPr>
        <xdr:cNvPr id="1572" name="Arrow: Down 1571">
          <a:extLst>
            <a:ext uri="{FF2B5EF4-FFF2-40B4-BE49-F238E27FC236}">
              <a16:creationId xmlns:a16="http://schemas.microsoft.com/office/drawing/2014/main" id="{357A49E1-B412-4E81-B909-B2753379CA93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208</xdr:row>
      <xdr:rowOff>0</xdr:rowOff>
    </xdr:from>
    <xdr:to>
      <xdr:col>5</xdr:col>
      <xdr:colOff>83820</xdr:colOff>
      <xdr:row>208</xdr:row>
      <xdr:rowOff>114300</xdr:rowOff>
    </xdr:to>
    <xdr:sp macro="" textlink="">
      <xdr:nvSpPr>
        <xdr:cNvPr id="1582" name="Arrow: Down 1581">
          <a:extLst>
            <a:ext uri="{FF2B5EF4-FFF2-40B4-BE49-F238E27FC236}">
              <a16:creationId xmlns:a16="http://schemas.microsoft.com/office/drawing/2014/main" id="{2C46E994-21A8-4716-B11D-48B16C76720C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208</xdr:row>
      <xdr:rowOff>0</xdr:rowOff>
    </xdr:from>
    <xdr:to>
      <xdr:col>11</xdr:col>
      <xdr:colOff>83820</xdr:colOff>
      <xdr:row>208</xdr:row>
      <xdr:rowOff>114300</xdr:rowOff>
    </xdr:to>
    <xdr:sp macro="" textlink="">
      <xdr:nvSpPr>
        <xdr:cNvPr id="1583" name="Arrow: Down 1582">
          <a:extLst>
            <a:ext uri="{FF2B5EF4-FFF2-40B4-BE49-F238E27FC236}">
              <a16:creationId xmlns:a16="http://schemas.microsoft.com/office/drawing/2014/main" id="{5D0FC389-6051-40CF-AC34-9FE6DAC9A187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208</xdr:row>
      <xdr:rowOff>0</xdr:rowOff>
    </xdr:from>
    <xdr:to>
      <xdr:col>39</xdr:col>
      <xdr:colOff>83820</xdr:colOff>
      <xdr:row>208</xdr:row>
      <xdr:rowOff>114300</xdr:rowOff>
    </xdr:to>
    <xdr:sp macro="" textlink="">
      <xdr:nvSpPr>
        <xdr:cNvPr id="1585" name="Arrow: Down 1584">
          <a:extLst>
            <a:ext uri="{FF2B5EF4-FFF2-40B4-BE49-F238E27FC236}">
              <a16:creationId xmlns:a16="http://schemas.microsoft.com/office/drawing/2014/main" id="{319DEC7D-7111-41A3-8898-267D689A383E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456" name="Arrow: Down 1455">
          <a:extLst>
            <a:ext uri="{FF2B5EF4-FFF2-40B4-BE49-F238E27FC236}">
              <a16:creationId xmlns:a16="http://schemas.microsoft.com/office/drawing/2014/main" id="{03308E95-B8D4-45E4-9ABE-4AC11DFFEC5C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479" name="Arrow: Down 1478">
          <a:extLst>
            <a:ext uri="{FF2B5EF4-FFF2-40B4-BE49-F238E27FC236}">
              <a16:creationId xmlns:a16="http://schemas.microsoft.com/office/drawing/2014/main" id="{8C8323CE-BB2A-4A27-AFED-1BF78EA26350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510" name="Arrow: Down 1509">
          <a:extLst>
            <a:ext uri="{FF2B5EF4-FFF2-40B4-BE49-F238E27FC236}">
              <a16:creationId xmlns:a16="http://schemas.microsoft.com/office/drawing/2014/main" id="{8A0B627F-183D-44B8-9282-F80BAD475DB2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513" name="Arrow: Down 1512">
          <a:extLst>
            <a:ext uri="{FF2B5EF4-FFF2-40B4-BE49-F238E27FC236}">
              <a16:creationId xmlns:a16="http://schemas.microsoft.com/office/drawing/2014/main" id="{1DC5190F-CE41-49AB-A62F-FED742F2F105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209</xdr:row>
      <xdr:rowOff>0</xdr:rowOff>
    </xdr:from>
    <xdr:to>
      <xdr:col>24</xdr:col>
      <xdr:colOff>83820</xdr:colOff>
      <xdr:row>209</xdr:row>
      <xdr:rowOff>114300</xdr:rowOff>
    </xdr:to>
    <xdr:sp macro="" textlink="">
      <xdr:nvSpPr>
        <xdr:cNvPr id="1548" name="Arrow: Down 1547">
          <a:extLst>
            <a:ext uri="{FF2B5EF4-FFF2-40B4-BE49-F238E27FC236}">
              <a16:creationId xmlns:a16="http://schemas.microsoft.com/office/drawing/2014/main" id="{610DAC6A-BF61-48E5-A2F4-5FBB3F736C4B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209</xdr:row>
      <xdr:rowOff>0</xdr:rowOff>
    </xdr:from>
    <xdr:to>
      <xdr:col>5</xdr:col>
      <xdr:colOff>83820</xdr:colOff>
      <xdr:row>209</xdr:row>
      <xdr:rowOff>114300</xdr:rowOff>
    </xdr:to>
    <xdr:sp macro="" textlink="">
      <xdr:nvSpPr>
        <xdr:cNvPr id="1561" name="Arrow: Down 1560">
          <a:extLst>
            <a:ext uri="{FF2B5EF4-FFF2-40B4-BE49-F238E27FC236}">
              <a16:creationId xmlns:a16="http://schemas.microsoft.com/office/drawing/2014/main" id="{7337E330-E215-4BE5-A50C-5FB2EEA39929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83820</xdr:colOff>
      <xdr:row>209</xdr:row>
      <xdr:rowOff>114300</xdr:rowOff>
    </xdr:to>
    <xdr:sp macro="" textlink="">
      <xdr:nvSpPr>
        <xdr:cNvPr id="1562" name="Arrow: Down 1561">
          <a:extLst>
            <a:ext uri="{FF2B5EF4-FFF2-40B4-BE49-F238E27FC236}">
              <a16:creationId xmlns:a16="http://schemas.microsoft.com/office/drawing/2014/main" id="{1A372C3B-EE02-4F99-8404-9ED0671F3388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209</xdr:row>
      <xdr:rowOff>0</xdr:rowOff>
    </xdr:from>
    <xdr:to>
      <xdr:col>39</xdr:col>
      <xdr:colOff>83820</xdr:colOff>
      <xdr:row>209</xdr:row>
      <xdr:rowOff>114300</xdr:rowOff>
    </xdr:to>
    <xdr:sp macro="" textlink="">
      <xdr:nvSpPr>
        <xdr:cNvPr id="1563" name="Arrow: Down 1562">
          <a:extLst>
            <a:ext uri="{FF2B5EF4-FFF2-40B4-BE49-F238E27FC236}">
              <a16:creationId xmlns:a16="http://schemas.microsoft.com/office/drawing/2014/main" id="{794A9FAF-18F0-42D4-9D75-C84ED215C59F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209</xdr:row>
      <xdr:rowOff>0</xdr:rowOff>
    </xdr:from>
    <xdr:to>
      <xdr:col>60</xdr:col>
      <xdr:colOff>83820</xdr:colOff>
      <xdr:row>209</xdr:row>
      <xdr:rowOff>114300</xdr:rowOff>
    </xdr:to>
    <xdr:sp macro="" textlink="">
      <xdr:nvSpPr>
        <xdr:cNvPr id="1570" name="Arrow: Down 1569">
          <a:extLst>
            <a:ext uri="{FF2B5EF4-FFF2-40B4-BE49-F238E27FC236}">
              <a16:creationId xmlns:a16="http://schemas.microsoft.com/office/drawing/2014/main" id="{138D37A6-1BC3-4162-A538-1B313F7906D4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1" name="Arrow: Down 1570">
          <a:extLst>
            <a:ext uri="{FF2B5EF4-FFF2-40B4-BE49-F238E27FC236}">
              <a16:creationId xmlns:a16="http://schemas.microsoft.com/office/drawing/2014/main" id="{C20FD012-F8B2-4556-BF8E-8F8FE9C60846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3" name="Arrow: Down 1572">
          <a:extLst>
            <a:ext uri="{FF2B5EF4-FFF2-40B4-BE49-F238E27FC236}">
              <a16:creationId xmlns:a16="http://schemas.microsoft.com/office/drawing/2014/main" id="{3521FE54-86D1-4952-A66A-D89A9EA3F6CF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8" name="Arrow: Down 1577">
          <a:extLst>
            <a:ext uri="{FF2B5EF4-FFF2-40B4-BE49-F238E27FC236}">
              <a16:creationId xmlns:a16="http://schemas.microsoft.com/office/drawing/2014/main" id="{BCAF6AC7-B5D8-45F6-B3BD-A4B909DAEA94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9" name="Arrow: Down 1578">
          <a:extLst>
            <a:ext uri="{FF2B5EF4-FFF2-40B4-BE49-F238E27FC236}">
              <a16:creationId xmlns:a16="http://schemas.microsoft.com/office/drawing/2014/main" id="{477FC467-A576-4C4A-BF4C-FC07453315C1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210</xdr:row>
      <xdr:rowOff>0</xdr:rowOff>
    </xdr:from>
    <xdr:to>
      <xdr:col>24</xdr:col>
      <xdr:colOff>83820</xdr:colOff>
      <xdr:row>210</xdr:row>
      <xdr:rowOff>114300</xdr:rowOff>
    </xdr:to>
    <xdr:sp macro="" textlink="">
      <xdr:nvSpPr>
        <xdr:cNvPr id="1580" name="Arrow: Down 1579">
          <a:extLst>
            <a:ext uri="{FF2B5EF4-FFF2-40B4-BE49-F238E27FC236}">
              <a16:creationId xmlns:a16="http://schemas.microsoft.com/office/drawing/2014/main" id="{2B9450B7-9BB8-46C4-B51B-33C07A58513D}"/>
            </a:ext>
          </a:extLst>
        </xdr:cNvPr>
        <xdr:cNvSpPr/>
      </xdr:nvSpPr>
      <xdr:spPr>
        <a:xfrm rot="10800000">
          <a:off x="63627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5</xdr:col>
      <xdr:colOff>83820</xdr:colOff>
      <xdr:row>210</xdr:row>
      <xdr:rowOff>114300</xdr:rowOff>
    </xdr:to>
    <xdr:sp macro="" textlink="">
      <xdr:nvSpPr>
        <xdr:cNvPr id="1581" name="Arrow: Down 1580">
          <a:extLst>
            <a:ext uri="{FF2B5EF4-FFF2-40B4-BE49-F238E27FC236}">
              <a16:creationId xmlns:a16="http://schemas.microsoft.com/office/drawing/2014/main" id="{2A1306E7-714F-4784-82CD-E513CEB26E57}"/>
            </a:ext>
          </a:extLst>
        </xdr:cNvPr>
        <xdr:cNvSpPr/>
      </xdr:nvSpPr>
      <xdr:spPr>
        <a:xfrm rot="10800000">
          <a:off x="19278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210</xdr:row>
      <xdr:rowOff>0</xdr:rowOff>
    </xdr:from>
    <xdr:to>
      <xdr:col>11</xdr:col>
      <xdr:colOff>83820</xdr:colOff>
      <xdr:row>210</xdr:row>
      <xdr:rowOff>114300</xdr:rowOff>
    </xdr:to>
    <xdr:sp macro="" textlink="">
      <xdr:nvSpPr>
        <xdr:cNvPr id="1584" name="Arrow: Down 1583">
          <a:extLst>
            <a:ext uri="{FF2B5EF4-FFF2-40B4-BE49-F238E27FC236}">
              <a16:creationId xmlns:a16="http://schemas.microsoft.com/office/drawing/2014/main" id="{2F8C34D7-AF2B-4C48-8FEB-4168CD83B1FE}"/>
            </a:ext>
          </a:extLst>
        </xdr:cNvPr>
        <xdr:cNvSpPr/>
      </xdr:nvSpPr>
      <xdr:spPr>
        <a:xfrm rot="10800000">
          <a:off x="36195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210</xdr:row>
      <xdr:rowOff>0</xdr:rowOff>
    </xdr:from>
    <xdr:to>
      <xdr:col>39</xdr:col>
      <xdr:colOff>83820</xdr:colOff>
      <xdr:row>210</xdr:row>
      <xdr:rowOff>114300</xdr:rowOff>
    </xdr:to>
    <xdr:sp macro="" textlink="">
      <xdr:nvSpPr>
        <xdr:cNvPr id="1586" name="Arrow: Down 1585">
          <a:extLst>
            <a:ext uri="{FF2B5EF4-FFF2-40B4-BE49-F238E27FC236}">
              <a16:creationId xmlns:a16="http://schemas.microsoft.com/office/drawing/2014/main" id="{A1777B41-C8F3-4194-879B-750CCA492373}"/>
            </a:ext>
          </a:extLst>
        </xdr:cNvPr>
        <xdr:cNvSpPr/>
      </xdr:nvSpPr>
      <xdr:spPr>
        <a:xfrm rot="10800000">
          <a:off x="952500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210</xdr:row>
      <xdr:rowOff>0</xdr:rowOff>
    </xdr:from>
    <xdr:to>
      <xdr:col>60</xdr:col>
      <xdr:colOff>83820</xdr:colOff>
      <xdr:row>210</xdr:row>
      <xdr:rowOff>114300</xdr:rowOff>
    </xdr:to>
    <xdr:sp macro="" textlink="">
      <xdr:nvSpPr>
        <xdr:cNvPr id="1587" name="Arrow: Down 1586">
          <a:extLst>
            <a:ext uri="{FF2B5EF4-FFF2-40B4-BE49-F238E27FC236}">
              <a16:creationId xmlns:a16="http://schemas.microsoft.com/office/drawing/2014/main" id="{FB8518C1-9E8D-46B8-A348-4E38376F4D5C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88" name="Arrow: Down 1587">
          <a:extLst>
            <a:ext uri="{FF2B5EF4-FFF2-40B4-BE49-F238E27FC236}">
              <a16:creationId xmlns:a16="http://schemas.microsoft.com/office/drawing/2014/main" id="{F94EB5A7-DD1C-43E8-931E-E4AF74091E08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89" name="Arrow: Down 1588">
          <a:extLst>
            <a:ext uri="{FF2B5EF4-FFF2-40B4-BE49-F238E27FC236}">
              <a16:creationId xmlns:a16="http://schemas.microsoft.com/office/drawing/2014/main" id="{1D09D61D-F5DC-4762-B677-31C267F1175C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90" name="Arrow: Down 1589">
          <a:extLst>
            <a:ext uri="{FF2B5EF4-FFF2-40B4-BE49-F238E27FC236}">
              <a16:creationId xmlns:a16="http://schemas.microsoft.com/office/drawing/2014/main" id="{C8A8A951-4854-47AE-8854-33B836A07E29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91" name="Arrow: Down 1590">
          <a:extLst>
            <a:ext uri="{FF2B5EF4-FFF2-40B4-BE49-F238E27FC236}">
              <a16:creationId xmlns:a16="http://schemas.microsoft.com/office/drawing/2014/main" id="{23D23EE5-3972-4AD7-9BC5-0100EE297340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211</xdr:row>
      <xdr:rowOff>0</xdr:rowOff>
    </xdr:from>
    <xdr:to>
      <xdr:col>24</xdr:col>
      <xdr:colOff>83820</xdr:colOff>
      <xdr:row>211</xdr:row>
      <xdr:rowOff>114300</xdr:rowOff>
    </xdr:to>
    <xdr:sp macro="" textlink="">
      <xdr:nvSpPr>
        <xdr:cNvPr id="1592" name="Arrow: Down 1591">
          <a:extLst>
            <a:ext uri="{FF2B5EF4-FFF2-40B4-BE49-F238E27FC236}">
              <a16:creationId xmlns:a16="http://schemas.microsoft.com/office/drawing/2014/main" id="{26B2BF7B-CD99-4A9C-9EA2-444B9AE0726B}"/>
            </a:ext>
          </a:extLst>
        </xdr:cNvPr>
        <xdr:cNvSpPr/>
      </xdr:nvSpPr>
      <xdr:spPr>
        <a:xfrm rot="10800000">
          <a:off x="63627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211</xdr:row>
      <xdr:rowOff>0</xdr:rowOff>
    </xdr:from>
    <xdr:to>
      <xdr:col>5</xdr:col>
      <xdr:colOff>83820</xdr:colOff>
      <xdr:row>211</xdr:row>
      <xdr:rowOff>114300</xdr:rowOff>
    </xdr:to>
    <xdr:sp macro="" textlink="">
      <xdr:nvSpPr>
        <xdr:cNvPr id="1593" name="Arrow: Down 1592">
          <a:extLst>
            <a:ext uri="{FF2B5EF4-FFF2-40B4-BE49-F238E27FC236}">
              <a16:creationId xmlns:a16="http://schemas.microsoft.com/office/drawing/2014/main" id="{47E4880F-501E-4B32-B8F2-775F8D1D8E91}"/>
            </a:ext>
          </a:extLst>
        </xdr:cNvPr>
        <xdr:cNvSpPr/>
      </xdr:nvSpPr>
      <xdr:spPr>
        <a:xfrm rot="10800000">
          <a:off x="192786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211</xdr:row>
      <xdr:rowOff>0</xdr:rowOff>
    </xdr:from>
    <xdr:to>
      <xdr:col>11</xdr:col>
      <xdr:colOff>83820</xdr:colOff>
      <xdr:row>211</xdr:row>
      <xdr:rowOff>114300</xdr:rowOff>
    </xdr:to>
    <xdr:sp macro="" textlink="">
      <xdr:nvSpPr>
        <xdr:cNvPr id="1594" name="Arrow: Down 1593">
          <a:extLst>
            <a:ext uri="{FF2B5EF4-FFF2-40B4-BE49-F238E27FC236}">
              <a16:creationId xmlns:a16="http://schemas.microsoft.com/office/drawing/2014/main" id="{2BE218AA-AD73-455C-B86D-896BC02F38D3}"/>
            </a:ext>
          </a:extLst>
        </xdr:cNvPr>
        <xdr:cNvSpPr/>
      </xdr:nvSpPr>
      <xdr:spPr>
        <a:xfrm rot="10800000">
          <a:off x="36195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211</xdr:row>
      <xdr:rowOff>0</xdr:rowOff>
    </xdr:from>
    <xdr:to>
      <xdr:col>39</xdr:col>
      <xdr:colOff>83820</xdr:colOff>
      <xdr:row>211</xdr:row>
      <xdr:rowOff>114300</xdr:rowOff>
    </xdr:to>
    <xdr:sp macro="" textlink="">
      <xdr:nvSpPr>
        <xdr:cNvPr id="1547" name="Arrow: Down 1546">
          <a:extLst>
            <a:ext uri="{FF2B5EF4-FFF2-40B4-BE49-F238E27FC236}">
              <a16:creationId xmlns:a16="http://schemas.microsoft.com/office/drawing/2014/main" id="{4D43725C-65E0-4688-B1B8-EC704B9E723A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211</xdr:row>
      <xdr:rowOff>0</xdr:rowOff>
    </xdr:from>
    <xdr:to>
      <xdr:col>60</xdr:col>
      <xdr:colOff>83820</xdr:colOff>
      <xdr:row>211</xdr:row>
      <xdr:rowOff>114300</xdr:rowOff>
    </xdr:to>
    <xdr:sp macro="" textlink="">
      <xdr:nvSpPr>
        <xdr:cNvPr id="1598" name="Arrow: Down 1597">
          <a:extLst>
            <a:ext uri="{FF2B5EF4-FFF2-40B4-BE49-F238E27FC236}">
              <a16:creationId xmlns:a16="http://schemas.microsoft.com/office/drawing/2014/main" id="{F4021127-0932-4A0A-9705-26E4B9205B2D}"/>
            </a:ext>
          </a:extLst>
        </xdr:cNvPr>
        <xdr:cNvSpPr/>
      </xdr:nvSpPr>
      <xdr:spPr>
        <a:xfrm>
          <a:off x="1613916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599" name="Arrow: Down 1598">
          <a:extLst>
            <a:ext uri="{FF2B5EF4-FFF2-40B4-BE49-F238E27FC236}">
              <a16:creationId xmlns:a16="http://schemas.microsoft.com/office/drawing/2014/main" id="{405FA598-497F-4290-89D9-53168029C32C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0" name="Arrow: Down 1599">
          <a:extLst>
            <a:ext uri="{FF2B5EF4-FFF2-40B4-BE49-F238E27FC236}">
              <a16:creationId xmlns:a16="http://schemas.microsoft.com/office/drawing/2014/main" id="{75C72E09-255D-4C52-B6B6-C8C802A6B851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601" name="Arrow: Down 1600">
          <a:extLst>
            <a:ext uri="{FF2B5EF4-FFF2-40B4-BE49-F238E27FC236}">
              <a16:creationId xmlns:a16="http://schemas.microsoft.com/office/drawing/2014/main" id="{7EC27ED6-C88D-4502-82CA-8DE9AC496CED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2" name="Arrow: Down 1601">
          <a:extLst>
            <a:ext uri="{FF2B5EF4-FFF2-40B4-BE49-F238E27FC236}">
              <a16:creationId xmlns:a16="http://schemas.microsoft.com/office/drawing/2014/main" id="{9B8FF465-994E-4ABB-A4DE-2D169972FAB5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212</xdr:row>
      <xdr:rowOff>0</xdr:rowOff>
    </xdr:from>
    <xdr:to>
      <xdr:col>24</xdr:col>
      <xdr:colOff>83820</xdr:colOff>
      <xdr:row>212</xdr:row>
      <xdr:rowOff>114300</xdr:rowOff>
    </xdr:to>
    <xdr:sp macro="" textlink="">
      <xdr:nvSpPr>
        <xdr:cNvPr id="1603" name="Arrow: Down 1602">
          <a:extLst>
            <a:ext uri="{FF2B5EF4-FFF2-40B4-BE49-F238E27FC236}">
              <a16:creationId xmlns:a16="http://schemas.microsoft.com/office/drawing/2014/main" id="{8C80A46D-C374-4006-9B84-DDC6F28D548B}"/>
            </a:ext>
          </a:extLst>
        </xdr:cNvPr>
        <xdr:cNvSpPr/>
      </xdr:nvSpPr>
      <xdr:spPr>
        <a:xfrm rot="10800000">
          <a:off x="63627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212</xdr:row>
      <xdr:rowOff>0</xdr:rowOff>
    </xdr:from>
    <xdr:to>
      <xdr:col>5</xdr:col>
      <xdr:colOff>83820</xdr:colOff>
      <xdr:row>212</xdr:row>
      <xdr:rowOff>114300</xdr:rowOff>
    </xdr:to>
    <xdr:sp macro="" textlink="">
      <xdr:nvSpPr>
        <xdr:cNvPr id="1604" name="Arrow: Down 1603">
          <a:extLst>
            <a:ext uri="{FF2B5EF4-FFF2-40B4-BE49-F238E27FC236}">
              <a16:creationId xmlns:a16="http://schemas.microsoft.com/office/drawing/2014/main" id="{69D120EE-5ABA-4BF2-909A-0829444150E8}"/>
            </a:ext>
          </a:extLst>
        </xdr:cNvPr>
        <xdr:cNvSpPr/>
      </xdr:nvSpPr>
      <xdr:spPr>
        <a:xfrm rot="10800000">
          <a:off x="192786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11</xdr:col>
      <xdr:colOff>83820</xdr:colOff>
      <xdr:row>212</xdr:row>
      <xdr:rowOff>114300</xdr:rowOff>
    </xdr:to>
    <xdr:sp macro="" textlink="">
      <xdr:nvSpPr>
        <xdr:cNvPr id="1605" name="Arrow: Down 1604">
          <a:extLst>
            <a:ext uri="{FF2B5EF4-FFF2-40B4-BE49-F238E27FC236}">
              <a16:creationId xmlns:a16="http://schemas.microsoft.com/office/drawing/2014/main" id="{676CD082-CB39-4C38-89B9-6E9C60FACBC0}"/>
            </a:ext>
          </a:extLst>
        </xdr:cNvPr>
        <xdr:cNvSpPr/>
      </xdr:nvSpPr>
      <xdr:spPr>
        <a:xfrm rot="10800000">
          <a:off x="36195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212</xdr:row>
      <xdr:rowOff>0</xdr:rowOff>
    </xdr:from>
    <xdr:to>
      <xdr:col>39</xdr:col>
      <xdr:colOff>83820</xdr:colOff>
      <xdr:row>212</xdr:row>
      <xdr:rowOff>114300</xdr:rowOff>
    </xdr:to>
    <xdr:sp macro="" textlink="">
      <xdr:nvSpPr>
        <xdr:cNvPr id="1606" name="Arrow: Down 1605">
          <a:extLst>
            <a:ext uri="{FF2B5EF4-FFF2-40B4-BE49-F238E27FC236}">
              <a16:creationId xmlns:a16="http://schemas.microsoft.com/office/drawing/2014/main" id="{79523E88-BBF6-4FEF-BDC2-776378B99657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212</xdr:row>
      <xdr:rowOff>0</xdr:rowOff>
    </xdr:from>
    <xdr:to>
      <xdr:col>60</xdr:col>
      <xdr:colOff>83820</xdr:colOff>
      <xdr:row>212</xdr:row>
      <xdr:rowOff>114300</xdr:rowOff>
    </xdr:to>
    <xdr:sp macro="" textlink="">
      <xdr:nvSpPr>
        <xdr:cNvPr id="1608" name="Arrow: Down 1607">
          <a:extLst>
            <a:ext uri="{FF2B5EF4-FFF2-40B4-BE49-F238E27FC236}">
              <a16:creationId xmlns:a16="http://schemas.microsoft.com/office/drawing/2014/main" id="{64DAF5D9-BC8E-44D3-90B5-90A0806AAE6C}"/>
            </a:ext>
          </a:extLst>
        </xdr:cNvPr>
        <xdr:cNvSpPr/>
      </xdr:nvSpPr>
      <xdr:spPr>
        <a:xfrm rot="10800000">
          <a:off x="1613916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18" name="Arrow: Down 1617">
          <a:extLst>
            <a:ext uri="{FF2B5EF4-FFF2-40B4-BE49-F238E27FC236}">
              <a16:creationId xmlns:a16="http://schemas.microsoft.com/office/drawing/2014/main" id="{A881ED72-D5C3-4638-83BC-0FEF594FD5FD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19" name="Arrow: Down 1618">
          <a:extLst>
            <a:ext uri="{FF2B5EF4-FFF2-40B4-BE49-F238E27FC236}">
              <a16:creationId xmlns:a16="http://schemas.microsoft.com/office/drawing/2014/main" id="{C5B89BDC-FA6D-42EF-9CB8-DD56AC2978AA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20" name="Arrow: Down 1619">
          <a:extLst>
            <a:ext uri="{FF2B5EF4-FFF2-40B4-BE49-F238E27FC236}">
              <a16:creationId xmlns:a16="http://schemas.microsoft.com/office/drawing/2014/main" id="{F451E384-F374-474D-B303-D73E1A64F2EC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21" name="Arrow: Down 1620">
          <a:extLst>
            <a:ext uri="{FF2B5EF4-FFF2-40B4-BE49-F238E27FC236}">
              <a16:creationId xmlns:a16="http://schemas.microsoft.com/office/drawing/2014/main" id="{2307EF3E-DBFB-481C-8806-0AF0766A02D0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213</xdr:row>
      <xdr:rowOff>0</xdr:rowOff>
    </xdr:from>
    <xdr:to>
      <xdr:col>39</xdr:col>
      <xdr:colOff>83820</xdr:colOff>
      <xdr:row>213</xdr:row>
      <xdr:rowOff>114300</xdr:rowOff>
    </xdr:to>
    <xdr:sp macro="" textlink="">
      <xdr:nvSpPr>
        <xdr:cNvPr id="1625" name="Arrow: Down 1624">
          <a:extLst>
            <a:ext uri="{FF2B5EF4-FFF2-40B4-BE49-F238E27FC236}">
              <a16:creationId xmlns:a16="http://schemas.microsoft.com/office/drawing/2014/main" id="{9566A823-FF13-4DB5-9C50-90014452E5EC}"/>
            </a:ext>
          </a:extLst>
        </xdr:cNvPr>
        <xdr:cNvSpPr/>
      </xdr:nvSpPr>
      <xdr:spPr>
        <a:xfrm>
          <a:off x="952500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213</xdr:row>
      <xdr:rowOff>0</xdr:rowOff>
    </xdr:from>
    <xdr:to>
      <xdr:col>5</xdr:col>
      <xdr:colOff>83820</xdr:colOff>
      <xdr:row>213</xdr:row>
      <xdr:rowOff>114300</xdr:rowOff>
    </xdr:to>
    <xdr:sp macro="" textlink="">
      <xdr:nvSpPr>
        <xdr:cNvPr id="1627" name="Arrow: Down 1626">
          <a:extLst>
            <a:ext uri="{FF2B5EF4-FFF2-40B4-BE49-F238E27FC236}">
              <a16:creationId xmlns:a16="http://schemas.microsoft.com/office/drawing/2014/main" id="{8C676FE3-99AE-42C4-B782-6D1B5A03E642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213</xdr:row>
      <xdr:rowOff>0</xdr:rowOff>
    </xdr:from>
    <xdr:to>
      <xdr:col>11</xdr:col>
      <xdr:colOff>83820</xdr:colOff>
      <xdr:row>213</xdr:row>
      <xdr:rowOff>114300</xdr:rowOff>
    </xdr:to>
    <xdr:sp macro="" textlink="">
      <xdr:nvSpPr>
        <xdr:cNvPr id="1628" name="Arrow: Down 1627">
          <a:extLst>
            <a:ext uri="{FF2B5EF4-FFF2-40B4-BE49-F238E27FC236}">
              <a16:creationId xmlns:a16="http://schemas.microsoft.com/office/drawing/2014/main" id="{E1E6DCFA-E99C-4D53-AC87-DB5677769592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213</xdr:row>
      <xdr:rowOff>0</xdr:rowOff>
    </xdr:from>
    <xdr:to>
      <xdr:col>24</xdr:col>
      <xdr:colOff>83820</xdr:colOff>
      <xdr:row>213</xdr:row>
      <xdr:rowOff>114300</xdr:rowOff>
    </xdr:to>
    <xdr:sp macro="" textlink="">
      <xdr:nvSpPr>
        <xdr:cNvPr id="1630" name="Arrow: Down 1629">
          <a:extLst>
            <a:ext uri="{FF2B5EF4-FFF2-40B4-BE49-F238E27FC236}">
              <a16:creationId xmlns:a16="http://schemas.microsoft.com/office/drawing/2014/main" id="{3716B35E-C675-4FA9-BC62-6A39429B0ECC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213</xdr:row>
      <xdr:rowOff>0</xdr:rowOff>
    </xdr:from>
    <xdr:to>
      <xdr:col>60</xdr:col>
      <xdr:colOff>83820</xdr:colOff>
      <xdr:row>213</xdr:row>
      <xdr:rowOff>114300</xdr:rowOff>
    </xdr:to>
    <xdr:sp macro="" textlink="">
      <xdr:nvSpPr>
        <xdr:cNvPr id="1632" name="Arrow: Down 1631">
          <a:extLst>
            <a:ext uri="{FF2B5EF4-FFF2-40B4-BE49-F238E27FC236}">
              <a16:creationId xmlns:a16="http://schemas.microsoft.com/office/drawing/2014/main" id="{0602E895-52CB-4B1B-BD71-6D963C686C8A}"/>
            </a:ext>
          </a:extLst>
        </xdr:cNvPr>
        <xdr:cNvSpPr/>
      </xdr:nvSpPr>
      <xdr:spPr>
        <a:xfrm>
          <a:off x="161391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3" name="Arrow: Down 1632">
          <a:extLst>
            <a:ext uri="{FF2B5EF4-FFF2-40B4-BE49-F238E27FC236}">
              <a16:creationId xmlns:a16="http://schemas.microsoft.com/office/drawing/2014/main" id="{3639EDFD-3CA5-45F3-A23D-70E46F4A4669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4" name="Arrow: Down 1633">
          <a:extLst>
            <a:ext uri="{FF2B5EF4-FFF2-40B4-BE49-F238E27FC236}">
              <a16:creationId xmlns:a16="http://schemas.microsoft.com/office/drawing/2014/main" id="{4346E9DF-5556-4E92-9FE4-7E44C98FA192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5" name="Arrow: Down 1634">
          <a:extLst>
            <a:ext uri="{FF2B5EF4-FFF2-40B4-BE49-F238E27FC236}">
              <a16:creationId xmlns:a16="http://schemas.microsoft.com/office/drawing/2014/main" id="{A514A329-C6BB-4E47-AC3D-26ECB6A40FE1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6" name="Arrow: Down 1635">
          <a:extLst>
            <a:ext uri="{FF2B5EF4-FFF2-40B4-BE49-F238E27FC236}">
              <a16:creationId xmlns:a16="http://schemas.microsoft.com/office/drawing/2014/main" id="{6E228DE0-925E-4FB3-9C1C-CD4C7E49841B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83820</xdr:colOff>
      <xdr:row>214</xdr:row>
      <xdr:rowOff>114300</xdr:rowOff>
    </xdr:to>
    <xdr:sp macro="" textlink="">
      <xdr:nvSpPr>
        <xdr:cNvPr id="1638" name="Arrow: Down 1637">
          <a:extLst>
            <a:ext uri="{FF2B5EF4-FFF2-40B4-BE49-F238E27FC236}">
              <a16:creationId xmlns:a16="http://schemas.microsoft.com/office/drawing/2014/main" id="{74448102-A034-407B-90AC-1CE9301F12B4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214</xdr:row>
      <xdr:rowOff>0</xdr:rowOff>
    </xdr:from>
    <xdr:to>
      <xdr:col>11</xdr:col>
      <xdr:colOff>83820</xdr:colOff>
      <xdr:row>214</xdr:row>
      <xdr:rowOff>114300</xdr:rowOff>
    </xdr:to>
    <xdr:sp macro="" textlink="">
      <xdr:nvSpPr>
        <xdr:cNvPr id="1639" name="Arrow: Down 1638">
          <a:extLst>
            <a:ext uri="{FF2B5EF4-FFF2-40B4-BE49-F238E27FC236}">
              <a16:creationId xmlns:a16="http://schemas.microsoft.com/office/drawing/2014/main" id="{5FA8E31A-E0E1-4BD8-A8D0-AFB1ABB99C84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214</xdr:row>
      <xdr:rowOff>0</xdr:rowOff>
    </xdr:from>
    <xdr:to>
      <xdr:col>24</xdr:col>
      <xdr:colOff>83820</xdr:colOff>
      <xdr:row>214</xdr:row>
      <xdr:rowOff>114300</xdr:rowOff>
    </xdr:to>
    <xdr:sp macro="" textlink="">
      <xdr:nvSpPr>
        <xdr:cNvPr id="1640" name="Arrow: Down 1639">
          <a:extLst>
            <a:ext uri="{FF2B5EF4-FFF2-40B4-BE49-F238E27FC236}">
              <a16:creationId xmlns:a16="http://schemas.microsoft.com/office/drawing/2014/main" id="{6A15328A-AD9B-4D2D-BBDC-81669C0DF96E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214</xdr:row>
      <xdr:rowOff>0</xdr:rowOff>
    </xdr:from>
    <xdr:to>
      <xdr:col>39</xdr:col>
      <xdr:colOff>83820</xdr:colOff>
      <xdr:row>214</xdr:row>
      <xdr:rowOff>114300</xdr:rowOff>
    </xdr:to>
    <xdr:sp macro="" textlink="">
      <xdr:nvSpPr>
        <xdr:cNvPr id="1642" name="Arrow: Down 1641">
          <a:extLst>
            <a:ext uri="{FF2B5EF4-FFF2-40B4-BE49-F238E27FC236}">
              <a16:creationId xmlns:a16="http://schemas.microsoft.com/office/drawing/2014/main" id="{D461EF47-2315-45EB-ADF6-F04F3F82EFB2}"/>
            </a:ext>
          </a:extLst>
        </xdr:cNvPr>
        <xdr:cNvSpPr/>
      </xdr:nvSpPr>
      <xdr:spPr>
        <a:xfrm rot="10800000">
          <a:off x="118491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214</xdr:row>
      <xdr:rowOff>0</xdr:rowOff>
    </xdr:from>
    <xdr:to>
      <xdr:col>60</xdr:col>
      <xdr:colOff>83820</xdr:colOff>
      <xdr:row>214</xdr:row>
      <xdr:rowOff>114300</xdr:rowOff>
    </xdr:to>
    <xdr:sp macro="" textlink="">
      <xdr:nvSpPr>
        <xdr:cNvPr id="1644" name="Arrow: Down 1643">
          <a:extLst>
            <a:ext uri="{FF2B5EF4-FFF2-40B4-BE49-F238E27FC236}">
              <a16:creationId xmlns:a16="http://schemas.microsoft.com/office/drawing/2014/main" id="{C412BA3B-2114-4438-AF78-00E0CC36EFC8}"/>
            </a:ext>
          </a:extLst>
        </xdr:cNvPr>
        <xdr:cNvSpPr/>
      </xdr:nvSpPr>
      <xdr:spPr>
        <a:xfrm rot="10800000">
          <a:off x="18463260" y="3923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4" name="Arrow: Down 1653">
          <a:extLst>
            <a:ext uri="{FF2B5EF4-FFF2-40B4-BE49-F238E27FC236}">
              <a16:creationId xmlns:a16="http://schemas.microsoft.com/office/drawing/2014/main" id="{AA173FFA-E0E4-4E26-8C57-7D930595355D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5" name="Arrow: Down 1654">
          <a:extLst>
            <a:ext uri="{FF2B5EF4-FFF2-40B4-BE49-F238E27FC236}">
              <a16:creationId xmlns:a16="http://schemas.microsoft.com/office/drawing/2014/main" id="{1B721552-F62D-47AF-8A05-68297CA0A922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6" name="Arrow: Down 1655">
          <a:extLst>
            <a:ext uri="{FF2B5EF4-FFF2-40B4-BE49-F238E27FC236}">
              <a16:creationId xmlns:a16="http://schemas.microsoft.com/office/drawing/2014/main" id="{12684ECE-631F-4D4F-9E8A-E7515C85FC4C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7" name="Arrow: Down 1656">
          <a:extLst>
            <a:ext uri="{FF2B5EF4-FFF2-40B4-BE49-F238E27FC236}">
              <a16:creationId xmlns:a16="http://schemas.microsoft.com/office/drawing/2014/main" id="{7E362C21-0D77-400E-BAA9-8FE64F416D6A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83820</xdr:colOff>
      <xdr:row>215</xdr:row>
      <xdr:rowOff>114300</xdr:rowOff>
    </xdr:to>
    <xdr:sp macro="" textlink="">
      <xdr:nvSpPr>
        <xdr:cNvPr id="1658" name="Arrow: Down 1657">
          <a:extLst>
            <a:ext uri="{FF2B5EF4-FFF2-40B4-BE49-F238E27FC236}">
              <a16:creationId xmlns:a16="http://schemas.microsoft.com/office/drawing/2014/main" id="{F80B3F31-F174-4F55-9BED-87F63C9B7C82}"/>
            </a:ext>
          </a:extLst>
        </xdr:cNvPr>
        <xdr:cNvSpPr/>
      </xdr:nvSpPr>
      <xdr:spPr>
        <a:xfrm>
          <a:off x="192786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215</xdr:row>
      <xdr:rowOff>0</xdr:rowOff>
    </xdr:from>
    <xdr:to>
      <xdr:col>11</xdr:col>
      <xdr:colOff>83820</xdr:colOff>
      <xdr:row>215</xdr:row>
      <xdr:rowOff>114300</xdr:rowOff>
    </xdr:to>
    <xdr:sp macro="" textlink="">
      <xdr:nvSpPr>
        <xdr:cNvPr id="1659" name="Arrow: Down 1658">
          <a:extLst>
            <a:ext uri="{FF2B5EF4-FFF2-40B4-BE49-F238E27FC236}">
              <a16:creationId xmlns:a16="http://schemas.microsoft.com/office/drawing/2014/main" id="{2F667711-0C5F-49F2-BA68-B25AFF48381E}"/>
            </a:ext>
          </a:extLst>
        </xdr:cNvPr>
        <xdr:cNvSpPr/>
      </xdr:nvSpPr>
      <xdr:spPr>
        <a:xfrm>
          <a:off x="36195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215</xdr:row>
      <xdr:rowOff>0</xdr:rowOff>
    </xdr:from>
    <xdr:to>
      <xdr:col>24</xdr:col>
      <xdr:colOff>83820</xdr:colOff>
      <xdr:row>215</xdr:row>
      <xdr:rowOff>114300</xdr:rowOff>
    </xdr:to>
    <xdr:sp macro="" textlink="">
      <xdr:nvSpPr>
        <xdr:cNvPr id="1660" name="Arrow: Down 1659">
          <a:extLst>
            <a:ext uri="{FF2B5EF4-FFF2-40B4-BE49-F238E27FC236}">
              <a16:creationId xmlns:a16="http://schemas.microsoft.com/office/drawing/2014/main" id="{A9F3ABA9-9D49-4E78-94A4-501FD6E34672}"/>
            </a:ext>
          </a:extLst>
        </xdr:cNvPr>
        <xdr:cNvSpPr/>
      </xdr:nvSpPr>
      <xdr:spPr>
        <a:xfrm>
          <a:off x="63627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215</xdr:row>
      <xdr:rowOff>0</xdr:rowOff>
    </xdr:from>
    <xdr:to>
      <xdr:col>39</xdr:col>
      <xdr:colOff>83820</xdr:colOff>
      <xdr:row>215</xdr:row>
      <xdr:rowOff>114300</xdr:rowOff>
    </xdr:to>
    <xdr:sp macro="" textlink="">
      <xdr:nvSpPr>
        <xdr:cNvPr id="1661" name="Arrow: Down 1660">
          <a:extLst>
            <a:ext uri="{FF2B5EF4-FFF2-40B4-BE49-F238E27FC236}">
              <a16:creationId xmlns:a16="http://schemas.microsoft.com/office/drawing/2014/main" id="{2CDEFF6A-C1C5-4ED3-AACA-27C956EE4145}"/>
            </a:ext>
          </a:extLst>
        </xdr:cNvPr>
        <xdr:cNvSpPr/>
      </xdr:nvSpPr>
      <xdr:spPr>
        <a:xfrm rot="10800000">
          <a:off x="95250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215</xdr:row>
      <xdr:rowOff>0</xdr:rowOff>
    </xdr:from>
    <xdr:to>
      <xdr:col>60</xdr:col>
      <xdr:colOff>83820</xdr:colOff>
      <xdr:row>215</xdr:row>
      <xdr:rowOff>114300</xdr:rowOff>
    </xdr:to>
    <xdr:sp macro="" textlink="">
      <xdr:nvSpPr>
        <xdr:cNvPr id="1664" name="Arrow: Down 1663">
          <a:extLst>
            <a:ext uri="{FF2B5EF4-FFF2-40B4-BE49-F238E27FC236}">
              <a16:creationId xmlns:a16="http://schemas.microsoft.com/office/drawing/2014/main" id="{36740F99-6F3D-490B-A7BF-42831E080171}"/>
            </a:ext>
          </a:extLst>
        </xdr:cNvPr>
        <xdr:cNvSpPr/>
      </xdr:nvSpPr>
      <xdr:spPr>
        <a:xfrm>
          <a:off x="1676400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5" name="Arrow: Down 1594">
          <a:extLst>
            <a:ext uri="{FF2B5EF4-FFF2-40B4-BE49-F238E27FC236}">
              <a16:creationId xmlns:a16="http://schemas.microsoft.com/office/drawing/2014/main" id="{D1F695C8-108A-499A-9CE3-DCDEF8C27DF0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596" name="Arrow: Down 1595">
          <a:extLst>
            <a:ext uri="{FF2B5EF4-FFF2-40B4-BE49-F238E27FC236}">
              <a16:creationId xmlns:a16="http://schemas.microsoft.com/office/drawing/2014/main" id="{CAB9D78C-D6E8-4AF2-A3BA-F215676E555D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7" name="Arrow: Down 1596">
          <a:extLst>
            <a:ext uri="{FF2B5EF4-FFF2-40B4-BE49-F238E27FC236}">
              <a16:creationId xmlns:a16="http://schemas.microsoft.com/office/drawing/2014/main" id="{1BFF3C02-0FA4-4394-A258-E4990E97BCD6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607" name="Arrow: Down 1606">
          <a:extLst>
            <a:ext uri="{FF2B5EF4-FFF2-40B4-BE49-F238E27FC236}">
              <a16:creationId xmlns:a16="http://schemas.microsoft.com/office/drawing/2014/main" id="{EB4A6625-0408-4CD3-B922-716A26DA01DE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216</xdr:row>
      <xdr:rowOff>0</xdr:rowOff>
    </xdr:from>
    <xdr:to>
      <xdr:col>5</xdr:col>
      <xdr:colOff>83820</xdr:colOff>
      <xdr:row>216</xdr:row>
      <xdr:rowOff>114300</xdr:rowOff>
    </xdr:to>
    <xdr:sp macro="" textlink="">
      <xdr:nvSpPr>
        <xdr:cNvPr id="1614" name="Arrow: Down 1613">
          <a:extLst>
            <a:ext uri="{FF2B5EF4-FFF2-40B4-BE49-F238E27FC236}">
              <a16:creationId xmlns:a16="http://schemas.microsoft.com/office/drawing/2014/main" id="{4E7B9F0D-66CF-4895-9FC9-ACBE05D2EA08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216</xdr:row>
      <xdr:rowOff>0</xdr:rowOff>
    </xdr:from>
    <xdr:to>
      <xdr:col>11</xdr:col>
      <xdr:colOff>83820</xdr:colOff>
      <xdr:row>216</xdr:row>
      <xdr:rowOff>114300</xdr:rowOff>
    </xdr:to>
    <xdr:sp macro="" textlink="">
      <xdr:nvSpPr>
        <xdr:cNvPr id="1615" name="Arrow: Down 1614">
          <a:extLst>
            <a:ext uri="{FF2B5EF4-FFF2-40B4-BE49-F238E27FC236}">
              <a16:creationId xmlns:a16="http://schemas.microsoft.com/office/drawing/2014/main" id="{A267EABA-0519-4AFA-A669-84DE59C32BFA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216</xdr:row>
      <xdr:rowOff>0</xdr:rowOff>
    </xdr:from>
    <xdr:to>
      <xdr:col>24</xdr:col>
      <xdr:colOff>83820</xdr:colOff>
      <xdr:row>216</xdr:row>
      <xdr:rowOff>114300</xdr:rowOff>
    </xdr:to>
    <xdr:sp macro="" textlink="">
      <xdr:nvSpPr>
        <xdr:cNvPr id="1616" name="Arrow: Down 1615">
          <a:extLst>
            <a:ext uri="{FF2B5EF4-FFF2-40B4-BE49-F238E27FC236}">
              <a16:creationId xmlns:a16="http://schemas.microsoft.com/office/drawing/2014/main" id="{30B348B8-B3BB-4B9D-A5D8-83A83D3A595B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216</xdr:row>
      <xdr:rowOff>0</xdr:rowOff>
    </xdr:from>
    <xdr:to>
      <xdr:col>60</xdr:col>
      <xdr:colOff>83820</xdr:colOff>
      <xdr:row>216</xdr:row>
      <xdr:rowOff>114300</xdr:rowOff>
    </xdr:to>
    <xdr:sp macro="" textlink="">
      <xdr:nvSpPr>
        <xdr:cNvPr id="1623" name="Arrow: Down 1622">
          <a:extLst>
            <a:ext uri="{FF2B5EF4-FFF2-40B4-BE49-F238E27FC236}">
              <a16:creationId xmlns:a16="http://schemas.microsoft.com/office/drawing/2014/main" id="{FBCE2B96-F5A9-4CF4-A7A7-2B599EC0F4AD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31" name="Arrow: Down 1630">
          <a:extLst>
            <a:ext uri="{FF2B5EF4-FFF2-40B4-BE49-F238E27FC236}">
              <a16:creationId xmlns:a16="http://schemas.microsoft.com/office/drawing/2014/main" id="{DD27F922-739E-4B32-ABAC-0B6D89FCCD8C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37" name="Arrow: Down 1636">
          <a:extLst>
            <a:ext uri="{FF2B5EF4-FFF2-40B4-BE49-F238E27FC236}">
              <a16:creationId xmlns:a16="http://schemas.microsoft.com/office/drawing/2014/main" id="{4FC9A48C-DA5F-44A4-A036-90A281CE2AE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41" name="Arrow: Down 1640">
          <a:extLst>
            <a:ext uri="{FF2B5EF4-FFF2-40B4-BE49-F238E27FC236}">
              <a16:creationId xmlns:a16="http://schemas.microsoft.com/office/drawing/2014/main" id="{792DFE96-CEE9-4D3B-BBFC-9E3190E9AB70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43" name="Arrow: Down 1642">
          <a:extLst>
            <a:ext uri="{FF2B5EF4-FFF2-40B4-BE49-F238E27FC236}">
              <a16:creationId xmlns:a16="http://schemas.microsoft.com/office/drawing/2014/main" id="{754F1555-B4A5-4576-BF37-59C3D3C6644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217</xdr:row>
      <xdr:rowOff>0</xdr:rowOff>
    </xdr:from>
    <xdr:to>
      <xdr:col>5</xdr:col>
      <xdr:colOff>83820</xdr:colOff>
      <xdr:row>217</xdr:row>
      <xdr:rowOff>114300</xdr:rowOff>
    </xdr:to>
    <xdr:sp macro="" textlink="">
      <xdr:nvSpPr>
        <xdr:cNvPr id="1645" name="Arrow: Down 1644">
          <a:extLst>
            <a:ext uri="{FF2B5EF4-FFF2-40B4-BE49-F238E27FC236}">
              <a16:creationId xmlns:a16="http://schemas.microsoft.com/office/drawing/2014/main" id="{99240245-C35F-4B4A-9315-13051327050F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217</xdr:row>
      <xdr:rowOff>0</xdr:rowOff>
    </xdr:from>
    <xdr:to>
      <xdr:col>11</xdr:col>
      <xdr:colOff>83820</xdr:colOff>
      <xdr:row>217</xdr:row>
      <xdr:rowOff>114300</xdr:rowOff>
    </xdr:to>
    <xdr:sp macro="" textlink="">
      <xdr:nvSpPr>
        <xdr:cNvPr id="1646" name="Arrow: Down 1645">
          <a:extLst>
            <a:ext uri="{FF2B5EF4-FFF2-40B4-BE49-F238E27FC236}">
              <a16:creationId xmlns:a16="http://schemas.microsoft.com/office/drawing/2014/main" id="{CC3D34DF-4CEF-4957-BA53-43126CA3652B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217</xdr:row>
      <xdr:rowOff>0</xdr:rowOff>
    </xdr:from>
    <xdr:to>
      <xdr:col>24</xdr:col>
      <xdr:colOff>83820</xdr:colOff>
      <xdr:row>217</xdr:row>
      <xdr:rowOff>114300</xdr:rowOff>
    </xdr:to>
    <xdr:sp macro="" textlink="">
      <xdr:nvSpPr>
        <xdr:cNvPr id="1647" name="Arrow: Down 1646">
          <a:extLst>
            <a:ext uri="{FF2B5EF4-FFF2-40B4-BE49-F238E27FC236}">
              <a16:creationId xmlns:a16="http://schemas.microsoft.com/office/drawing/2014/main" id="{61187099-05F7-47B5-A7AB-9A03FE8095B6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217</xdr:row>
      <xdr:rowOff>0</xdr:rowOff>
    </xdr:from>
    <xdr:to>
      <xdr:col>60</xdr:col>
      <xdr:colOff>83820</xdr:colOff>
      <xdr:row>217</xdr:row>
      <xdr:rowOff>114300</xdr:rowOff>
    </xdr:to>
    <xdr:sp macro="" textlink="">
      <xdr:nvSpPr>
        <xdr:cNvPr id="1649" name="Arrow: Down 1648">
          <a:extLst>
            <a:ext uri="{FF2B5EF4-FFF2-40B4-BE49-F238E27FC236}">
              <a16:creationId xmlns:a16="http://schemas.microsoft.com/office/drawing/2014/main" id="{C3DF03C8-21C5-40C4-A245-485B275A000F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217</xdr:row>
      <xdr:rowOff>0</xdr:rowOff>
    </xdr:from>
    <xdr:to>
      <xdr:col>39</xdr:col>
      <xdr:colOff>83820</xdr:colOff>
      <xdr:row>217</xdr:row>
      <xdr:rowOff>114300</xdr:rowOff>
    </xdr:to>
    <xdr:sp macro="" textlink="">
      <xdr:nvSpPr>
        <xdr:cNvPr id="1650" name="Arrow: Down 1649">
          <a:extLst>
            <a:ext uri="{FF2B5EF4-FFF2-40B4-BE49-F238E27FC236}">
              <a16:creationId xmlns:a16="http://schemas.microsoft.com/office/drawing/2014/main" id="{76A368F5-F12A-410C-B0F6-80AABC3B3A60}"/>
            </a:ext>
          </a:extLst>
        </xdr:cNvPr>
        <xdr:cNvSpPr/>
      </xdr:nvSpPr>
      <xdr:spPr>
        <a:xfrm rot="10800000">
          <a:off x="963930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1" name="Arrow: Down 1650">
          <a:extLst>
            <a:ext uri="{FF2B5EF4-FFF2-40B4-BE49-F238E27FC236}">
              <a16:creationId xmlns:a16="http://schemas.microsoft.com/office/drawing/2014/main" id="{256D8F80-FD39-4334-85A9-073807F79160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52" name="Arrow: Down 1651">
          <a:extLst>
            <a:ext uri="{FF2B5EF4-FFF2-40B4-BE49-F238E27FC236}">
              <a16:creationId xmlns:a16="http://schemas.microsoft.com/office/drawing/2014/main" id="{B18B08E4-F5EC-43E3-915D-C525DEFD5E7B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3" name="Arrow: Down 1652">
          <a:extLst>
            <a:ext uri="{FF2B5EF4-FFF2-40B4-BE49-F238E27FC236}">
              <a16:creationId xmlns:a16="http://schemas.microsoft.com/office/drawing/2014/main" id="{D5478CEC-CAC6-48AE-94E1-CA35CA1DE3E2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62" name="Arrow: Down 1661">
          <a:extLst>
            <a:ext uri="{FF2B5EF4-FFF2-40B4-BE49-F238E27FC236}">
              <a16:creationId xmlns:a16="http://schemas.microsoft.com/office/drawing/2014/main" id="{28C950E8-0A2F-45F1-A2D9-A6DB46D8E0A1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218</xdr:row>
      <xdr:rowOff>0</xdr:rowOff>
    </xdr:from>
    <xdr:to>
      <xdr:col>60</xdr:col>
      <xdr:colOff>83820</xdr:colOff>
      <xdr:row>218</xdr:row>
      <xdr:rowOff>114300</xdr:rowOff>
    </xdr:to>
    <xdr:sp macro="" textlink="">
      <xdr:nvSpPr>
        <xdr:cNvPr id="1667" name="Arrow: Down 1666">
          <a:extLst>
            <a:ext uri="{FF2B5EF4-FFF2-40B4-BE49-F238E27FC236}">
              <a16:creationId xmlns:a16="http://schemas.microsoft.com/office/drawing/2014/main" id="{9AD5F57E-D576-4D59-90A6-B4C5FFA31F4B}"/>
            </a:ext>
          </a:extLst>
        </xdr:cNvPr>
        <xdr:cNvSpPr/>
      </xdr:nvSpPr>
      <xdr:spPr>
        <a:xfrm rot="10800000">
          <a:off x="16764000" y="3978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218</xdr:row>
      <xdr:rowOff>0</xdr:rowOff>
    </xdr:from>
    <xdr:to>
      <xdr:col>11</xdr:col>
      <xdr:colOff>83820</xdr:colOff>
      <xdr:row>218</xdr:row>
      <xdr:rowOff>114300</xdr:rowOff>
    </xdr:to>
    <xdr:sp macro="" textlink="">
      <xdr:nvSpPr>
        <xdr:cNvPr id="1670" name="Arrow: Down 1669">
          <a:extLst>
            <a:ext uri="{FF2B5EF4-FFF2-40B4-BE49-F238E27FC236}">
              <a16:creationId xmlns:a16="http://schemas.microsoft.com/office/drawing/2014/main" id="{6A8EDFE6-3ECC-4B51-9222-7CEB8EF45ECF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218</xdr:row>
      <xdr:rowOff>0</xdr:rowOff>
    </xdr:from>
    <xdr:to>
      <xdr:col>5</xdr:col>
      <xdr:colOff>83820</xdr:colOff>
      <xdr:row>218</xdr:row>
      <xdr:rowOff>114300</xdr:rowOff>
    </xdr:to>
    <xdr:sp macro="" textlink="">
      <xdr:nvSpPr>
        <xdr:cNvPr id="1672" name="Arrow: Down 1671">
          <a:extLst>
            <a:ext uri="{FF2B5EF4-FFF2-40B4-BE49-F238E27FC236}">
              <a16:creationId xmlns:a16="http://schemas.microsoft.com/office/drawing/2014/main" id="{80E6EAED-7B61-4902-AC1E-7184C4208504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218</xdr:row>
      <xdr:rowOff>0</xdr:rowOff>
    </xdr:from>
    <xdr:to>
      <xdr:col>24</xdr:col>
      <xdr:colOff>83820</xdr:colOff>
      <xdr:row>218</xdr:row>
      <xdr:rowOff>114300</xdr:rowOff>
    </xdr:to>
    <xdr:sp macro="" textlink="">
      <xdr:nvSpPr>
        <xdr:cNvPr id="1610" name="Arrow: Down 1609">
          <a:extLst>
            <a:ext uri="{FF2B5EF4-FFF2-40B4-BE49-F238E27FC236}">
              <a16:creationId xmlns:a16="http://schemas.microsoft.com/office/drawing/2014/main" id="{F3456836-6B44-42F5-BF7F-C28F0E233A40}"/>
            </a:ext>
          </a:extLst>
        </xdr:cNvPr>
        <xdr:cNvSpPr/>
      </xdr:nvSpPr>
      <xdr:spPr>
        <a:xfrm>
          <a:off x="647700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5" name="Arrow: Down 1664">
          <a:extLst>
            <a:ext uri="{FF2B5EF4-FFF2-40B4-BE49-F238E27FC236}">
              <a16:creationId xmlns:a16="http://schemas.microsoft.com/office/drawing/2014/main" id="{E6159D73-7E58-40BE-85F8-77632D67CF1B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6" name="Arrow: Down 1665">
          <a:extLst>
            <a:ext uri="{FF2B5EF4-FFF2-40B4-BE49-F238E27FC236}">
              <a16:creationId xmlns:a16="http://schemas.microsoft.com/office/drawing/2014/main" id="{DEB299E9-7828-4C34-ACC0-76F9CCEE50A6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8" name="Arrow: Down 1667">
          <a:extLst>
            <a:ext uri="{FF2B5EF4-FFF2-40B4-BE49-F238E27FC236}">
              <a16:creationId xmlns:a16="http://schemas.microsoft.com/office/drawing/2014/main" id="{6ADA1658-622C-4E97-8517-B974D3B12D83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9" name="Arrow: Down 1668">
          <a:extLst>
            <a:ext uri="{FF2B5EF4-FFF2-40B4-BE49-F238E27FC236}">
              <a16:creationId xmlns:a16="http://schemas.microsoft.com/office/drawing/2014/main" id="{3AA0A2AF-5C75-47B4-AF67-82F354E562DC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219</xdr:row>
      <xdr:rowOff>0</xdr:rowOff>
    </xdr:from>
    <xdr:to>
      <xdr:col>60</xdr:col>
      <xdr:colOff>83820</xdr:colOff>
      <xdr:row>219</xdr:row>
      <xdr:rowOff>114300</xdr:rowOff>
    </xdr:to>
    <xdr:sp macro="" textlink="">
      <xdr:nvSpPr>
        <xdr:cNvPr id="1671" name="Arrow: Down 1670">
          <a:extLst>
            <a:ext uri="{FF2B5EF4-FFF2-40B4-BE49-F238E27FC236}">
              <a16:creationId xmlns:a16="http://schemas.microsoft.com/office/drawing/2014/main" id="{BF22F34E-EA61-4C83-BB7A-888517B148B0}"/>
            </a:ext>
          </a:extLst>
        </xdr:cNvPr>
        <xdr:cNvSpPr/>
      </xdr:nvSpPr>
      <xdr:spPr>
        <a:xfrm rot="10800000">
          <a:off x="167640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219</xdr:row>
      <xdr:rowOff>0</xdr:rowOff>
    </xdr:from>
    <xdr:to>
      <xdr:col>11</xdr:col>
      <xdr:colOff>83820</xdr:colOff>
      <xdr:row>219</xdr:row>
      <xdr:rowOff>114300</xdr:rowOff>
    </xdr:to>
    <xdr:sp macro="" textlink="">
      <xdr:nvSpPr>
        <xdr:cNvPr id="1673" name="Arrow: Down 1672">
          <a:extLst>
            <a:ext uri="{FF2B5EF4-FFF2-40B4-BE49-F238E27FC236}">
              <a16:creationId xmlns:a16="http://schemas.microsoft.com/office/drawing/2014/main" id="{E2BAD884-54B4-4A59-B516-75884DB33BA1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219</xdr:row>
      <xdr:rowOff>0</xdr:rowOff>
    </xdr:from>
    <xdr:to>
      <xdr:col>5</xdr:col>
      <xdr:colOff>83820</xdr:colOff>
      <xdr:row>219</xdr:row>
      <xdr:rowOff>114300</xdr:rowOff>
    </xdr:to>
    <xdr:sp macro="" textlink="">
      <xdr:nvSpPr>
        <xdr:cNvPr id="1674" name="Arrow: Down 1673">
          <a:extLst>
            <a:ext uri="{FF2B5EF4-FFF2-40B4-BE49-F238E27FC236}">
              <a16:creationId xmlns:a16="http://schemas.microsoft.com/office/drawing/2014/main" id="{B67ACA5D-494A-442B-88D1-EB22E0183151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219</xdr:row>
      <xdr:rowOff>0</xdr:rowOff>
    </xdr:from>
    <xdr:to>
      <xdr:col>24</xdr:col>
      <xdr:colOff>83820</xdr:colOff>
      <xdr:row>219</xdr:row>
      <xdr:rowOff>114300</xdr:rowOff>
    </xdr:to>
    <xdr:sp macro="" textlink="">
      <xdr:nvSpPr>
        <xdr:cNvPr id="1679" name="Arrow: Down 1678">
          <a:extLst>
            <a:ext uri="{FF2B5EF4-FFF2-40B4-BE49-F238E27FC236}">
              <a16:creationId xmlns:a16="http://schemas.microsoft.com/office/drawing/2014/main" id="{0A667C71-A26F-40F1-A4B1-8C095DA0D1CA}"/>
            </a:ext>
          </a:extLst>
        </xdr:cNvPr>
        <xdr:cNvSpPr/>
      </xdr:nvSpPr>
      <xdr:spPr>
        <a:xfrm rot="10800000">
          <a:off x="6477000" y="4014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219</xdr:row>
      <xdr:rowOff>0</xdr:rowOff>
    </xdr:from>
    <xdr:to>
      <xdr:col>39</xdr:col>
      <xdr:colOff>83820</xdr:colOff>
      <xdr:row>219</xdr:row>
      <xdr:rowOff>114300</xdr:rowOff>
    </xdr:to>
    <xdr:sp macro="" textlink="">
      <xdr:nvSpPr>
        <xdr:cNvPr id="1682" name="Arrow: Down 1681">
          <a:extLst>
            <a:ext uri="{FF2B5EF4-FFF2-40B4-BE49-F238E27FC236}">
              <a16:creationId xmlns:a16="http://schemas.microsoft.com/office/drawing/2014/main" id="{06258B1D-3ED7-47BD-9D40-8DEF31BAC3B4}"/>
            </a:ext>
          </a:extLst>
        </xdr:cNvPr>
        <xdr:cNvSpPr/>
      </xdr:nvSpPr>
      <xdr:spPr>
        <a:xfrm rot="10800000">
          <a:off x="963930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4" name="Arrow: Down 1683">
          <a:extLst>
            <a:ext uri="{FF2B5EF4-FFF2-40B4-BE49-F238E27FC236}">
              <a16:creationId xmlns:a16="http://schemas.microsoft.com/office/drawing/2014/main" id="{E4E5A9A8-C5F7-4042-9DBE-69DD3FEB974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5" name="Arrow: Down 1684">
          <a:extLst>
            <a:ext uri="{FF2B5EF4-FFF2-40B4-BE49-F238E27FC236}">
              <a16:creationId xmlns:a16="http://schemas.microsoft.com/office/drawing/2014/main" id="{CABCD279-5F96-4108-8D06-10BAFCF32035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6" name="Arrow: Down 1685">
          <a:extLst>
            <a:ext uri="{FF2B5EF4-FFF2-40B4-BE49-F238E27FC236}">
              <a16:creationId xmlns:a16="http://schemas.microsoft.com/office/drawing/2014/main" id="{E21C20FC-6732-423C-AC35-4D911BE533F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7" name="Arrow: Down 1686">
          <a:extLst>
            <a:ext uri="{FF2B5EF4-FFF2-40B4-BE49-F238E27FC236}">
              <a16:creationId xmlns:a16="http://schemas.microsoft.com/office/drawing/2014/main" id="{5D98F101-A299-44D1-8A1B-BE5F2D162DBE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220</xdr:row>
      <xdr:rowOff>0</xdr:rowOff>
    </xdr:from>
    <xdr:to>
      <xdr:col>60</xdr:col>
      <xdr:colOff>83820</xdr:colOff>
      <xdr:row>220</xdr:row>
      <xdr:rowOff>114300</xdr:rowOff>
    </xdr:to>
    <xdr:sp macro="" textlink="">
      <xdr:nvSpPr>
        <xdr:cNvPr id="1693" name="Arrow: Down 1692">
          <a:extLst>
            <a:ext uri="{FF2B5EF4-FFF2-40B4-BE49-F238E27FC236}">
              <a16:creationId xmlns:a16="http://schemas.microsoft.com/office/drawing/2014/main" id="{54F24C70-775A-412C-A1ED-91C66D58F199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83820</xdr:colOff>
      <xdr:row>220</xdr:row>
      <xdr:rowOff>114300</xdr:rowOff>
    </xdr:to>
    <xdr:sp macro="" textlink="">
      <xdr:nvSpPr>
        <xdr:cNvPr id="1695" name="Arrow: Down 1694">
          <a:extLst>
            <a:ext uri="{FF2B5EF4-FFF2-40B4-BE49-F238E27FC236}">
              <a16:creationId xmlns:a16="http://schemas.microsoft.com/office/drawing/2014/main" id="{47FD48A2-DCE8-446F-A45A-821A25338C2D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220</xdr:row>
      <xdr:rowOff>0</xdr:rowOff>
    </xdr:from>
    <xdr:to>
      <xdr:col>11</xdr:col>
      <xdr:colOff>83820</xdr:colOff>
      <xdr:row>220</xdr:row>
      <xdr:rowOff>114300</xdr:rowOff>
    </xdr:to>
    <xdr:sp macro="" textlink="">
      <xdr:nvSpPr>
        <xdr:cNvPr id="1696" name="Arrow: Down 1695">
          <a:extLst>
            <a:ext uri="{FF2B5EF4-FFF2-40B4-BE49-F238E27FC236}">
              <a16:creationId xmlns:a16="http://schemas.microsoft.com/office/drawing/2014/main" id="{9D3AA84E-8D06-4B80-B7B6-DB674CCD21E3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220</xdr:row>
      <xdr:rowOff>0</xdr:rowOff>
    </xdr:from>
    <xdr:to>
      <xdr:col>24</xdr:col>
      <xdr:colOff>83820</xdr:colOff>
      <xdr:row>220</xdr:row>
      <xdr:rowOff>114300</xdr:rowOff>
    </xdr:to>
    <xdr:sp macro="" textlink="">
      <xdr:nvSpPr>
        <xdr:cNvPr id="1698" name="Arrow: Down 1697">
          <a:extLst>
            <a:ext uri="{FF2B5EF4-FFF2-40B4-BE49-F238E27FC236}">
              <a16:creationId xmlns:a16="http://schemas.microsoft.com/office/drawing/2014/main" id="{99709934-F0A9-4711-9F5D-0DF69568695B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08" name="Arrow: Down 1707">
          <a:extLst>
            <a:ext uri="{FF2B5EF4-FFF2-40B4-BE49-F238E27FC236}">
              <a16:creationId xmlns:a16="http://schemas.microsoft.com/office/drawing/2014/main" id="{879B59C8-2E0F-4676-9CFF-EC0710BE6B6A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09" name="Arrow: Down 1708">
          <a:extLst>
            <a:ext uri="{FF2B5EF4-FFF2-40B4-BE49-F238E27FC236}">
              <a16:creationId xmlns:a16="http://schemas.microsoft.com/office/drawing/2014/main" id="{87F53449-127E-4657-A910-D2141D9BCCB0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10" name="Arrow: Down 1709">
          <a:extLst>
            <a:ext uri="{FF2B5EF4-FFF2-40B4-BE49-F238E27FC236}">
              <a16:creationId xmlns:a16="http://schemas.microsoft.com/office/drawing/2014/main" id="{7A26E01E-1E57-492E-B9BD-085C1E153AAC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11" name="Arrow: Down 1710">
          <a:extLst>
            <a:ext uri="{FF2B5EF4-FFF2-40B4-BE49-F238E27FC236}">
              <a16:creationId xmlns:a16="http://schemas.microsoft.com/office/drawing/2014/main" id="{80F918F0-F78B-41CC-AA5C-AE0D7CE10E51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221</xdr:row>
      <xdr:rowOff>0</xdr:rowOff>
    </xdr:from>
    <xdr:to>
      <xdr:col>60</xdr:col>
      <xdr:colOff>83820</xdr:colOff>
      <xdr:row>221</xdr:row>
      <xdr:rowOff>114300</xdr:rowOff>
    </xdr:to>
    <xdr:sp macro="" textlink="">
      <xdr:nvSpPr>
        <xdr:cNvPr id="1712" name="Arrow: Down 1711">
          <a:extLst>
            <a:ext uri="{FF2B5EF4-FFF2-40B4-BE49-F238E27FC236}">
              <a16:creationId xmlns:a16="http://schemas.microsoft.com/office/drawing/2014/main" id="{C2E211B5-7537-4AEE-9FBA-F0DF0E561564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221</xdr:row>
      <xdr:rowOff>0</xdr:rowOff>
    </xdr:from>
    <xdr:to>
      <xdr:col>5</xdr:col>
      <xdr:colOff>83820</xdr:colOff>
      <xdr:row>221</xdr:row>
      <xdr:rowOff>114300</xdr:rowOff>
    </xdr:to>
    <xdr:sp macro="" textlink="">
      <xdr:nvSpPr>
        <xdr:cNvPr id="1714" name="Arrow: Down 1713">
          <a:extLst>
            <a:ext uri="{FF2B5EF4-FFF2-40B4-BE49-F238E27FC236}">
              <a16:creationId xmlns:a16="http://schemas.microsoft.com/office/drawing/2014/main" id="{E65E75AD-9CB0-4194-9316-02C0B35F8B51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221</xdr:row>
      <xdr:rowOff>0</xdr:rowOff>
    </xdr:from>
    <xdr:to>
      <xdr:col>11</xdr:col>
      <xdr:colOff>83820</xdr:colOff>
      <xdr:row>221</xdr:row>
      <xdr:rowOff>114300</xdr:rowOff>
    </xdr:to>
    <xdr:sp macro="" textlink="">
      <xdr:nvSpPr>
        <xdr:cNvPr id="1715" name="Arrow: Down 1714">
          <a:extLst>
            <a:ext uri="{FF2B5EF4-FFF2-40B4-BE49-F238E27FC236}">
              <a16:creationId xmlns:a16="http://schemas.microsoft.com/office/drawing/2014/main" id="{B3F43D8B-F50D-4537-8AF3-A6BCA0B7B2EB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221</xdr:row>
      <xdr:rowOff>0</xdr:rowOff>
    </xdr:from>
    <xdr:to>
      <xdr:col>24</xdr:col>
      <xdr:colOff>83820</xdr:colOff>
      <xdr:row>221</xdr:row>
      <xdr:rowOff>114300</xdr:rowOff>
    </xdr:to>
    <xdr:sp macro="" textlink="">
      <xdr:nvSpPr>
        <xdr:cNvPr id="1716" name="Arrow: Down 1715">
          <a:extLst>
            <a:ext uri="{FF2B5EF4-FFF2-40B4-BE49-F238E27FC236}">
              <a16:creationId xmlns:a16="http://schemas.microsoft.com/office/drawing/2014/main" id="{BD4EBB47-DA79-4F59-9F95-90EE601F07DA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222</xdr:row>
      <xdr:rowOff>0</xdr:rowOff>
    </xdr:from>
    <xdr:to>
      <xdr:col>71</xdr:col>
      <xdr:colOff>83820</xdr:colOff>
      <xdr:row>222</xdr:row>
      <xdr:rowOff>114300</xdr:rowOff>
    </xdr:to>
    <xdr:sp macro="" textlink="">
      <xdr:nvSpPr>
        <xdr:cNvPr id="1609" name="Arrow: Down 1608">
          <a:extLst>
            <a:ext uri="{FF2B5EF4-FFF2-40B4-BE49-F238E27FC236}">
              <a16:creationId xmlns:a16="http://schemas.microsoft.com/office/drawing/2014/main" id="{A362BD1C-BE7D-4287-8ACB-739D09EA2985}"/>
            </a:ext>
          </a:extLst>
        </xdr:cNvPr>
        <xdr:cNvSpPr/>
      </xdr:nvSpPr>
      <xdr:spPr>
        <a:xfrm>
          <a:off x="2311146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222</xdr:row>
      <xdr:rowOff>0</xdr:rowOff>
    </xdr:from>
    <xdr:to>
      <xdr:col>45</xdr:col>
      <xdr:colOff>83820</xdr:colOff>
      <xdr:row>222</xdr:row>
      <xdr:rowOff>114300</xdr:rowOff>
    </xdr:to>
    <xdr:sp macro="" textlink="">
      <xdr:nvSpPr>
        <xdr:cNvPr id="1611" name="Arrow: Down 1610">
          <a:extLst>
            <a:ext uri="{FF2B5EF4-FFF2-40B4-BE49-F238E27FC236}">
              <a16:creationId xmlns:a16="http://schemas.microsoft.com/office/drawing/2014/main" id="{EA4E5EC7-D8CE-4176-871D-CDD6C450A4CB}"/>
            </a:ext>
          </a:extLst>
        </xdr:cNvPr>
        <xdr:cNvSpPr/>
      </xdr:nvSpPr>
      <xdr:spPr>
        <a:xfrm rot="10800000">
          <a:off x="1376934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222</xdr:row>
      <xdr:rowOff>0</xdr:rowOff>
    </xdr:from>
    <xdr:to>
      <xdr:col>71</xdr:col>
      <xdr:colOff>83820</xdr:colOff>
      <xdr:row>222</xdr:row>
      <xdr:rowOff>114300</xdr:rowOff>
    </xdr:to>
    <xdr:sp macro="" textlink="">
      <xdr:nvSpPr>
        <xdr:cNvPr id="1612" name="Arrow: Down 1611">
          <a:extLst>
            <a:ext uri="{FF2B5EF4-FFF2-40B4-BE49-F238E27FC236}">
              <a16:creationId xmlns:a16="http://schemas.microsoft.com/office/drawing/2014/main" id="{FE9E1EF7-1881-40D2-A4D6-8E15C8B5D618}"/>
            </a:ext>
          </a:extLst>
        </xdr:cNvPr>
        <xdr:cNvSpPr/>
      </xdr:nvSpPr>
      <xdr:spPr>
        <a:xfrm>
          <a:off x="2311146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222</xdr:row>
      <xdr:rowOff>0</xdr:rowOff>
    </xdr:from>
    <xdr:to>
      <xdr:col>45</xdr:col>
      <xdr:colOff>83820</xdr:colOff>
      <xdr:row>222</xdr:row>
      <xdr:rowOff>114300</xdr:rowOff>
    </xdr:to>
    <xdr:sp macro="" textlink="">
      <xdr:nvSpPr>
        <xdr:cNvPr id="1613" name="Arrow: Down 1612">
          <a:extLst>
            <a:ext uri="{FF2B5EF4-FFF2-40B4-BE49-F238E27FC236}">
              <a16:creationId xmlns:a16="http://schemas.microsoft.com/office/drawing/2014/main" id="{13609792-6169-42CA-A236-76BD0A3F7A30}"/>
            </a:ext>
          </a:extLst>
        </xdr:cNvPr>
        <xdr:cNvSpPr/>
      </xdr:nvSpPr>
      <xdr:spPr>
        <a:xfrm rot="10800000">
          <a:off x="1376934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222</xdr:row>
      <xdr:rowOff>0</xdr:rowOff>
    </xdr:from>
    <xdr:to>
      <xdr:col>60</xdr:col>
      <xdr:colOff>83820</xdr:colOff>
      <xdr:row>222</xdr:row>
      <xdr:rowOff>114300</xdr:rowOff>
    </xdr:to>
    <xdr:sp macro="" textlink="">
      <xdr:nvSpPr>
        <xdr:cNvPr id="1617" name="Arrow: Down 1616">
          <a:extLst>
            <a:ext uri="{FF2B5EF4-FFF2-40B4-BE49-F238E27FC236}">
              <a16:creationId xmlns:a16="http://schemas.microsoft.com/office/drawing/2014/main" id="{A2795E30-17CF-4954-86BE-376221E6B368}"/>
            </a:ext>
          </a:extLst>
        </xdr:cNvPr>
        <xdr:cNvSpPr/>
      </xdr:nvSpPr>
      <xdr:spPr>
        <a:xfrm>
          <a:off x="1908810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222</xdr:row>
      <xdr:rowOff>0</xdr:rowOff>
    </xdr:from>
    <xdr:to>
      <xdr:col>24</xdr:col>
      <xdr:colOff>83820</xdr:colOff>
      <xdr:row>222</xdr:row>
      <xdr:rowOff>114300</xdr:rowOff>
    </xdr:to>
    <xdr:sp macro="" textlink="">
      <xdr:nvSpPr>
        <xdr:cNvPr id="1648" name="Arrow: Down 1647">
          <a:extLst>
            <a:ext uri="{FF2B5EF4-FFF2-40B4-BE49-F238E27FC236}">
              <a16:creationId xmlns:a16="http://schemas.microsoft.com/office/drawing/2014/main" id="{BF875A71-A1F8-4BD4-A47C-359F015F5C60}"/>
            </a:ext>
          </a:extLst>
        </xdr:cNvPr>
        <xdr:cNvSpPr/>
      </xdr:nvSpPr>
      <xdr:spPr>
        <a:xfrm>
          <a:off x="647700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222</xdr:row>
      <xdr:rowOff>0</xdr:rowOff>
    </xdr:from>
    <xdr:to>
      <xdr:col>5</xdr:col>
      <xdr:colOff>83820</xdr:colOff>
      <xdr:row>222</xdr:row>
      <xdr:rowOff>114300</xdr:rowOff>
    </xdr:to>
    <xdr:sp macro="" textlink="">
      <xdr:nvSpPr>
        <xdr:cNvPr id="1676" name="Arrow: Down 1675">
          <a:extLst>
            <a:ext uri="{FF2B5EF4-FFF2-40B4-BE49-F238E27FC236}">
              <a16:creationId xmlns:a16="http://schemas.microsoft.com/office/drawing/2014/main" id="{9EB2BD86-6334-4E19-9816-ABB7EE47FD2F}"/>
            </a:ext>
          </a:extLst>
        </xdr:cNvPr>
        <xdr:cNvSpPr/>
      </xdr:nvSpPr>
      <xdr:spPr>
        <a:xfrm rot="10800000">
          <a:off x="192786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222</xdr:row>
      <xdr:rowOff>0</xdr:rowOff>
    </xdr:from>
    <xdr:to>
      <xdr:col>11</xdr:col>
      <xdr:colOff>83820</xdr:colOff>
      <xdr:row>222</xdr:row>
      <xdr:rowOff>114300</xdr:rowOff>
    </xdr:to>
    <xdr:sp macro="" textlink="">
      <xdr:nvSpPr>
        <xdr:cNvPr id="1677" name="Arrow: Down 1676">
          <a:extLst>
            <a:ext uri="{FF2B5EF4-FFF2-40B4-BE49-F238E27FC236}">
              <a16:creationId xmlns:a16="http://schemas.microsoft.com/office/drawing/2014/main" id="{4B5312C5-CFD2-4A6A-8E5F-3A8BBDFDC0FD}"/>
            </a:ext>
          </a:extLst>
        </xdr:cNvPr>
        <xdr:cNvSpPr/>
      </xdr:nvSpPr>
      <xdr:spPr>
        <a:xfrm rot="10800000">
          <a:off x="361950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222</xdr:row>
      <xdr:rowOff>0</xdr:rowOff>
    </xdr:from>
    <xdr:to>
      <xdr:col>39</xdr:col>
      <xdr:colOff>83820</xdr:colOff>
      <xdr:row>222</xdr:row>
      <xdr:rowOff>114300</xdr:rowOff>
    </xdr:to>
    <xdr:sp macro="" textlink="">
      <xdr:nvSpPr>
        <xdr:cNvPr id="1680" name="Arrow: Down 1679">
          <a:extLst>
            <a:ext uri="{FF2B5EF4-FFF2-40B4-BE49-F238E27FC236}">
              <a16:creationId xmlns:a16="http://schemas.microsoft.com/office/drawing/2014/main" id="{DC27E7BD-6E1B-420B-9851-B4D8D2BCF05B}"/>
            </a:ext>
          </a:extLst>
        </xdr:cNvPr>
        <xdr:cNvSpPr/>
      </xdr:nvSpPr>
      <xdr:spPr>
        <a:xfrm rot="10800000">
          <a:off x="9639300" y="4069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223</xdr:row>
      <xdr:rowOff>0</xdr:rowOff>
    </xdr:from>
    <xdr:to>
      <xdr:col>45</xdr:col>
      <xdr:colOff>83820</xdr:colOff>
      <xdr:row>223</xdr:row>
      <xdr:rowOff>114300</xdr:rowOff>
    </xdr:to>
    <xdr:sp macro="" textlink="">
      <xdr:nvSpPr>
        <xdr:cNvPr id="1691" name="Arrow: Down 1690">
          <a:extLst>
            <a:ext uri="{FF2B5EF4-FFF2-40B4-BE49-F238E27FC236}">
              <a16:creationId xmlns:a16="http://schemas.microsoft.com/office/drawing/2014/main" id="{BAB8F0C3-73EE-4CD9-B4B2-6F666043D728}"/>
            </a:ext>
          </a:extLst>
        </xdr:cNvPr>
        <xdr:cNvSpPr/>
      </xdr:nvSpPr>
      <xdr:spPr>
        <a:xfrm rot="10800000">
          <a:off x="11445240" y="4069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223</xdr:row>
      <xdr:rowOff>0</xdr:rowOff>
    </xdr:from>
    <xdr:to>
      <xdr:col>45</xdr:col>
      <xdr:colOff>83820</xdr:colOff>
      <xdr:row>223</xdr:row>
      <xdr:rowOff>114300</xdr:rowOff>
    </xdr:to>
    <xdr:sp macro="" textlink="">
      <xdr:nvSpPr>
        <xdr:cNvPr id="1697" name="Arrow: Down 1696">
          <a:extLst>
            <a:ext uri="{FF2B5EF4-FFF2-40B4-BE49-F238E27FC236}">
              <a16:creationId xmlns:a16="http://schemas.microsoft.com/office/drawing/2014/main" id="{757706E4-02B5-45A3-9A01-58CE9918DCA8}"/>
            </a:ext>
          </a:extLst>
        </xdr:cNvPr>
        <xdr:cNvSpPr/>
      </xdr:nvSpPr>
      <xdr:spPr>
        <a:xfrm rot="10800000">
          <a:off x="11445240" y="4069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223</xdr:row>
      <xdr:rowOff>0</xdr:rowOff>
    </xdr:from>
    <xdr:to>
      <xdr:col>5</xdr:col>
      <xdr:colOff>83820</xdr:colOff>
      <xdr:row>223</xdr:row>
      <xdr:rowOff>114300</xdr:rowOff>
    </xdr:to>
    <xdr:sp macro="" textlink="">
      <xdr:nvSpPr>
        <xdr:cNvPr id="1701" name="Arrow: Down 1700">
          <a:extLst>
            <a:ext uri="{FF2B5EF4-FFF2-40B4-BE49-F238E27FC236}">
              <a16:creationId xmlns:a16="http://schemas.microsoft.com/office/drawing/2014/main" id="{1A63E624-4DDB-46B4-A17A-64FEED28BC1A}"/>
            </a:ext>
          </a:extLst>
        </xdr:cNvPr>
        <xdr:cNvSpPr/>
      </xdr:nvSpPr>
      <xdr:spPr>
        <a:xfrm rot="10800000">
          <a:off x="192786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223</xdr:row>
      <xdr:rowOff>0</xdr:rowOff>
    </xdr:from>
    <xdr:to>
      <xdr:col>11</xdr:col>
      <xdr:colOff>83820</xdr:colOff>
      <xdr:row>223</xdr:row>
      <xdr:rowOff>114300</xdr:rowOff>
    </xdr:to>
    <xdr:sp macro="" textlink="">
      <xdr:nvSpPr>
        <xdr:cNvPr id="1702" name="Arrow: Down 1701">
          <a:extLst>
            <a:ext uri="{FF2B5EF4-FFF2-40B4-BE49-F238E27FC236}">
              <a16:creationId xmlns:a16="http://schemas.microsoft.com/office/drawing/2014/main" id="{7DF6A6A8-99A6-4EE5-8C71-603B2B74329C}"/>
            </a:ext>
          </a:extLst>
        </xdr:cNvPr>
        <xdr:cNvSpPr/>
      </xdr:nvSpPr>
      <xdr:spPr>
        <a:xfrm rot="10800000">
          <a:off x="361950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223</xdr:row>
      <xdr:rowOff>0</xdr:rowOff>
    </xdr:from>
    <xdr:to>
      <xdr:col>24</xdr:col>
      <xdr:colOff>83820</xdr:colOff>
      <xdr:row>223</xdr:row>
      <xdr:rowOff>114300</xdr:rowOff>
    </xdr:to>
    <xdr:sp macro="" textlink="">
      <xdr:nvSpPr>
        <xdr:cNvPr id="1704" name="Arrow: Down 1703">
          <a:extLst>
            <a:ext uri="{FF2B5EF4-FFF2-40B4-BE49-F238E27FC236}">
              <a16:creationId xmlns:a16="http://schemas.microsoft.com/office/drawing/2014/main" id="{88E19B9E-E9FA-458B-AF15-028310BEB32D}"/>
            </a:ext>
          </a:extLst>
        </xdr:cNvPr>
        <xdr:cNvSpPr/>
      </xdr:nvSpPr>
      <xdr:spPr>
        <a:xfrm rot="10800000">
          <a:off x="647700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223</xdr:row>
      <xdr:rowOff>0</xdr:rowOff>
    </xdr:from>
    <xdr:to>
      <xdr:col>60</xdr:col>
      <xdr:colOff>83820</xdr:colOff>
      <xdr:row>223</xdr:row>
      <xdr:rowOff>114300</xdr:rowOff>
    </xdr:to>
    <xdr:sp macro="" textlink="">
      <xdr:nvSpPr>
        <xdr:cNvPr id="1705" name="Arrow: Down 1704">
          <a:extLst>
            <a:ext uri="{FF2B5EF4-FFF2-40B4-BE49-F238E27FC236}">
              <a16:creationId xmlns:a16="http://schemas.microsoft.com/office/drawing/2014/main" id="{5B4AA0EE-C1E1-4C43-B681-A02E4DD25732}"/>
            </a:ext>
          </a:extLst>
        </xdr:cNvPr>
        <xdr:cNvSpPr/>
      </xdr:nvSpPr>
      <xdr:spPr>
        <a:xfrm rot="10800000">
          <a:off x="1676400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223</xdr:row>
      <xdr:rowOff>0</xdr:rowOff>
    </xdr:from>
    <xdr:to>
      <xdr:col>71</xdr:col>
      <xdr:colOff>83820</xdr:colOff>
      <xdr:row>223</xdr:row>
      <xdr:rowOff>114300</xdr:rowOff>
    </xdr:to>
    <xdr:sp macro="" textlink="">
      <xdr:nvSpPr>
        <xdr:cNvPr id="1707" name="Arrow: Down 1706">
          <a:extLst>
            <a:ext uri="{FF2B5EF4-FFF2-40B4-BE49-F238E27FC236}">
              <a16:creationId xmlns:a16="http://schemas.microsoft.com/office/drawing/2014/main" id="{F2A0073B-0F75-47BD-9405-1CB42F8CA3C7}"/>
            </a:ext>
          </a:extLst>
        </xdr:cNvPr>
        <xdr:cNvSpPr/>
      </xdr:nvSpPr>
      <xdr:spPr>
        <a:xfrm rot="10800000">
          <a:off x="1911858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223</xdr:row>
      <xdr:rowOff>0</xdr:rowOff>
    </xdr:from>
    <xdr:to>
      <xdr:col>39</xdr:col>
      <xdr:colOff>83820</xdr:colOff>
      <xdr:row>223</xdr:row>
      <xdr:rowOff>114300</xdr:rowOff>
    </xdr:to>
    <xdr:sp macro="" textlink="">
      <xdr:nvSpPr>
        <xdr:cNvPr id="1717" name="Arrow: Down 1716">
          <a:extLst>
            <a:ext uri="{FF2B5EF4-FFF2-40B4-BE49-F238E27FC236}">
              <a16:creationId xmlns:a16="http://schemas.microsoft.com/office/drawing/2014/main" id="{8A94CAE5-561B-44BB-A4A4-E9E29583595D}"/>
            </a:ext>
          </a:extLst>
        </xdr:cNvPr>
        <xdr:cNvSpPr/>
      </xdr:nvSpPr>
      <xdr:spPr>
        <a:xfrm>
          <a:off x="963930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216</xdr:row>
      <xdr:rowOff>0</xdr:rowOff>
    </xdr:from>
    <xdr:to>
      <xdr:col>39</xdr:col>
      <xdr:colOff>83820</xdr:colOff>
      <xdr:row>216</xdr:row>
      <xdr:rowOff>114300</xdr:rowOff>
    </xdr:to>
    <xdr:sp macro="" textlink="">
      <xdr:nvSpPr>
        <xdr:cNvPr id="1718" name="Arrow: Down 1717">
          <a:extLst>
            <a:ext uri="{FF2B5EF4-FFF2-40B4-BE49-F238E27FC236}">
              <a16:creationId xmlns:a16="http://schemas.microsoft.com/office/drawing/2014/main" id="{DFEC5AE1-C643-4E54-A237-BC4831E77373}"/>
            </a:ext>
          </a:extLst>
        </xdr:cNvPr>
        <xdr:cNvSpPr/>
      </xdr:nvSpPr>
      <xdr:spPr>
        <a:xfrm>
          <a:off x="96393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221</xdr:row>
      <xdr:rowOff>0</xdr:rowOff>
    </xdr:from>
    <xdr:to>
      <xdr:col>39</xdr:col>
      <xdr:colOff>83820</xdr:colOff>
      <xdr:row>221</xdr:row>
      <xdr:rowOff>114300</xdr:rowOff>
    </xdr:to>
    <xdr:sp macro="" textlink="">
      <xdr:nvSpPr>
        <xdr:cNvPr id="1720" name="Arrow: Down 1719">
          <a:extLst>
            <a:ext uri="{FF2B5EF4-FFF2-40B4-BE49-F238E27FC236}">
              <a16:creationId xmlns:a16="http://schemas.microsoft.com/office/drawing/2014/main" id="{4F90140C-AFA6-471F-9944-AEDE56B55B76}"/>
            </a:ext>
          </a:extLst>
        </xdr:cNvPr>
        <xdr:cNvSpPr/>
      </xdr:nvSpPr>
      <xdr:spPr>
        <a:xfrm>
          <a:off x="9639300" y="4051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218</xdr:row>
      <xdr:rowOff>0</xdr:rowOff>
    </xdr:from>
    <xdr:to>
      <xdr:col>39</xdr:col>
      <xdr:colOff>83820</xdr:colOff>
      <xdr:row>218</xdr:row>
      <xdr:rowOff>114300</xdr:rowOff>
    </xdr:to>
    <xdr:sp macro="" textlink="">
      <xdr:nvSpPr>
        <xdr:cNvPr id="1721" name="Arrow: Down 1720">
          <a:extLst>
            <a:ext uri="{FF2B5EF4-FFF2-40B4-BE49-F238E27FC236}">
              <a16:creationId xmlns:a16="http://schemas.microsoft.com/office/drawing/2014/main" id="{E70C9FE6-5B68-42CD-AE5A-FC96C0A91B81}"/>
            </a:ext>
          </a:extLst>
        </xdr:cNvPr>
        <xdr:cNvSpPr/>
      </xdr:nvSpPr>
      <xdr:spPr>
        <a:xfrm>
          <a:off x="96393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220</xdr:row>
      <xdr:rowOff>0</xdr:rowOff>
    </xdr:from>
    <xdr:to>
      <xdr:col>39</xdr:col>
      <xdr:colOff>83820</xdr:colOff>
      <xdr:row>220</xdr:row>
      <xdr:rowOff>114300</xdr:rowOff>
    </xdr:to>
    <xdr:sp macro="" textlink="">
      <xdr:nvSpPr>
        <xdr:cNvPr id="1723" name="Arrow: Down 1722">
          <a:extLst>
            <a:ext uri="{FF2B5EF4-FFF2-40B4-BE49-F238E27FC236}">
              <a16:creationId xmlns:a16="http://schemas.microsoft.com/office/drawing/2014/main" id="{767924FE-7F41-4D17-97E7-C94BD9517BED}"/>
            </a:ext>
          </a:extLst>
        </xdr:cNvPr>
        <xdr:cNvSpPr/>
      </xdr:nvSpPr>
      <xdr:spPr>
        <a:xfrm>
          <a:off x="9639300" y="4033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224</xdr:row>
      <xdr:rowOff>0</xdr:rowOff>
    </xdr:from>
    <xdr:to>
      <xdr:col>45</xdr:col>
      <xdr:colOff>83820</xdr:colOff>
      <xdr:row>224</xdr:row>
      <xdr:rowOff>114300</xdr:rowOff>
    </xdr:to>
    <xdr:sp macro="" textlink="">
      <xdr:nvSpPr>
        <xdr:cNvPr id="1622" name="Arrow: Down 1621">
          <a:extLst>
            <a:ext uri="{FF2B5EF4-FFF2-40B4-BE49-F238E27FC236}">
              <a16:creationId xmlns:a16="http://schemas.microsoft.com/office/drawing/2014/main" id="{CF39021A-EA6C-4251-951D-64B20DAA0E6E}"/>
            </a:ext>
          </a:extLst>
        </xdr:cNvPr>
        <xdr:cNvSpPr/>
      </xdr:nvSpPr>
      <xdr:spPr>
        <a:xfrm rot="10800000">
          <a:off x="11445240" y="4088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224</xdr:row>
      <xdr:rowOff>0</xdr:rowOff>
    </xdr:from>
    <xdr:to>
      <xdr:col>45</xdr:col>
      <xdr:colOff>83820</xdr:colOff>
      <xdr:row>224</xdr:row>
      <xdr:rowOff>114300</xdr:rowOff>
    </xdr:to>
    <xdr:sp macro="" textlink="">
      <xdr:nvSpPr>
        <xdr:cNvPr id="1624" name="Arrow: Down 1623">
          <a:extLst>
            <a:ext uri="{FF2B5EF4-FFF2-40B4-BE49-F238E27FC236}">
              <a16:creationId xmlns:a16="http://schemas.microsoft.com/office/drawing/2014/main" id="{AF04DFF2-7C2F-4CC6-8BC8-3F8774A95BDC}"/>
            </a:ext>
          </a:extLst>
        </xdr:cNvPr>
        <xdr:cNvSpPr/>
      </xdr:nvSpPr>
      <xdr:spPr>
        <a:xfrm rot="10800000">
          <a:off x="11445240" y="4088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224</xdr:row>
      <xdr:rowOff>0</xdr:rowOff>
    </xdr:from>
    <xdr:to>
      <xdr:col>5</xdr:col>
      <xdr:colOff>83820</xdr:colOff>
      <xdr:row>224</xdr:row>
      <xdr:rowOff>114300</xdr:rowOff>
    </xdr:to>
    <xdr:sp macro="" textlink="">
      <xdr:nvSpPr>
        <xdr:cNvPr id="1626" name="Arrow: Down 1625">
          <a:extLst>
            <a:ext uri="{FF2B5EF4-FFF2-40B4-BE49-F238E27FC236}">
              <a16:creationId xmlns:a16="http://schemas.microsoft.com/office/drawing/2014/main" id="{371DDC9C-7686-4E75-BC62-AF8E73D97298}"/>
            </a:ext>
          </a:extLst>
        </xdr:cNvPr>
        <xdr:cNvSpPr/>
      </xdr:nvSpPr>
      <xdr:spPr>
        <a:xfrm rot="10800000">
          <a:off x="192786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224</xdr:row>
      <xdr:rowOff>0</xdr:rowOff>
    </xdr:from>
    <xdr:to>
      <xdr:col>11</xdr:col>
      <xdr:colOff>83820</xdr:colOff>
      <xdr:row>224</xdr:row>
      <xdr:rowOff>114300</xdr:rowOff>
    </xdr:to>
    <xdr:sp macro="" textlink="">
      <xdr:nvSpPr>
        <xdr:cNvPr id="1629" name="Arrow: Down 1628">
          <a:extLst>
            <a:ext uri="{FF2B5EF4-FFF2-40B4-BE49-F238E27FC236}">
              <a16:creationId xmlns:a16="http://schemas.microsoft.com/office/drawing/2014/main" id="{4765A3E9-462B-40E6-A488-39BD35881E1B}"/>
            </a:ext>
          </a:extLst>
        </xdr:cNvPr>
        <xdr:cNvSpPr/>
      </xdr:nvSpPr>
      <xdr:spPr>
        <a:xfrm rot="10800000">
          <a:off x="361950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224</xdr:row>
      <xdr:rowOff>0</xdr:rowOff>
    </xdr:from>
    <xdr:to>
      <xdr:col>24</xdr:col>
      <xdr:colOff>83820</xdr:colOff>
      <xdr:row>224</xdr:row>
      <xdr:rowOff>114300</xdr:rowOff>
    </xdr:to>
    <xdr:sp macro="" textlink="">
      <xdr:nvSpPr>
        <xdr:cNvPr id="1663" name="Arrow: Down 1662">
          <a:extLst>
            <a:ext uri="{FF2B5EF4-FFF2-40B4-BE49-F238E27FC236}">
              <a16:creationId xmlns:a16="http://schemas.microsoft.com/office/drawing/2014/main" id="{9947C4A0-BF53-410C-8FDC-71A3669FFE09}"/>
            </a:ext>
          </a:extLst>
        </xdr:cNvPr>
        <xdr:cNvSpPr/>
      </xdr:nvSpPr>
      <xdr:spPr>
        <a:xfrm rot="10800000">
          <a:off x="6477000" y="4088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224</xdr:row>
      <xdr:rowOff>0</xdr:rowOff>
    </xdr:from>
    <xdr:to>
      <xdr:col>71</xdr:col>
      <xdr:colOff>83820</xdr:colOff>
      <xdr:row>224</xdr:row>
      <xdr:rowOff>114300</xdr:rowOff>
    </xdr:to>
    <xdr:sp macro="" textlink="">
      <xdr:nvSpPr>
        <xdr:cNvPr id="1688" name="Arrow: Down 1687">
          <a:extLst>
            <a:ext uri="{FF2B5EF4-FFF2-40B4-BE49-F238E27FC236}">
              <a16:creationId xmlns:a16="http://schemas.microsoft.com/office/drawing/2014/main" id="{5A2F4682-6C06-45CB-9364-C530188841D2}"/>
            </a:ext>
          </a:extLst>
        </xdr:cNvPr>
        <xdr:cNvSpPr/>
      </xdr:nvSpPr>
      <xdr:spPr>
        <a:xfrm>
          <a:off x="1911858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224</xdr:row>
      <xdr:rowOff>0</xdr:rowOff>
    </xdr:from>
    <xdr:to>
      <xdr:col>60</xdr:col>
      <xdr:colOff>83820</xdr:colOff>
      <xdr:row>224</xdr:row>
      <xdr:rowOff>114300</xdr:rowOff>
    </xdr:to>
    <xdr:sp macro="" textlink="">
      <xdr:nvSpPr>
        <xdr:cNvPr id="1690" name="Arrow: Down 1689">
          <a:extLst>
            <a:ext uri="{FF2B5EF4-FFF2-40B4-BE49-F238E27FC236}">
              <a16:creationId xmlns:a16="http://schemas.microsoft.com/office/drawing/2014/main" id="{17ECCE19-9902-4C89-9E49-C14981C46474}"/>
            </a:ext>
          </a:extLst>
        </xdr:cNvPr>
        <xdr:cNvSpPr/>
      </xdr:nvSpPr>
      <xdr:spPr>
        <a:xfrm>
          <a:off x="1676400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224</xdr:row>
      <xdr:rowOff>0</xdr:rowOff>
    </xdr:from>
    <xdr:to>
      <xdr:col>39</xdr:col>
      <xdr:colOff>83820</xdr:colOff>
      <xdr:row>224</xdr:row>
      <xdr:rowOff>114300</xdr:rowOff>
    </xdr:to>
    <xdr:sp macro="" textlink="">
      <xdr:nvSpPr>
        <xdr:cNvPr id="1694" name="Arrow: Down 1693">
          <a:extLst>
            <a:ext uri="{FF2B5EF4-FFF2-40B4-BE49-F238E27FC236}">
              <a16:creationId xmlns:a16="http://schemas.microsoft.com/office/drawing/2014/main" id="{8C0B0112-DE3C-49D9-9EC2-68EB42542256}"/>
            </a:ext>
          </a:extLst>
        </xdr:cNvPr>
        <xdr:cNvSpPr/>
      </xdr:nvSpPr>
      <xdr:spPr>
        <a:xfrm rot="10800000">
          <a:off x="963930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225</xdr:row>
      <xdr:rowOff>0</xdr:rowOff>
    </xdr:from>
    <xdr:to>
      <xdr:col>45</xdr:col>
      <xdr:colOff>83820</xdr:colOff>
      <xdr:row>225</xdr:row>
      <xdr:rowOff>114300</xdr:rowOff>
    </xdr:to>
    <xdr:sp macro="" textlink="">
      <xdr:nvSpPr>
        <xdr:cNvPr id="1703" name="Arrow: Down 1702">
          <a:extLst>
            <a:ext uri="{FF2B5EF4-FFF2-40B4-BE49-F238E27FC236}">
              <a16:creationId xmlns:a16="http://schemas.microsoft.com/office/drawing/2014/main" id="{95916736-9BCD-49D0-B281-6022064A517E}"/>
            </a:ext>
          </a:extLst>
        </xdr:cNvPr>
        <xdr:cNvSpPr/>
      </xdr:nvSpPr>
      <xdr:spPr>
        <a:xfrm rot="10800000">
          <a:off x="1144524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225</xdr:row>
      <xdr:rowOff>0</xdr:rowOff>
    </xdr:from>
    <xdr:to>
      <xdr:col>45</xdr:col>
      <xdr:colOff>83820</xdr:colOff>
      <xdr:row>225</xdr:row>
      <xdr:rowOff>114300</xdr:rowOff>
    </xdr:to>
    <xdr:sp macro="" textlink="">
      <xdr:nvSpPr>
        <xdr:cNvPr id="1706" name="Arrow: Down 1705">
          <a:extLst>
            <a:ext uri="{FF2B5EF4-FFF2-40B4-BE49-F238E27FC236}">
              <a16:creationId xmlns:a16="http://schemas.microsoft.com/office/drawing/2014/main" id="{10C61CB2-3047-4FCC-A42B-A01729231C4A}"/>
            </a:ext>
          </a:extLst>
        </xdr:cNvPr>
        <xdr:cNvSpPr/>
      </xdr:nvSpPr>
      <xdr:spPr>
        <a:xfrm rot="10800000">
          <a:off x="1144524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225</xdr:row>
      <xdr:rowOff>0</xdr:rowOff>
    </xdr:from>
    <xdr:to>
      <xdr:col>5</xdr:col>
      <xdr:colOff>83820</xdr:colOff>
      <xdr:row>225</xdr:row>
      <xdr:rowOff>114300</xdr:rowOff>
    </xdr:to>
    <xdr:sp macro="" textlink="">
      <xdr:nvSpPr>
        <xdr:cNvPr id="1713" name="Arrow: Down 1712">
          <a:extLst>
            <a:ext uri="{FF2B5EF4-FFF2-40B4-BE49-F238E27FC236}">
              <a16:creationId xmlns:a16="http://schemas.microsoft.com/office/drawing/2014/main" id="{7164DE47-A1D1-4F2B-90B9-0809F0EED75A}"/>
            </a:ext>
          </a:extLst>
        </xdr:cNvPr>
        <xdr:cNvSpPr/>
      </xdr:nvSpPr>
      <xdr:spPr>
        <a:xfrm rot="10800000">
          <a:off x="1927860" y="4106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83820</xdr:colOff>
      <xdr:row>225</xdr:row>
      <xdr:rowOff>114300</xdr:rowOff>
    </xdr:to>
    <xdr:sp macro="" textlink="">
      <xdr:nvSpPr>
        <xdr:cNvPr id="1719" name="Arrow: Down 1718">
          <a:extLst>
            <a:ext uri="{FF2B5EF4-FFF2-40B4-BE49-F238E27FC236}">
              <a16:creationId xmlns:a16="http://schemas.microsoft.com/office/drawing/2014/main" id="{5EC5D610-A03B-489D-B033-BB45AF4E5048}"/>
            </a:ext>
          </a:extLst>
        </xdr:cNvPr>
        <xdr:cNvSpPr/>
      </xdr:nvSpPr>
      <xdr:spPr>
        <a:xfrm rot="10800000">
          <a:off x="3619500" y="4106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225</xdr:row>
      <xdr:rowOff>0</xdr:rowOff>
    </xdr:from>
    <xdr:to>
      <xdr:col>71</xdr:col>
      <xdr:colOff>83820</xdr:colOff>
      <xdr:row>225</xdr:row>
      <xdr:rowOff>114300</xdr:rowOff>
    </xdr:to>
    <xdr:sp macro="" textlink="">
      <xdr:nvSpPr>
        <xdr:cNvPr id="1724" name="Arrow: Down 1723">
          <a:extLst>
            <a:ext uri="{FF2B5EF4-FFF2-40B4-BE49-F238E27FC236}">
              <a16:creationId xmlns:a16="http://schemas.microsoft.com/office/drawing/2014/main" id="{09D61AA3-3F3C-4C0B-BCD8-E4DBB4CBAE2A}"/>
            </a:ext>
          </a:extLst>
        </xdr:cNvPr>
        <xdr:cNvSpPr/>
      </xdr:nvSpPr>
      <xdr:spPr>
        <a:xfrm>
          <a:off x="1911858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225</xdr:row>
      <xdr:rowOff>0</xdr:rowOff>
    </xdr:from>
    <xdr:to>
      <xdr:col>60</xdr:col>
      <xdr:colOff>83820</xdr:colOff>
      <xdr:row>225</xdr:row>
      <xdr:rowOff>114300</xdr:rowOff>
    </xdr:to>
    <xdr:sp macro="" textlink="">
      <xdr:nvSpPr>
        <xdr:cNvPr id="1725" name="Arrow: Down 1724">
          <a:extLst>
            <a:ext uri="{FF2B5EF4-FFF2-40B4-BE49-F238E27FC236}">
              <a16:creationId xmlns:a16="http://schemas.microsoft.com/office/drawing/2014/main" id="{AE7E2923-0411-4CB2-B48C-47BCD6B3771B}"/>
            </a:ext>
          </a:extLst>
        </xdr:cNvPr>
        <xdr:cNvSpPr/>
      </xdr:nvSpPr>
      <xdr:spPr>
        <a:xfrm>
          <a:off x="16764000" y="4106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225</xdr:row>
      <xdr:rowOff>0</xdr:rowOff>
    </xdr:from>
    <xdr:to>
      <xdr:col>39</xdr:col>
      <xdr:colOff>83820</xdr:colOff>
      <xdr:row>225</xdr:row>
      <xdr:rowOff>114300</xdr:rowOff>
    </xdr:to>
    <xdr:sp macro="" textlink="">
      <xdr:nvSpPr>
        <xdr:cNvPr id="1728" name="Arrow: Down 1727">
          <a:extLst>
            <a:ext uri="{FF2B5EF4-FFF2-40B4-BE49-F238E27FC236}">
              <a16:creationId xmlns:a16="http://schemas.microsoft.com/office/drawing/2014/main" id="{F3A5DADB-7601-4E21-A127-000CD32173B3}"/>
            </a:ext>
          </a:extLst>
        </xdr:cNvPr>
        <xdr:cNvSpPr/>
      </xdr:nvSpPr>
      <xdr:spPr>
        <a:xfrm>
          <a:off x="9639300" y="4124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226</xdr:row>
      <xdr:rowOff>0</xdr:rowOff>
    </xdr:from>
    <xdr:to>
      <xdr:col>5</xdr:col>
      <xdr:colOff>83820</xdr:colOff>
      <xdr:row>226</xdr:row>
      <xdr:rowOff>114300</xdr:rowOff>
    </xdr:to>
    <xdr:sp macro="" textlink="">
      <xdr:nvSpPr>
        <xdr:cNvPr id="1731" name="Arrow: Down 1730">
          <a:extLst>
            <a:ext uri="{FF2B5EF4-FFF2-40B4-BE49-F238E27FC236}">
              <a16:creationId xmlns:a16="http://schemas.microsoft.com/office/drawing/2014/main" id="{92206866-77FC-4466-821D-F8C49CD0952B}"/>
            </a:ext>
          </a:extLst>
        </xdr:cNvPr>
        <xdr:cNvSpPr/>
      </xdr:nvSpPr>
      <xdr:spPr>
        <a:xfrm rot="10800000">
          <a:off x="1927860" y="4124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226</xdr:row>
      <xdr:rowOff>0</xdr:rowOff>
    </xdr:from>
    <xdr:to>
      <xdr:col>11</xdr:col>
      <xdr:colOff>83820</xdr:colOff>
      <xdr:row>226</xdr:row>
      <xdr:rowOff>114300</xdr:rowOff>
    </xdr:to>
    <xdr:sp macro="" textlink="">
      <xdr:nvSpPr>
        <xdr:cNvPr id="1732" name="Arrow: Down 1731">
          <a:extLst>
            <a:ext uri="{FF2B5EF4-FFF2-40B4-BE49-F238E27FC236}">
              <a16:creationId xmlns:a16="http://schemas.microsoft.com/office/drawing/2014/main" id="{E511F272-4E6C-4BE1-8F31-F67A72DCA449}"/>
            </a:ext>
          </a:extLst>
        </xdr:cNvPr>
        <xdr:cNvSpPr/>
      </xdr:nvSpPr>
      <xdr:spPr>
        <a:xfrm rot="10800000">
          <a:off x="3619500" y="4124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226</xdr:row>
      <xdr:rowOff>0</xdr:rowOff>
    </xdr:from>
    <xdr:to>
      <xdr:col>60</xdr:col>
      <xdr:colOff>83820</xdr:colOff>
      <xdr:row>226</xdr:row>
      <xdr:rowOff>114300</xdr:rowOff>
    </xdr:to>
    <xdr:sp macro="" textlink="">
      <xdr:nvSpPr>
        <xdr:cNvPr id="1735" name="Arrow: Down 1734">
          <a:extLst>
            <a:ext uri="{FF2B5EF4-FFF2-40B4-BE49-F238E27FC236}">
              <a16:creationId xmlns:a16="http://schemas.microsoft.com/office/drawing/2014/main" id="{FCFA5F7B-0E61-4005-99DE-9F59F4BD9E24}"/>
            </a:ext>
          </a:extLst>
        </xdr:cNvPr>
        <xdr:cNvSpPr/>
      </xdr:nvSpPr>
      <xdr:spPr>
        <a:xfrm>
          <a:off x="16764000" y="4124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225</xdr:row>
      <xdr:rowOff>0</xdr:rowOff>
    </xdr:from>
    <xdr:to>
      <xdr:col>24</xdr:col>
      <xdr:colOff>83820</xdr:colOff>
      <xdr:row>225</xdr:row>
      <xdr:rowOff>114300</xdr:rowOff>
    </xdr:to>
    <xdr:sp macro="" textlink="">
      <xdr:nvSpPr>
        <xdr:cNvPr id="1737" name="Arrow: Down 1736">
          <a:extLst>
            <a:ext uri="{FF2B5EF4-FFF2-40B4-BE49-F238E27FC236}">
              <a16:creationId xmlns:a16="http://schemas.microsoft.com/office/drawing/2014/main" id="{20452302-CDF2-45C7-8753-D5BB426A8B2C}"/>
            </a:ext>
          </a:extLst>
        </xdr:cNvPr>
        <xdr:cNvSpPr/>
      </xdr:nvSpPr>
      <xdr:spPr>
        <a:xfrm>
          <a:off x="6477000" y="4124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226</xdr:row>
      <xdr:rowOff>0</xdr:rowOff>
    </xdr:from>
    <xdr:to>
      <xdr:col>24</xdr:col>
      <xdr:colOff>83820</xdr:colOff>
      <xdr:row>226</xdr:row>
      <xdr:rowOff>114300</xdr:rowOff>
    </xdr:to>
    <xdr:sp macro="" textlink="">
      <xdr:nvSpPr>
        <xdr:cNvPr id="1738" name="Arrow: Down 1737">
          <a:extLst>
            <a:ext uri="{FF2B5EF4-FFF2-40B4-BE49-F238E27FC236}">
              <a16:creationId xmlns:a16="http://schemas.microsoft.com/office/drawing/2014/main" id="{448CBB72-246B-4EF5-ABF8-30C98C836619}"/>
            </a:ext>
          </a:extLst>
        </xdr:cNvPr>
        <xdr:cNvSpPr/>
      </xdr:nvSpPr>
      <xdr:spPr>
        <a:xfrm>
          <a:off x="6477000" y="4142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227</xdr:row>
      <xdr:rowOff>0</xdr:rowOff>
    </xdr:from>
    <xdr:to>
      <xdr:col>24</xdr:col>
      <xdr:colOff>83820</xdr:colOff>
      <xdr:row>227</xdr:row>
      <xdr:rowOff>114300</xdr:rowOff>
    </xdr:to>
    <xdr:sp macro="" textlink="">
      <xdr:nvSpPr>
        <xdr:cNvPr id="1754" name="Arrow: Down 1753">
          <a:extLst>
            <a:ext uri="{FF2B5EF4-FFF2-40B4-BE49-F238E27FC236}">
              <a16:creationId xmlns:a16="http://schemas.microsoft.com/office/drawing/2014/main" id="{454CD494-C2DE-40EC-BA01-E33B7801DABC}"/>
            </a:ext>
          </a:extLst>
        </xdr:cNvPr>
        <xdr:cNvSpPr/>
      </xdr:nvSpPr>
      <xdr:spPr>
        <a:xfrm>
          <a:off x="6477000" y="4142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227</xdr:row>
      <xdr:rowOff>0</xdr:rowOff>
    </xdr:from>
    <xdr:to>
      <xdr:col>60</xdr:col>
      <xdr:colOff>83820</xdr:colOff>
      <xdr:row>227</xdr:row>
      <xdr:rowOff>114300</xdr:rowOff>
    </xdr:to>
    <xdr:sp macro="" textlink="">
      <xdr:nvSpPr>
        <xdr:cNvPr id="1756" name="Arrow: Down 1755">
          <a:extLst>
            <a:ext uri="{FF2B5EF4-FFF2-40B4-BE49-F238E27FC236}">
              <a16:creationId xmlns:a16="http://schemas.microsoft.com/office/drawing/2014/main" id="{C8157AE4-A675-422E-A0E4-DF8B7E4A1385}"/>
            </a:ext>
          </a:extLst>
        </xdr:cNvPr>
        <xdr:cNvSpPr/>
      </xdr:nvSpPr>
      <xdr:spPr>
        <a:xfrm rot="10800000">
          <a:off x="16764000" y="4161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227</xdr:row>
      <xdr:rowOff>0</xdr:rowOff>
    </xdr:from>
    <xdr:to>
      <xdr:col>71</xdr:col>
      <xdr:colOff>83820</xdr:colOff>
      <xdr:row>227</xdr:row>
      <xdr:rowOff>114300</xdr:rowOff>
    </xdr:to>
    <xdr:sp macro="" textlink="">
      <xdr:nvSpPr>
        <xdr:cNvPr id="1758" name="Arrow: Down 1757">
          <a:extLst>
            <a:ext uri="{FF2B5EF4-FFF2-40B4-BE49-F238E27FC236}">
              <a16:creationId xmlns:a16="http://schemas.microsoft.com/office/drawing/2014/main" id="{3A2ADDEF-440A-4B20-84C9-927E33D282A1}"/>
            </a:ext>
          </a:extLst>
        </xdr:cNvPr>
        <xdr:cNvSpPr/>
      </xdr:nvSpPr>
      <xdr:spPr>
        <a:xfrm rot="10800000">
          <a:off x="19118580" y="4161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226</xdr:row>
      <xdr:rowOff>0</xdr:rowOff>
    </xdr:from>
    <xdr:to>
      <xdr:col>71</xdr:col>
      <xdr:colOff>83820</xdr:colOff>
      <xdr:row>226</xdr:row>
      <xdr:rowOff>114300</xdr:rowOff>
    </xdr:to>
    <xdr:sp macro="" textlink="">
      <xdr:nvSpPr>
        <xdr:cNvPr id="1759" name="Arrow: Down 1758">
          <a:extLst>
            <a:ext uri="{FF2B5EF4-FFF2-40B4-BE49-F238E27FC236}">
              <a16:creationId xmlns:a16="http://schemas.microsoft.com/office/drawing/2014/main" id="{2369A2B8-98A9-49A8-A88A-8F531F11A01F}"/>
            </a:ext>
          </a:extLst>
        </xdr:cNvPr>
        <xdr:cNvSpPr/>
      </xdr:nvSpPr>
      <xdr:spPr>
        <a:xfrm rot="10800000">
          <a:off x="19118580" y="41429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227</xdr:row>
      <xdr:rowOff>0</xdr:rowOff>
    </xdr:from>
    <xdr:to>
      <xdr:col>5</xdr:col>
      <xdr:colOff>83820</xdr:colOff>
      <xdr:row>227</xdr:row>
      <xdr:rowOff>114300</xdr:rowOff>
    </xdr:to>
    <xdr:sp macro="" textlink="">
      <xdr:nvSpPr>
        <xdr:cNvPr id="1760" name="Arrow: Down 1759">
          <a:extLst>
            <a:ext uri="{FF2B5EF4-FFF2-40B4-BE49-F238E27FC236}">
              <a16:creationId xmlns:a16="http://schemas.microsoft.com/office/drawing/2014/main" id="{1EAC9574-9D79-44F8-A600-3717F5EDD3DC}"/>
            </a:ext>
          </a:extLst>
        </xdr:cNvPr>
        <xdr:cNvSpPr/>
      </xdr:nvSpPr>
      <xdr:spPr>
        <a:xfrm>
          <a:off x="192786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227</xdr:row>
      <xdr:rowOff>0</xdr:rowOff>
    </xdr:from>
    <xdr:to>
      <xdr:col>11</xdr:col>
      <xdr:colOff>83820</xdr:colOff>
      <xdr:row>227</xdr:row>
      <xdr:rowOff>114300</xdr:rowOff>
    </xdr:to>
    <xdr:sp macro="" textlink="">
      <xdr:nvSpPr>
        <xdr:cNvPr id="1761" name="Arrow: Down 1760">
          <a:extLst>
            <a:ext uri="{FF2B5EF4-FFF2-40B4-BE49-F238E27FC236}">
              <a16:creationId xmlns:a16="http://schemas.microsoft.com/office/drawing/2014/main" id="{D40371BF-0F33-487F-A66C-348317F2164D}"/>
            </a:ext>
          </a:extLst>
        </xdr:cNvPr>
        <xdr:cNvSpPr/>
      </xdr:nvSpPr>
      <xdr:spPr>
        <a:xfrm>
          <a:off x="361950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227</xdr:row>
      <xdr:rowOff>0</xdr:rowOff>
    </xdr:from>
    <xdr:to>
      <xdr:col>39</xdr:col>
      <xdr:colOff>83820</xdr:colOff>
      <xdr:row>227</xdr:row>
      <xdr:rowOff>114300</xdr:rowOff>
    </xdr:to>
    <xdr:sp macro="" textlink="">
      <xdr:nvSpPr>
        <xdr:cNvPr id="1763" name="Arrow: Down 1762">
          <a:extLst>
            <a:ext uri="{FF2B5EF4-FFF2-40B4-BE49-F238E27FC236}">
              <a16:creationId xmlns:a16="http://schemas.microsoft.com/office/drawing/2014/main" id="{F77A3161-959A-4E92-8ADF-003317B932B3}"/>
            </a:ext>
          </a:extLst>
        </xdr:cNvPr>
        <xdr:cNvSpPr/>
      </xdr:nvSpPr>
      <xdr:spPr>
        <a:xfrm rot="10800000">
          <a:off x="963930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228</xdr:row>
      <xdr:rowOff>0</xdr:rowOff>
    </xdr:from>
    <xdr:to>
      <xdr:col>24</xdr:col>
      <xdr:colOff>83820</xdr:colOff>
      <xdr:row>228</xdr:row>
      <xdr:rowOff>114300</xdr:rowOff>
    </xdr:to>
    <xdr:sp macro="" textlink="">
      <xdr:nvSpPr>
        <xdr:cNvPr id="1766" name="Arrow: Down 1765">
          <a:extLst>
            <a:ext uri="{FF2B5EF4-FFF2-40B4-BE49-F238E27FC236}">
              <a16:creationId xmlns:a16="http://schemas.microsoft.com/office/drawing/2014/main" id="{8FCEAB2B-8615-4D71-9916-D9185361E16B}"/>
            </a:ext>
          </a:extLst>
        </xdr:cNvPr>
        <xdr:cNvSpPr/>
      </xdr:nvSpPr>
      <xdr:spPr>
        <a:xfrm>
          <a:off x="647700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228</xdr:row>
      <xdr:rowOff>0</xdr:rowOff>
    </xdr:from>
    <xdr:to>
      <xdr:col>5</xdr:col>
      <xdr:colOff>83820</xdr:colOff>
      <xdr:row>228</xdr:row>
      <xdr:rowOff>114300</xdr:rowOff>
    </xdr:to>
    <xdr:sp macro="" textlink="">
      <xdr:nvSpPr>
        <xdr:cNvPr id="1769" name="Arrow: Down 1768">
          <a:extLst>
            <a:ext uri="{FF2B5EF4-FFF2-40B4-BE49-F238E27FC236}">
              <a16:creationId xmlns:a16="http://schemas.microsoft.com/office/drawing/2014/main" id="{8B23BD62-2794-4363-A353-E5A10B82EBE6}"/>
            </a:ext>
          </a:extLst>
        </xdr:cNvPr>
        <xdr:cNvSpPr/>
      </xdr:nvSpPr>
      <xdr:spPr>
        <a:xfrm>
          <a:off x="192786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228</xdr:row>
      <xdr:rowOff>0</xdr:rowOff>
    </xdr:from>
    <xdr:to>
      <xdr:col>11</xdr:col>
      <xdr:colOff>83820</xdr:colOff>
      <xdr:row>228</xdr:row>
      <xdr:rowOff>114300</xdr:rowOff>
    </xdr:to>
    <xdr:sp macro="" textlink="">
      <xdr:nvSpPr>
        <xdr:cNvPr id="1770" name="Arrow: Down 1769">
          <a:extLst>
            <a:ext uri="{FF2B5EF4-FFF2-40B4-BE49-F238E27FC236}">
              <a16:creationId xmlns:a16="http://schemas.microsoft.com/office/drawing/2014/main" id="{A890B02A-E939-43F4-A1D1-D110BFA92BE8}"/>
            </a:ext>
          </a:extLst>
        </xdr:cNvPr>
        <xdr:cNvSpPr/>
      </xdr:nvSpPr>
      <xdr:spPr>
        <a:xfrm>
          <a:off x="3619500" y="4161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228</xdr:row>
      <xdr:rowOff>0</xdr:rowOff>
    </xdr:from>
    <xdr:to>
      <xdr:col>60</xdr:col>
      <xdr:colOff>83820</xdr:colOff>
      <xdr:row>228</xdr:row>
      <xdr:rowOff>114300</xdr:rowOff>
    </xdr:to>
    <xdr:sp macro="" textlink="">
      <xdr:nvSpPr>
        <xdr:cNvPr id="1773" name="Arrow: Down 1772">
          <a:extLst>
            <a:ext uri="{FF2B5EF4-FFF2-40B4-BE49-F238E27FC236}">
              <a16:creationId xmlns:a16="http://schemas.microsoft.com/office/drawing/2014/main" id="{FB3449BF-3F8F-4897-B95C-365C86F2ECFE}"/>
            </a:ext>
          </a:extLst>
        </xdr:cNvPr>
        <xdr:cNvSpPr/>
      </xdr:nvSpPr>
      <xdr:spPr>
        <a:xfrm>
          <a:off x="16764000" y="4179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228</xdr:row>
      <xdr:rowOff>0</xdr:rowOff>
    </xdr:from>
    <xdr:to>
      <xdr:col>71</xdr:col>
      <xdr:colOff>83820</xdr:colOff>
      <xdr:row>228</xdr:row>
      <xdr:rowOff>114300</xdr:rowOff>
    </xdr:to>
    <xdr:sp macro="" textlink="">
      <xdr:nvSpPr>
        <xdr:cNvPr id="1775" name="Arrow: Down 1774">
          <a:extLst>
            <a:ext uri="{FF2B5EF4-FFF2-40B4-BE49-F238E27FC236}">
              <a16:creationId xmlns:a16="http://schemas.microsoft.com/office/drawing/2014/main" id="{6C543EB3-D082-4382-BC4D-EA1B498FA0D1}"/>
            </a:ext>
          </a:extLst>
        </xdr:cNvPr>
        <xdr:cNvSpPr/>
      </xdr:nvSpPr>
      <xdr:spPr>
        <a:xfrm>
          <a:off x="19118580" y="4179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226</xdr:row>
      <xdr:rowOff>0</xdr:rowOff>
    </xdr:from>
    <xdr:to>
      <xdr:col>39</xdr:col>
      <xdr:colOff>83820</xdr:colOff>
      <xdr:row>226</xdr:row>
      <xdr:rowOff>114300</xdr:rowOff>
    </xdr:to>
    <xdr:sp macro="" textlink="">
      <xdr:nvSpPr>
        <xdr:cNvPr id="1779" name="Arrow: Down 1778">
          <a:extLst>
            <a:ext uri="{FF2B5EF4-FFF2-40B4-BE49-F238E27FC236}">
              <a16:creationId xmlns:a16="http://schemas.microsoft.com/office/drawing/2014/main" id="{FBFB07FD-A522-4507-AFB3-C372E53A2FB0}"/>
            </a:ext>
          </a:extLst>
        </xdr:cNvPr>
        <xdr:cNvSpPr/>
      </xdr:nvSpPr>
      <xdr:spPr>
        <a:xfrm>
          <a:off x="9639300" y="41429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228</xdr:row>
      <xdr:rowOff>0</xdr:rowOff>
    </xdr:from>
    <xdr:to>
      <xdr:col>39</xdr:col>
      <xdr:colOff>83820</xdr:colOff>
      <xdr:row>228</xdr:row>
      <xdr:rowOff>114300</xdr:rowOff>
    </xdr:to>
    <xdr:sp macro="" textlink="">
      <xdr:nvSpPr>
        <xdr:cNvPr id="1780" name="Arrow: Down 1779">
          <a:extLst>
            <a:ext uri="{FF2B5EF4-FFF2-40B4-BE49-F238E27FC236}">
              <a16:creationId xmlns:a16="http://schemas.microsoft.com/office/drawing/2014/main" id="{129AD411-0416-4747-87DE-7AB5761CC824}"/>
            </a:ext>
          </a:extLst>
        </xdr:cNvPr>
        <xdr:cNvSpPr/>
      </xdr:nvSpPr>
      <xdr:spPr>
        <a:xfrm>
          <a:off x="9639300" y="4179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226</xdr:row>
      <xdr:rowOff>0</xdr:rowOff>
    </xdr:from>
    <xdr:to>
      <xdr:col>45</xdr:col>
      <xdr:colOff>83820</xdr:colOff>
      <xdr:row>226</xdr:row>
      <xdr:rowOff>114300</xdr:rowOff>
    </xdr:to>
    <xdr:sp macro="" textlink="">
      <xdr:nvSpPr>
        <xdr:cNvPr id="1781" name="Arrow: Down 1780">
          <a:extLst>
            <a:ext uri="{FF2B5EF4-FFF2-40B4-BE49-F238E27FC236}">
              <a16:creationId xmlns:a16="http://schemas.microsoft.com/office/drawing/2014/main" id="{69B4E806-AE22-4D1D-9D32-67817A256021}"/>
            </a:ext>
          </a:extLst>
        </xdr:cNvPr>
        <xdr:cNvSpPr/>
      </xdr:nvSpPr>
      <xdr:spPr>
        <a:xfrm>
          <a:off x="11445240" y="41429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227</xdr:row>
      <xdr:rowOff>0</xdr:rowOff>
    </xdr:from>
    <xdr:to>
      <xdr:col>45</xdr:col>
      <xdr:colOff>83820</xdr:colOff>
      <xdr:row>227</xdr:row>
      <xdr:rowOff>114300</xdr:rowOff>
    </xdr:to>
    <xdr:sp macro="" textlink="">
      <xdr:nvSpPr>
        <xdr:cNvPr id="1783" name="Arrow: Down 1782">
          <a:extLst>
            <a:ext uri="{FF2B5EF4-FFF2-40B4-BE49-F238E27FC236}">
              <a16:creationId xmlns:a16="http://schemas.microsoft.com/office/drawing/2014/main" id="{679F80B3-FE7F-4932-AE36-07C39994C29C}"/>
            </a:ext>
          </a:extLst>
        </xdr:cNvPr>
        <xdr:cNvSpPr/>
      </xdr:nvSpPr>
      <xdr:spPr>
        <a:xfrm>
          <a:off x="11445240" y="4161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228</xdr:row>
      <xdr:rowOff>0</xdr:rowOff>
    </xdr:from>
    <xdr:to>
      <xdr:col>45</xdr:col>
      <xdr:colOff>83820</xdr:colOff>
      <xdr:row>228</xdr:row>
      <xdr:rowOff>114300</xdr:rowOff>
    </xdr:to>
    <xdr:sp macro="" textlink="">
      <xdr:nvSpPr>
        <xdr:cNvPr id="1785" name="Arrow: Down 1784">
          <a:extLst>
            <a:ext uri="{FF2B5EF4-FFF2-40B4-BE49-F238E27FC236}">
              <a16:creationId xmlns:a16="http://schemas.microsoft.com/office/drawing/2014/main" id="{644186F7-05BE-4B66-8065-897B33D29502}"/>
            </a:ext>
          </a:extLst>
        </xdr:cNvPr>
        <xdr:cNvSpPr/>
      </xdr:nvSpPr>
      <xdr:spPr>
        <a:xfrm>
          <a:off x="11445240" y="4179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229</xdr:row>
      <xdr:rowOff>0</xdr:rowOff>
    </xdr:from>
    <xdr:to>
      <xdr:col>60</xdr:col>
      <xdr:colOff>83820</xdr:colOff>
      <xdr:row>229</xdr:row>
      <xdr:rowOff>114300</xdr:rowOff>
    </xdr:to>
    <xdr:sp macro="" textlink="">
      <xdr:nvSpPr>
        <xdr:cNvPr id="1683" name="Arrow: Down 1682">
          <a:extLst>
            <a:ext uri="{FF2B5EF4-FFF2-40B4-BE49-F238E27FC236}">
              <a16:creationId xmlns:a16="http://schemas.microsoft.com/office/drawing/2014/main" id="{F15B3C6E-2E98-4492-A4E1-4261FD8C1DE5}"/>
            </a:ext>
          </a:extLst>
        </xdr:cNvPr>
        <xdr:cNvSpPr/>
      </xdr:nvSpPr>
      <xdr:spPr>
        <a:xfrm>
          <a:off x="16764000" y="4179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229</xdr:row>
      <xdr:rowOff>0</xdr:rowOff>
    </xdr:from>
    <xdr:to>
      <xdr:col>71</xdr:col>
      <xdr:colOff>83820</xdr:colOff>
      <xdr:row>229</xdr:row>
      <xdr:rowOff>114300</xdr:rowOff>
    </xdr:to>
    <xdr:sp macro="" textlink="">
      <xdr:nvSpPr>
        <xdr:cNvPr id="1689" name="Arrow: Down 1688">
          <a:extLst>
            <a:ext uri="{FF2B5EF4-FFF2-40B4-BE49-F238E27FC236}">
              <a16:creationId xmlns:a16="http://schemas.microsoft.com/office/drawing/2014/main" id="{41F9094E-C1D0-4141-94BE-EB7B56E6780E}"/>
            </a:ext>
          </a:extLst>
        </xdr:cNvPr>
        <xdr:cNvSpPr/>
      </xdr:nvSpPr>
      <xdr:spPr>
        <a:xfrm>
          <a:off x="20787360" y="4179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229</xdr:row>
      <xdr:rowOff>0</xdr:rowOff>
    </xdr:from>
    <xdr:to>
      <xdr:col>45</xdr:col>
      <xdr:colOff>83820</xdr:colOff>
      <xdr:row>229</xdr:row>
      <xdr:rowOff>114300</xdr:rowOff>
    </xdr:to>
    <xdr:sp macro="" textlink="">
      <xdr:nvSpPr>
        <xdr:cNvPr id="1700" name="Arrow: Down 1699">
          <a:extLst>
            <a:ext uri="{FF2B5EF4-FFF2-40B4-BE49-F238E27FC236}">
              <a16:creationId xmlns:a16="http://schemas.microsoft.com/office/drawing/2014/main" id="{AF56E1EB-155C-403D-904D-F5E54ECFEB32}"/>
            </a:ext>
          </a:extLst>
        </xdr:cNvPr>
        <xdr:cNvSpPr/>
      </xdr:nvSpPr>
      <xdr:spPr>
        <a:xfrm rot="10800000">
          <a:off x="11445240" y="4197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229</xdr:row>
      <xdr:rowOff>0</xdr:rowOff>
    </xdr:from>
    <xdr:to>
      <xdr:col>39</xdr:col>
      <xdr:colOff>83820</xdr:colOff>
      <xdr:row>229</xdr:row>
      <xdr:rowOff>114300</xdr:rowOff>
    </xdr:to>
    <xdr:sp macro="" textlink="">
      <xdr:nvSpPr>
        <xdr:cNvPr id="1722" name="Arrow: Down 1721">
          <a:extLst>
            <a:ext uri="{FF2B5EF4-FFF2-40B4-BE49-F238E27FC236}">
              <a16:creationId xmlns:a16="http://schemas.microsoft.com/office/drawing/2014/main" id="{5FD4F350-2C5E-4E74-80E7-9F29D5DB34EC}"/>
            </a:ext>
          </a:extLst>
        </xdr:cNvPr>
        <xdr:cNvSpPr/>
      </xdr:nvSpPr>
      <xdr:spPr>
        <a:xfrm rot="10800000">
          <a:off x="9639300" y="4197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229</xdr:row>
      <xdr:rowOff>0</xdr:rowOff>
    </xdr:from>
    <xdr:to>
      <xdr:col>24</xdr:col>
      <xdr:colOff>83820</xdr:colOff>
      <xdr:row>229</xdr:row>
      <xdr:rowOff>114300</xdr:rowOff>
    </xdr:to>
    <xdr:sp macro="" textlink="">
      <xdr:nvSpPr>
        <xdr:cNvPr id="1726" name="Arrow: Down 1725">
          <a:extLst>
            <a:ext uri="{FF2B5EF4-FFF2-40B4-BE49-F238E27FC236}">
              <a16:creationId xmlns:a16="http://schemas.microsoft.com/office/drawing/2014/main" id="{17A33DE6-2359-4B7F-B470-FB7C570598EB}"/>
            </a:ext>
          </a:extLst>
        </xdr:cNvPr>
        <xdr:cNvSpPr/>
      </xdr:nvSpPr>
      <xdr:spPr>
        <a:xfrm rot="10800000">
          <a:off x="647700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229</xdr:row>
      <xdr:rowOff>0</xdr:rowOff>
    </xdr:from>
    <xdr:to>
      <xdr:col>11</xdr:col>
      <xdr:colOff>83820</xdr:colOff>
      <xdr:row>229</xdr:row>
      <xdr:rowOff>114300</xdr:rowOff>
    </xdr:to>
    <xdr:sp macro="" textlink="">
      <xdr:nvSpPr>
        <xdr:cNvPr id="1729" name="Arrow: Down 1728">
          <a:extLst>
            <a:ext uri="{FF2B5EF4-FFF2-40B4-BE49-F238E27FC236}">
              <a16:creationId xmlns:a16="http://schemas.microsoft.com/office/drawing/2014/main" id="{0A42A0DB-D807-4440-921A-82DA089A2BAA}"/>
            </a:ext>
          </a:extLst>
        </xdr:cNvPr>
        <xdr:cNvSpPr/>
      </xdr:nvSpPr>
      <xdr:spPr>
        <a:xfrm rot="10800000">
          <a:off x="361950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229</xdr:row>
      <xdr:rowOff>0</xdr:rowOff>
    </xdr:from>
    <xdr:to>
      <xdr:col>5</xdr:col>
      <xdr:colOff>83820</xdr:colOff>
      <xdr:row>229</xdr:row>
      <xdr:rowOff>114300</xdr:rowOff>
    </xdr:to>
    <xdr:sp macro="" textlink="">
      <xdr:nvSpPr>
        <xdr:cNvPr id="1733" name="Arrow: Down 1732">
          <a:extLst>
            <a:ext uri="{FF2B5EF4-FFF2-40B4-BE49-F238E27FC236}">
              <a16:creationId xmlns:a16="http://schemas.microsoft.com/office/drawing/2014/main" id="{99EEAABE-CFD5-47C3-A5D9-53BE3CCCDB40}"/>
            </a:ext>
          </a:extLst>
        </xdr:cNvPr>
        <xdr:cNvSpPr/>
      </xdr:nvSpPr>
      <xdr:spPr>
        <a:xfrm rot="10800000">
          <a:off x="192786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230</xdr:row>
      <xdr:rowOff>0</xdr:rowOff>
    </xdr:from>
    <xdr:to>
      <xdr:col>24</xdr:col>
      <xdr:colOff>83820</xdr:colOff>
      <xdr:row>230</xdr:row>
      <xdr:rowOff>114300</xdr:rowOff>
    </xdr:to>
    <xdr:sp macro="" textlink="">
      <xdr:nvSpPr>
        <xdr:cNvPr id="1741" name="Arrow: Down 1740">
          <a:extLst>
            <a:ext uri="{FF2B5EF4-FFF2-40B4-BE49-F238E27FC236}">
              <a16:creationId xmlns:a16="http://schemas.microsoft.com/office/drawing/2014/main" id="{B99C91F4-5582-43B6-8A37-072A9840711C}"/>
            </a:ext>
          </a:extLst>
        </xdr:cNvPr>
        <xdr:cNvSpPr/>
      </xdr:nvSpPr>
      <xdr:spPr>
        <a:xfrm rot="10800000">
          <a:off x="647700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230</xdr:row>
      <xdr:rowOff>0</xdr:rowOff>
    </xdr:from>
    <xdr:to>
      <xdr:col>11</xdr:col>
      <xdr:colOff>83820</xdr:colOff>
      <xdr:row>230</xdr:row>
      <xdr:rowOff>114300</xdr:rowOff>
    </xdr:to>
    <xdr:sp macro="" textlink="">
      <xdr:nvSpPr>
        <xdr:cNvPr id="1742" name="Arrow: Down 1741">
          <a:extLst>
            <a:ext uri="{FF2B5EF4-FFF2-40B4-BE49-F238E27FC236}">
              <a16:creationId xmlns:a16="http://schemas.microsoft.com/office/drawing/2014/main" id="{56B4DB23-10CA-4F1E-AB77-483C48E70830}"/>
            </a:ext>
          </a:extLst>
        </xdr:cNvPr>
        <xdr:cNvSpPr/>
      </xdr:nvSpPr>
      <xdr:spPr>
        <a:xfrm rot="10800000">
          <a:off x="361950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230</xdr:row>
      <xdr:rowOff>0</xdr:rowOff>
    </xdr:from>
    <xdr:to>
      <xdr:col>5</xdr:col>
      <xdr:colOff>83820</xdr:colOff>
      <xdr:row>230</xdr:row>
      <xdr:rowOff>114300</xdr:rowOff>
    </xdr:to>
    <xdr:sp macro="" textlink="">
      <xdr:nvSpPr>
        <xdr:cNvPr id="1743" name="Arrow: Down 1742">
          <a:extLst>
            <a:ext uri="{FF2B5EF4-FFF2-40B4-BE49-F238E27FC236}">
              <a16:creationId xmlns:a16="http://schemas.microsoft.com/office/drawing/2014/main" id="{59C422A8-EFC6-4F39-B313-CB2E4E9AF86C}"/>
            </a:ext>
          </a:extLst>
        </xdr:cNvPr>
        <xdr:cNvSpPr/>
      </xdr:nvSpPr>
      <xdr:spPr>
        <a:xfrm rot="10800000">
          <a:off x="1927860" y="4197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230</xdr:row>
      <xdr:rowOff>0</xdr:rowOff>
    </xdr:from>
    <xdr:to>
      <xdr:col>39</xdr:col>
      <xdr:colOff>83820</xdr:colOff>
      <xdr:row>230</xdr:row>
      <xdr:rowOff>114300</xdr:rowOff>
    </xdr:to>
    <xdr:sp macro="" textlink="">
      <xdr:nvSpPr>
        <xdr:cNvPr id="1745" name="Arrow: Down 1744">
          <a:extLst>
            <a:ext uri="{FF2B5EF4-FFF2-40B4-BE49-F238E27FC236}">
              <a16:creationId xmlns:a16="http://schemas.microsoft.com/office/drawing/2014/main" id="{8060F17D-325E-48B3-B110-492FC8B6A50A}"/>
            </a:ext>
          </a:extLst>
        </xdr:cNvPr>
        <xdr:cNvSpPr/>
      </xdr:nvSpPr>
      <xdr:spPr>
        <a:xfrm>
          <a:off x="963930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230</xdr:row>
      <xdr:rowOff>0</xdr:rowOff>
    </xdr:from>
    <xdr:to>
      <xdr:col>71</xdr:col>
      <xdr:colOff>83820</xdr:colOff>
      <xdr:row>230</xdr:row>
      <xdr:rowOff>114300</xdr:rowOff>
    </xdr:to>
    <xdr:sp macro="" textlink="">
      <xdr:nvSpPr>
        <xdr:cNvPr id="1747" name="Arrow: Down 1746">
          <a:extLst>
            <a:ext uri="{FF2B5EF4-FFF2-40B4-BE49-F238E27FC236}">
              <a16:creationId xmlns:a16="http://schemas.microsoft.com/office/drawing/2014/main" id="{152D33C7-3FF4-4ED5-97CE-3FBE8439A768}"/>
            </a:ext>
          </a:extLst>
        </xdr:cNvPr>
        <xdr:cNvSpPr/>
      </xdr:nvSpPr>
      <xdr:spPr>
        <a:xfrm rot="10800000">
          <a:off x="1911858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230</xdr:row>
      <xdr:rowOff>0</xdr:rowOff>
    </xdr:from>
    <xdr:to>
      <xdr:col>60</xdr:col>
      <xdr:colOff>83820</xdr:colOff>
      <xdr:row>230</xdr:row>
      <xdr:rowOff>114300</xdr:rowOff>
    </xdr:to>
    <xdr:sp macro="" textlink="">
      <xdr:nvSpPr>
        <xdr:cNvPr id="1748" name="Arrow: Down 1747">
          <a:extLst>
            <a:ext uri="{FF2B5EF4-FFF2-40B4-BE49-F238E27FC236}">
              <a16:creationId xmlns:a16="http://schemas.microsoft.com/office/drawing/2014/main" id="{554AA228-C141-4C54-8AE2-AE078CCD5EBA}"/>
            </a:ext>
          </a:extLst>
        </xdr:cNvPr>
        <xdr:cNvSpPr/>
      </xdr:nvSpPr>
      <xdr:spPr>
        <a:xfrm rot="10800000">
          <a:off x="1676400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230</xdr:row>
      <xdr:rowOff>0</xdr:rowOff>
    </xdr:from>
    <xdr:to>
      <xdr:col>45</xdr:col>
      <xdr:colOff>83820</xdr:colOff>
      <xdr:row>230</xdr:row>
      <xdr:rowOff>114300</xdr:rowOff>
    </xdr:to>
    <xdr:sp macro="" textlink="">
      <xdr:nvSpPr>
        <xdr:cNvPr id="1749" name="Arrow: Down 1748">
          <a:extLst>
            <a:ext uri="{FF2B5EF4-FFF2-40B4-BE49-F238E27FC236}">
              <a16:creationId xmlns:a16="http://schemas.microsoft.com/office/drawing/2014/main" id="{08C1C599-48C5-4491-9C15-CC0D684997EE}"/>
            </a:ext>
          </a:extLst>
        </xdr:cNvPr>
        <xdr:cNvSpPr/>
      </xdr:nvSpPr>
      <xdr:spPr>
        <a:xfrm>
          <a:off x="1144524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83820</xdr:colOff>
      <xdr:row>231</xdr:row>
      <xdr:rowOff>114300</xdr:rowOff>
    </xdr:to>
    <xdr:sp macro="" textlink="">
      <xdr:nvSpPr>
        <xdr:cNvPr id="1751" name="Arrow: Down 1750">
          <a:extLst>
            <a:ext uri="{FF2B5EF4-FFF2-40B4-BE49-F238E27FC236}">
              <a16:creationId xmlns:a16="http://schemas.microsoft.com/office/drawing/2014/main" id="{7121D93E-D4A6-4FB4-897D-6278C9A0850C}"/>
            </a:ext>
          </a:extLst>
        </xdr:cNvPr>
        <xdr:cNvSpPr/>
      </xdr:nvSpPr>
      <xdr:spPr>
        <a:xfrm rot="10800000">
          <a:off x="361950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83820</xdr:colOff>
      <xdr:row>231</xdr:row>
      <xdr:rowOff>114300</xdr:rowOff>
    </xdr:to>
    <xdr:sp macro="" textlink="">
      <xdr:nvSpPr>
        <xdr:cNvPr id="1752" name="Arrow: Down 1751">
          <a:extLst>
            <a:ext uri="{FF2B5EF4-FFF2-40B4-BE49-F238E27FC236}">
              <a16:creationId xmlns:a16="http://schemas.microsoft.com/office/drawing/2014/main" id="{0AA1E320-E2C5-4832-8211-56A11B47C79C}"/>
            </a:ext>
          </a:extLst>
        </xdr:cNvPr>
        <xdr:cNvSpPr/>
      </xdr:nvSpPr>
      <xdr:spPr>
        <a:xfrm rot="10800000">
          <a:off x="1927860" y="4216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231</xdr:row>
      <xdr:rowOff>0</xdr:rowOff>
    </xdr:from>
    <xdr:to>
      <xdr:col>60</xdr:col>
      <xdr:colOff>83820</xdr:colOff>
      <xdr:row>231</xdr:row>
      <xdr:rowOff>114300</xdr:rowOff>
    </xdr:to>
    <xdr:sp macro="" textlink="">
      <xdr:nvSpPr>
        <xdr:cNvPr id="1765" name="Arrow: Down 1764">
          <a:extLst>
            <a:ext uri="{FF2B5EF4-FFF2-40B4-BE49-F238E27FC236}">
              <a16:creationId xmlns:a16="http://schemas.microsoft.com/office/drawing/2014/main" id="{2BC00680-E663-4B8C-AC74-4295E334B266}"/>
            </a:ext>
          </a:extLst>
        </xdr:cNvPr>
        <xdr:cNvSpPr/>
      </xdr:nvSpPr>
      <xdr:spPr>
        <a:xfrm>
          <a:off x="16764000" y="4234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231</xdr:row>
      <xdr:rowOff>0</xdr:rowOff>
    </xdr:from>
    <xdr:to>
      <xdr:col>71</xdr:col>
      <xdr:colOff>83820</xdr:colOff>
      <xdr:row>231</xdr:row>
      <xdr:rowOff>114300</xdr:rowOff>
    </xdr:to>
    <xdr:sp macro="" textlink="">
      <xdr:nvSpPr>
        <xdr:cNvPr id="1768" name="Arrow: Down 1767">
          <a:extLst>
            <a:ext uri="{FF2B5EF4-FFF2-40B4-BE49-F238E27FC236}">
              <a16:creationId xmlns:a16="http://schemas.microsoft.com/office/drawing/2014/main" id="{20E70295-04AB-4FCA-9990-8FE32F974BE7}"/>
            </a:ext>
          </a:extLst>
        </xdr:cNvPr>
        <xdr:cNvSpPr/>
      </xdr:nvSpPr>
      <xdr:spPr>
        <a:xfrm>
          <a:off x="19118580" y="4234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231</xdr:row>
      <xdr:rowOff>0</xdr:rowOff>
    </xdr:from>
    <xdr:to>
      <xdr:col>24</xdr:col>
      <xdr:colOff>83820</xdr:colOff>
      <xdr:row>231</xdr:row>
      <xdr:rowOff>114300</xdr:rowOff>
    </xdr:to>
    <xdr:sp macro="" textlink="">
      <xdr:nvSpPr>
        <xdr:cNvPr id="1772" name="Arrow: Down 1771">
          <a:extLst>
            <a:ext uri="{FF2B5EF4-FFF2-40B4-BE49-F238E27FC236}">
              <a16:creationId xmlns:a16="http://schemas.microsoft.com/office/drawing/2014/main" id="{AF313A95-4017-42FB-95F8-A56EDC2DB3B4}"/>
            </a:ext>
          </a:extLst>
        </xdr:cNvPr>
        <xdr:cNvSpPr/>
      </xdr:nvSpPr>
      <xdr:spPr>
        <a:xfrm>
          <a:off x="6477000" y="4234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231</xdr:row>
      <xdr:rowOff>0</xdr:rowOff>
    </xdr:from>
    <xdr:to>
      <xdr:col>39</xdr:col>
      <xdr:colOff>83820</xdr:colOff>
      <xdr:row>231</xdr:row>
      <xdr:rowOff>114300</xdr:rowOff>
    </xdr:to>
    <xdr:sp macro="" textlink="">
      <xdr:nvSpPr>
        <xdr:cNvPr id="1776" name="Arrow: Down 1775">
          <a:extLst>
            <a:ext uri="{FF2B5EF4-FFF2-40B4-BE49-F238E27FC236}">
              <a16:creationId xmlns:a16="http://schemas.microsoft.com/office/drawing/2014/main" id="{3BB8CDE5-A753-49FD-AE2A-A2D3840D9604}"/>
            </a:ext>
          </a:extLst>
        </xdr:cNvPr>
        <xdr:cNvSpPr/>
      </xdr:nvSpPr>
      <xdr:spPr>
        <a:xfrm rot="10800000">
          <a:off x="9639300" y="4234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231</xdr:row>
      <xdr:rowOff>0</xdr:rowOff>
    </xdr:from>
    <xdr:to>
      <xdr:col>45</xdr:col>
      <xdr:colOff>83820</xdr:colOff>
      <xdr:row>231</xdr:row>
      <xdr:rowOff>114300</xdr:rowOff>
    </xdr:to>
    <xdr:sp macro="" textlink="">
      <xdr:nvSpPr>
        <xdr:cNvPr id="1778" name="Arrow: Down 1777">
          <a:extLst>
            <a:ext uri="{FF2B5EF4-FFF2-40B4-BE49-F238E27FC236}">
              <a16:creationId xmlns:a16="http://schemas.microsoft.com/office/drawing/2014/main" id="{638A235D-C989-4A07-92B5-63545D5F4BEF}"/>
            </a:ext>
          </a:extLst>
        </xdr:cNvPr>
        <xdr:cNvSpPr/>
      </xdr:nvSpPr>
      <xdr:spPr>
        <a:xfrm rot="10800000">
          <a:off x="11445240" y="4234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232</xdr:row>
      <xdr:rowOff>0</xdr:rowOff>
    </xdr:from>
    <xdr:to>
      <xdr:col>11</xdr:col>
      <xdr:colOff>83820</xdr:colOff>
      <xdr:row>232</xdr:row>
      <xdr:rowOff>114300</xdr:rowOff>
    </xdr:to>
    <xdr:sp macro="" textlink="">
      <xdr:nvSpPr>
        <xdr:cNvPr id="1675" name="Arrow: Down 1674">
          <a:extLst>
            <a:ext uri="{FF2B5EF4-FFF2-40B4-BE49-F238E27FC236}">
              <a16:creationId xmlns:a16="http://schemas.microsoft.com/office/drawing/2014/main" id="{6D2454CB-E7D7-45CD-944F-62C5CBD5DDB9}"/>
            </a:ext>
          </a:extLst>
        </xdr:cNvPr>
        <xdr:cNvSpPr/>
      </xdr:nvSpPr>
      <xdr:spPr>
        <a:xfrm rot="10800000">
          <a:off x="3619500" y="4234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232</xdr:row>
      <xdr:rowOff>0</xdr:rowOff>
    </xdr:from>
    <xdr:to>
      <xdr:col>5</xdr:col>
      <xdr:colOff>83820</xdr:colOff>
      <xdr:row>232</xdr:row>
      <xdr:rowOff>114300</xdr:rowOff>
    </xdr:to>
    <xdr:sp macro="" textlink="">
      <xdr:nvSpPr>
        <xdr:cNvPr id="1678" name="Arrow: Down 1677">
          <a:extLst>
            <a:ext uri="{FF2B5EF4-FFF2-40B4-BE49-F238E27FC236}">
              <a16:creationId xmlns:a16="http://schemas.microsoft.com/office/drawing/2014/main" id="{5AA95851-2004-49B7-A1F9-820822F10C04}"/>
            </a:ext>
          </a:extLst>
        </xdr:cNvPr>
        <xdr:cNvSpPr/>
      </xdr:nvSpPr>
      <xdr:spPr>
        <a:xfrm rot="10800000">
          <a:off x="1927860" y="4234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232</xdr:row>
      <xdr:rowOff>0</xdr:rowOff>
    </xdr:from>
    <xdr:to>
      <xdr:col>24</xdr:col>
      <xdr:colOff>83820</xdr:colOff>
      <xdr:row>232</xdr:row>
      <xdr:rowOff>114300</xdr:rowOff>
    </xdr:to>
    <xdr:sp macro="" textlink="">
      <xdr:nvSpPr>
        <xdr:cNvPr id="1734" name="Arrow: Down 1733">
          <a:extLst>
            <a:ext uri="{FF2B5EF4-FFF2-40B4-BE49-F238E27FC236}">
              <a16:creationId xmlns:a16="http://schemas.microsoft.com/office/drawing/2014/main" id="{3366F5CD-D0D3-4748-9E34-44F5C41B41FF}"/>
            </a:ext>
          </a:extLst>
        </xdr:cNvPr>
        <xdr:cNvSpPr/>
      </xdr:nvSpPr>
      <xdr:spPr>
        <a:xfrm rot="10800000">
          <a:off x="64770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232</xdr:row>
      <xdr:rowOff>0</xdr:rowOff>
    </xdr:from>
    <xdr:to>
      <xdr:col>60</xdr:col>
      <xdr:colOff>83820</xdr:colOff>
      <xdr:row>232</xdr:row>
      <xdr:rowOff>114300</xdr:rowOff>
    </xdr:to>
    <xdr:sp macro="" textlink="">
      <xdr:nvSpPr>
        <xdr:cNvPr id="1736" name="Arrow: Down 1735">
          <a:extLst>
            <a:ext uri="{FF2B5EF4-FFF2-40B4-BE49-F238E27FC236}">
              <a16:creationId xmlns:a16="http://schemas.microsoft.com/office/drawing/2014/main" id="{2C8FD47E-9845-4A7B-90EC-A64C99574A58}"/>
            </a:ext>
          </a:extLst>
        </xdr:cNvPr>
        <xdr:cNvSpPr/>
      </xdr:nvSpPr>
      <xdr:spPr>
        <a:xfrm rot="10800000">
          <a:off x="167640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232</xdr:row>
      <xdr:rowOff>0</xdr:rowOff>
    </xdr:from>
    <xdr:to>
      <xdr:col>71</xdr:col>
      <xdr:colOff>83820</xdr:colOff>
      <xdr:row>232</xdr:row>
      <xdr:rowOff>114300</xdr:rowOff>
    </xdr:to>
    <xdr:sp macro="" textlink="">
      <xdr:nvSpPr>
        <xdr:cNvPr id="1739" name="Arrow: Down 1738">
          <a:extLst>
            <a:ext uri="{FF2B5EF4-FFF2-40B4-BE49-F238E27FC236}">
              <a16:creationId xmlns:a16="http://schemas.microsoft.com/office/drawing/2014/main" id="{D38BB2CA-DC9D-4CF4-A5BB-EE9AD3E926AE}"/>
            </a:ext>
          </a:extLst>
        </xdr:cNvPr>
        <xdr:cNvSpPr/>
      </xdr:nvSpPr>
      <xdr:spPr>
        <a:xfrm rot="10800000">
          <a:off x="1911858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232</xdr:row>
      <xdr:rowOff>0</xdr:rowOff>
    </xdr:from>
    <xdr:to>
      <xdr:col>39</xdr:col>
      <xdr:colOff>83820</xdr:colOff>
      <xdr:row>232</xdr:row>
      <xdr:rowOff>114300</xdr:rowOff>
    </xdr:to>
    <xdr:sp macro="" textlink="">
      <xdr:nvSpPr>
        <xdr:cNvPr id="1744" name="Arrow: Down 1743">
          <a:extLst>
            <a:ext uri="{FF2B5EF4-FFF2-40B4-BE49-F238E27FC236}">
              <a16:creationId xmlns:a16="http://schemas.microsoft.com/office/drawing/2014/main" id="{E8B362AC-CEA3-480D-B020-92981BABD855}"/>
            </a:ext>
          </a:extLst>
        </xdr:cNvPr>
        <xdr:cNvSpPr/>
      </xdr:nvSpPr>
      <xdr:spPr>
        <a:xfrm>
          <a:off x="96393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232</xdr:row>
      <xdr:rowOff>0</xdr:rowOff>
    </xdr:from>
    <xdr:to>
      <xdr:col>45</xdr:col>
      <xdr:colOff>83820</xdr:colOff>
      <xdr:row>232</xdr:row>
      <xdr:rowOff>114300</xdr:rowOff>
    </xdr:to>
    <xdr:sp macro="" textlink="">
      <xdr:nvSpPr>
        <xdr:cNvPr id="1750" name="Arrow: Down 1749">
          <a:extLst>
            <a:ext uri="{FF2B5EF4-FFF2-40B4-BE49-F238E27FC236}">
              <a16:creationId xmlns:a16="http://schemas.microsoft.com/office/drawing/2014/main" id="{584EEECF-8F22-47EB-9225-0156D76620D7}"/>
            </a:ext>
          </a:extLst>
        </xdr:cNvPr>
        <xdr:cNvSpPr/>
      </xdr:nvSpPr>
      <xdr:spPr>
        <a:xfrm>
          <a:off x="1144524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233</xdr:row>
      <xdr:rowOff>0</xdr:rowOff>
    </xdr:from>
    <xdr:to>
      <xdr:col>11</xdr:col>
      <xdr:colOff>83820</xdr:colOff>
      <xdr:row>233</xdr:row>
      <xdr:rowOff>114300</xdr:rowOff>
    </xdr:to>
    <xdr:sp macro="" textlink="">
      <xdr:nvSpPr>
        <xdr:cNvPr id="1774" name="Arrow: Down 1773">
          <a:extLst>
            <a:ext uri="{FF2B5EF4-FFF2-40B4-BE49-F238E27FC236}">
              <a16:creationId xmlns:a16="http://schemas.microsoft.com/office/drawing/2014/main" id="{81B58E4C-A703-4E91-8EC9-B7C4ECEF53BA}"/>
            </a:ext>
          </a:extLst>
        </xdr:cNvPr>
        <xdr:cNvSpPr/>
      </xdr:nvSpPr>
      <xdr:spPr>
        <a:xfrm rot="10800000">
          <a:off x="36195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233</xdr:row>
      <xdr:rowOff>0</xdr:rowOff>
    </xdr:from>
    <xdr:to>
      <xdr:col>5</xdr:col>
      <xdr:colOff>83820</xdr:colOff>
      <xdr:row>233</xdr:row>
      <xdr:rowOff>114300</xdr:rowOff>
    </xdr:to>
    <xdr:sp macro="" textlink="">
      <xdr:nvSpPr>
        <xdr:cNvPr id="1777" name="Arrow: Down 1776">
          <a:extLst>
            <a:ext uri="{FF2B5EF4-FFF2-40B4-BE49-F238E27FC236}">
              <a16:creationId xmlns:a16="http://schemas.microsoft.com/office/drawing/2014/main" id="{DC78A207-9346-47D0-BFD4-4B2E2085F3CD}"/>
            </a:ext>
          </a:extLst>
        </xdr:cNvPr>
        <xdr:cNvSpPr/>
      </xdr:nvSpPr>
      <xdr:spPr>
        <a:xfrm rot="10800000">
          <a:off x="192786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233</xdr:row>
      <xdr:rowOff>0</xdr:rowOff>
    </xdr:from>
    <xdr:to>
      <xdr:col>60</xdr:col>
      <xdr:colOff>83820</xdr:colOff>
      <xdr:row>233</xdr:row>
      <xdr:rowOff>114300</xdr:rowOff>
    </xdr:to>
    <xdr:sp macro="" textlink="">
      <xdr:nvSpPr>
        <xdr:cNvPr id="1784" name="Arrow: Down 1783">
          <a:extLst>
            <a:ext uri="{FF2B5EF4-FFF2-40B4-BE49-F238E27FC236}">
              <a16:creationId xmlns:a16="http://schemas.microsoft.com/office/drawing/2014/main" id="{958D0DEA-27AD-405D-ACA7-FF74FB55C5E5}"/>
            </a:ext>
          </a:extLst>
        </xdr:cNvPr>
        <xdr:cNvSpPr/>
      </xdr:nvSpPr>
      <xdr:spPr>
        <a:xfrm rot="10800000">
          <a:off x="167640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233</xdr:row>
      <xdr:rowOff>0</xdr:rowOff>
    </xdr:from>
    <xdr:to>
      <xdr:col>71</xdr:col>
      <xdr:colOff>83820</xdr:colOff>
      <xdr:row>233</xdr:row>
      <xdr:rowOff>114300</xdr:rowOff>
    </xdr:to>
    <xdr:sp macro="" textlink="">
      <xdr:nvSpPr>
        <xdr:cNvPr id="1786" name="Arrow: Down 1785">
          <a:extLst>
            <a:ext uri="{FF2B5EF4-FFF2-40B4-BE49-F238E27FC236}">
              <a16:creationId xmlns:a16="http://schemas.microsoft.com/office/drawing/2014/main" id="{D3C17EA9-5886-44BB-85FE-23A41F7C51C4}"/>
            </a:ext>
          </a:extLst>
        </xdr:cNvPr>
        <xdr:cNvSpPr/>
      </xdr:nvSpPr>
      <xdr:spPr>
        <a:xfrm rot="10800000">
          <a:off x="1911858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233</xdr:row>
      <xdr:rowOff>0</xdr:rowOff>
    </xdr:from>
    <xdr:to>
      <xdr:col>39</xdr:col>
      <xdr:colOff>83820</xdr:colOff>
      <xdr:row>233</xdr:row>
      <xdr:rowOff>114300</xdr:rowOff>
    </xdr:to>
    <xdr:sp macro="" textlink="">
      <xdr:nvSpPr>
        <xdr:cNvPr id="1787" name="Arrow: Down 1786">
          <a:extLst>
            <a:ext uri="{FF2B5EF4-FFF2-40B4-BE49-F238E27FC236}">
              <a16:creationId xmlns:a16="http://schemas.microsoft.com/office/drawing/2014/main" id="{3B1671C1-DD66-457E-87D4-C7FB8B7CA87E}"/>
            </a:ext>
          </a:extLst>
        </xdr:cNvPr>
        <xdr:cNvSpPr/>
      </xdr:nvSpPr>
      <xdr:spPr>
        <a:xfrm>
          <a:off x="963930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233</xdr:row>
      <xdr:rowOff>0</xdr:rowOff>
    </xdr:from>
    <xdr:to>
      <xdr:col>45</xdr:col>
      <xdr:colOff>83820</xdr:colOff>
      <xdr:row>233</xdr:row>
      <xdr:rowOff>114300</xdr:rowOff>
    </xdr:to>
    <xdr:sp macro="" textlink="">
      <xdr:nvSpPr>
        <xdr:cNvPr id="1788" name="Arrow: Down 1787">
          <a:extLst>
            <a:ext uri="{FF2B5EF4-FFF2-40B4-BE49-F238E27FC236}">
              <a16:creationId xmlns:a16="http://schemas.microsoft.com/office/drawing/2014/main" id="{962ABF48-F23B-4C9B-ABCB-5B6D7D35DBA7}"/>
            </a:ext>
          </a:extLst>
        </xdr:cNvPr>
        <xdr:cNvSpPr/>
      </xdr:nvSpPr>
      <xdr:spPr>
        <a:xfrm>
          <a:off x="11445240" y="4252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233</xdr:row>
      <xdr:rowOff>0</xdr:rowOff>
    </xdr:from>
    <xdr:to>
      <xdr:col>24</xdr:col>
      <xdr:colOff>83820</xdr:colOff>
      <xdr:row>233</xdr:row>
      <xdr:rowOff>114300</xdr:rowOff>
    </xdr:to>
    <xdr:sp macro="" textlink="">
      <xdr:nvSpPr>
        <xdr:cNvPr id="1789" name="Arrow: Down 1788">
          <a:extLst>
            <a:ext uri="{FF2B5EF4-FFF2-40B4-BE49-F238E27FC236}">
              <a16:creationId xmlns:a16="http://schemas.microsoft.com/office/drawing/2014/main" id="{38919B54-9A77-4F39-AA9D-903B101E6DFF}"/>
            </a:ext>
          </a:extLst>
        </xdr:cNvPr>
        <xdr:cNvSpPr/>
      </xdr:nvSpPr>
      <xdr:spPr>
        <a:xfrm>
          <a:off x="6477000" y="4271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234</xdr:row>
      <xdr:rowOff>0</xdr:rowOff>
    </xdr:from>
    <xdr:to>
      <xdr:col>39</xdr:col>
      <xdr:colOff>83820</xdr:colOff>
      <xdr:row>234</xdr:row>
      <xdr:rowOff>114300</xdr:rowOff>
    </xdr:to>
    <xdr:sp macro="" textlink="">
      <xdr:nvSpPr>
        <xdr:cNvPr id="1801" name="Arrow: Down 1800">
          <a:extLst>
            <a:ext uri="{FF2B5EF4-FFF2-40B4-BE49-F238E27FC236}">
              <a16:creationId xmlns:a16="http://schemas.microsoft.com/office/drawing/2014/main" id="{095BE8D4-F244-4197-9E32-B957049A8ADF}"/>
            </a:ext>
          </a:extLst>
        </xdr:cNvPr>
        <xdr:cNvSpPr/>
      </xdr:nvSpPr>
      <xdr:spPr>
        <a:xfrm>
          <a:off x="9639300" y="4271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234</xdr:row>
      <xdr:rowOff>0</xdr:rowOff>
    </xdr:from>
    <xdr:to>
      <xdr:col>45</xdr:col>
      <xdr:colOff>83820</xdr:colOff>
      <xdr:row>234</xdr:row>
      <xdr:rowOff>114300</xdr:rowOff>
    </xdr:to>
    <xdr:sp macro="" textlink="">
      <xdr:nvSpPr>
        <xdr:cNvPr id="1802" name="Arrow: Down 1801">
          <a:extLst>
            <a:ext uri="{FF2B5EF4-FFF2-40B4-BE49-F238E27FC236}">
              <a16:creationId xmlns:a16="http://schemas.microsoft.com/office/drawing/2014/main" id="{C2B23307-0B83-4ADF-9209-D1E3EB9CEDD3}"/>
            </a:ext>
          </a:extLst>
        </xdr:cNvPr>
        <xdr:cNvSpPr/>
      </xdr:nvSpPr>
      <xdr:spPr>
        <a:xfrm>
          <a:off x="11445240" y="4271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234</xdr:row>
      <xdr:rowOff>0</xdr:rowOff>
    </xdr:from>
    <xdr:to>
      <xdr:col>24</xdr:col>
      <xdr:colOff>83820</xdr:colOff>
      <xdr:row>234</xdr:row>
      <xdr:rowOff>114300</xdr:rowOff>
    </xdr:to>
    <xdr:sp macro="" textlink="">
      <xdr:nvSpPr>
        <xdr:cNvPr id="1803" name="Arrow: Down 1802">
          <a:extLst>
            <a:ext uri="{FF2B5EF4-FFF2-40B4-BE49-F238E27FC236}">
              <a16:creationId xmlns:a16="http://schemas.microsoft.com/office/drawing/2014/main" id="{8709CE10-D560-4D31-85E8-66F45A860210}"/>
            </a:ext>
          </a:extLst>
        </xdr:cNvPr>
        <xdr:cNvSpPr/>
      </xdr:nvSpPr>
      <xdr:spPr>
        <a:xfrm>
          <a:off x="6477000" y="4271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234</xdr:row>
      <xdr:rowOff>0</xdr:rowOff>
    </xdr:from>
    <xdr:to>
      <xdr:col>11</xdr:col>
      <xdr:colOff>83820</xdr:colOff>
      <xdr:row>234</xdr:row>
      <xdr:rowOff>114300</xdr:rowOff>
    </xdr:to>
    <xdr:sp macro="" textlink="">
      <xdr:nvSpPr>
        <xdr:cNvPr id="1804" name="Arrow: Down 1803">
          <a:extLst>
            <a:ext uri="{FF2B5EF4-FFF2-40B4-BE49-F238E27FC236}">
              <a16:creationId xmlns:a16="http://schemas.microsoft.com/office/drawing/2014/main" id="{5253005D-C618-47B9-A976-4DA5EFEA444A}"/>
            </a:ext>
          </a:extLst>
        </xdr:cNvPr>
        <xdr:cNvSpPr/>
      </xdr:nvSpPr>
      <xdr:spPr>
        <a:xfrm>
          <a:off x="361950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234</xdr:row>
      <xdr:rowOff>0</xdr:rowOff>
    </xdr:from>
    <xdr:to>
      <xdr:col>5</xdr:col>
      <xdr:colOff>83820</xdr:colOff>
      <xdr:row>234</xdr:row>
      <xdr:rowOff>114300</xdr:rowOff>
    </xdr:to>
    <xdr:sp macro="" textlink="">
      <xdr:nvSpPr>
        <xdr:cNvPr id="1805" name="Arrow: Down 1804">
          <a:extLst>
            <a:ext uri="{FF2B5EF4-FFF2-40B4-BE49-F238E27FC236}">
              <a16:creationId xmlns:a16="http://schemas.microsoft.com/office/drawing/2014/main" id="{A76B99EC-210B-45EB-80E5-9282A4140296}"/>
            </a:ext>
          </a:extLst>
        </xdr:cNvPr>
        <xdr:cNvSpPr/>
      </xdr:nvSpPr>
      <xdr:spPr>
        <a:xfrm>
          <a:off x="192786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234</xdr:row>
      <xdr:rowOff>0</xdr:rowOff>
    </xdr:from>
    <xdr:to>
      <xdr:col>60</xdr:col>
      <xdr:colOff>83820</xdr:colOff>
      <xdr:row>234</xdr:row>
      <xdr:rowOff>114300</xdr:rowOff>
    </xdr:to>
    <xdr:sp macro="" textlink="">
      <xdr:nvSpPr>
        <xdr:cNvPr id="1806" name="Arrow: Down 1805">
          <a:extLst>
            <a:ext uri="{FF2B5EF4-FFF2-40B4-BE49-F238E27FC236}">
              <a16:creationId xmlns:a16="http://schemas.microsoft.com/office/drawing/2014/main" id="{5913157D-A5DF-4ED3-A8BF-2B4F0D9BA9F4}"/>
            </a:ext>
          </a:extLst>
        </xdr:cNvPr>
        <xdr:cNvSpPr/>
      </xdr:nvSpPr>
      <xdr:spPr>
        <a:xfrm>
          <a:off x="1676400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234</xdr:row>
      <xdr:rowOff>0</xdr:rowOff>
    </xdr:from>
    <xdr:to>
      <xdr:col>71</xdr:col>
      <xdr:colOff>83820</xdr:colOff>
      <xdr:row>234</xdr:row>
      <xdr:rowOff>114300</xdr:rowOff>
    </xdr:to>
    <xdr:sp macro="" textlink="">
      <xdr:nvSpPr>
        <xdr:cNvPr id="1808" name="Arrow: Down 1807">
          <a:extLst>
            <a:ext uri="{FF2B5EF4-FFF2-40B4-BE49-F238E27FC236}">
              <a16:creationId xmlns:a16="http://schemas.microsoft.com/office/drawing/2014/main" id="{71685D1A-6F98-4745-A8EE-55479EBE3E66}"/>
            </a:ext>
          </a:extLst>
        </xdr:cNvPr>
        <xdr:cNvSpPr/>
      </xdr:nvSpPr>
      <xdr:spPr>
        <a:xfrm>
          <a:off x="1911858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0</xdr:colOff>
      <xdr:row>3</xdr:row>
      <xdr:rowOff>1</xdr:rowOff>
    </xdr:from>
    <xdr:to>
      <xdr:col>80</xdr:col>
      <xdr:colOff>243819</xdr:colOff>
      <xdr:row>5</xdr:row>
      <xdr:rowOff>7634</xdr:rowOff>
    </xdr:to>
    <xdr:cxnSp macro="">
      <xdr:nvCxnSpPr>
        <xdr:cNvPr id="1810" name="Straight Arrow Connector 1809">
          <a:extLst>
            <a:ext uri="{FF2B5EF4-FFF2-40B4-BE49-F238E27FC236}">
              <a16:creationId xmlns:a16="http://schemas.microsoft.com/office/drawing/2014/main" id="{39AB161D-5C99-42B6-9717-F8442CACDE8F}"/>
            </a:ext>
          </a:extLst>
        </xdr:cNvPr>
        <xdr:cNvCxnSpPr/>
      </xdr:nvCxnSpPr>
      <xdr:spPr>
        <a:xfrm flipV="1">
          <a:off x="22623780" y="601981"/>
          <a:ext cx="1005819" cy="39625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235</xdr:row>
      <xdr:rowOff>0</xdr:rowOff>
    </xdr:from>
    <xdr:to>
      <xdr:col>45</xdr:col>
      <xdr:colOff>83820</xdr:colOff>
      <xdr:row>235</xdr:row>
      <xdr:rowOff>114300</xdr:rowOff>
    </xdr:to>
    <xdr:sp macro="" textlink="">
      <xdr:nvSpPr>
        <xdr:cNvPr id="1819" name="Arrow: Down 1818">
          <a:extLst>
            <a:ext uri="{FF2B5EF4-FFF2-40B4-BE49-F238E27FC236}">
              <a16:creationId xmlns:a16="http://schemas.microsoft.com/office/drawing/2014/main" id="{B81EE421-CFBA-4AAF-ADCA-6B190475DB59}"/>
            </a:ext>
          </a:extLst>
        </xdr:cNvPr>
        <xdr:cNvSpPr/>
      </xdr:nvSpPr>
      <xdr:spPr>
        <a:xfrm>
          <a:off x="11445240" y="4289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235</xdr:row>
      <xdr:rowOff>0</xdr:rowOff>
    </xdr:from>
    <xdr:to>
      <xdr:col>24</xdr:col>
      <xdr:colOff>83820</xdr:colOff>
      <xdr:row>235</xdr:row>
      <xdr:rowOff>114300</xdr:rowOff>
    </xdr:to>
    <xdr:sp macro="" textlink="">
      <xdr:nvSpPr>
        <xdr:cNvPr id="1820" name="Arrow: Down 1819">
          <a:extLst>
            <a:ext uri="{FF2B5EF4-FFF2-40B4-BE49-F238E27FC236}">
              <a16:creationId xmlns:a16="http://schemas.microsoft.com/office/drawing/2014/main" id="{6DE7CBA3-1CA1-46A3-8F9B-E0CA3D0FADF0}"/>
            </a:ext>
          </a:extLst>
        </xdr:cNvPr>
        <xdr:cNvSpPr/>
      </xdr:nvSpPr>
      <xdr:spPr>
        <a:xfrm>
          <a:off x="647700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235</xdr:row>
      <xdr:rowOff>0</xdr:rowOff>
    </xdr:from>
    <xdr:to>
      <xdr:col>11</xdr:col>
      <xdr:colOff>83820</xdr:colOff>
      <xdr:row>235</xdr:row>
      <xdr:rowOff>114300</xdr:rowOff>
    </xdr:to>
    <xdr:sp macro="" textlink="">
      <xdr:nvSpPr>
        <xdr:cNvPr id="1821" name="Arrow: Down 1820">
          <a:extLst>
            <a:ext uri="{FF2B5EF4-FFF2-40B4-BE49-F238E27FC236}">
              <a16:creationId xmlns:a16="http://schemas.microsoft.com/office/drawing/2014/main" id="{B4C3249E-6073-4AD7-AB17-1935C1798C31}"/>
            </a:ext>
          </a:extLst>
        </xdr:cNvPr>
        <xdr:cNvSpPr/>
      </xdr:nvSpPr>
      <xdr:spPr>
        <a:xfrm>
          <a:off x="361950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235</xdr:row>
      <xdr:rowOff>0</xdr:rowOff>
    </xdr:from>
    <xdr:to>
      <xdr:col>5</xdr:col>
      <xdr:colOff>83820</xdr:colOff>
      <xdr:row>235</xdr:row>
      <xdr:rowOff>114300</xdr:rowOff>
    </xdr:to>
    <xdr:sp macro="" textlink="">
      <xdr:nvSpPr>
        <xdr:cNvPr id="1822" name="Arrow: Down 1821">
          <a:extLst>
            <a:ext uri="{FF2B5EF4-FFF2-40B4-BE49-F238E27FC236}">
              <a16:creationId xmlns:a16="http://schemas.microsoft.com/office/drawing/2014/main" id="{88D308EC-C1F0-427E-9DEC-8EC928E8EBA6}"/>
            </a:ext>
          </a:extLst>
        </xdr:cNvPr>
        <xdr:cNvSpPr/>
      </xdr:nvSpPr>
      <xdr:spPr>
        <a:xfrm>
          <a:off x="1927860" y="4289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235</xdr:row>
      <xdr:rowOff>0</xdr:rowOff>
    </xdr:from>
    <xdr:to>
      <xdr:col>71</xdr:col>
      <xdr:colOff>83820</xdr:colOff>
      <xdr:row>235</xdr:row>
      <xdr:rowOff>114300</xdr:rowOff>
    </xdr:to>
    <xdr:sp macro="" textlink="">
      <xdr:nvSpPr>
        <xdr:cNvPr id="1826" name="Arrow: Down 1825">
          <a:extLst>
            <a:ext uri="{FF2B5EF4-FFF2-40B4-BE49-F238E27FC236}">
              <a16:creationId xmlns:a16="http://schemas.microsoft.com/office/drawing/2014/main" id="{BE94E832-7EAE-4E97-B1F0-D5B3B3639D10}"/>
            </a:ext>
          </a:extLst>
        </xdr:cNvPr>
        <xdr:cNvSpPr/>
      </xdr:nvSpPr>
      <xdr:spPr>
        <a:xfrm rot="10800000">
          <a:off x="20787360" y="4307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235</xdr:row>
      <xdr:rowOff>0</xdr:rowOff>
    </xdr:from>
    <xdr:to>
      <xdr:col>60</xdr:col>
      <xdr:colOff>83820</xdr:colOff>
      <xdr:row>235</xdr:row>
      <xdr:rowOff>114300</xdr:rowOff>
    </xdr:to>
    <xdr:sp macro="" textlink="">
      <xdr:nvSpPr>
        <xdr:cNvPr id="1827" name="Arrow: Down 1826">
          <a:extLst>
            <a:ext uri="{FF2B5EF4-FFF2-40B4-BE49-F238E27FC236}">
              <a16:creationId xmlns:a16="http://schemas.microsoft.com/office/drawing/2014/main" id="{246572EC-C6DA-40A1-B7D3-01683144BF68}"/>
            </a:ext>
          </a:extLst>
        </xdr:cNvPr>
        <xdr:cNvSpPr/>
      </xdr:nvSpPr>
      <xdr:spPr>
        <a:xfrm rot="10800000">
          <a:off x="16764000" y="4307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235</xdr:row>
      <xdr:rowOff>0</xdr:rowOff>
    </xdr:from>
    <xdr:to>
      <xdr:col>39</xdr:col>
      <xdr:colOff>83820</xdr:colOff>
      <xdr:row>235</xdr:row>
      <xdr:rowOff>114300</xdr:rowOff>
    </xdr:to>
    <xdr:sp macro="" textlink="">
      <xdr:nvSpPr>
        <xdr:cNvPr id="1829" name="Arrow: Down 1828">
          <a:extLst>
            <a:ext uri="{FF2B5EF4-FFF2-40B4-BE49-F238E27FC236}">
              <a16:creationId xmlns:a16="http://schemas.microsoft.com/office/drawing/2014/main" id="{34690ED8-0423-4CF5-8EC2-7092D4D32F50}"/>
            </a:ext>
          </a:extLst>
        </xdr:cNvPr>
        <xdr:cNvSpPr/>
      </xdr:nvSpPr>
      <xdr:spPr>
        <a:xfrm rot="10800000">
          <a:off x="9639300" y="4307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236</xdr:row>
      <xdr:rowOff>0</xdr:rowOff>
    </xdr:from>
    <xdr:to>
      <xdr:col>39</xdr:col>
      <xdr:colOff>83820</xdr:colOff>
      <xdr:row>236</xdr:row>
      <xdr:rowOff>114300</xdr:rowOff>
    </xdr:to>
    <xdr:sp macro="" textlink="">
      <xdr:nvSpPr>
        <xdr:cNvPr id="1771" name="Arrow: Down 1770">
          <a:extLst>
            <a:ext uri="{FF2B5EF4-FFF2-40B4-BE49-F238E27FC236}">
              <a16:creationId xmlns:a16="http://schemas.microsoft.com/office/drawing/2014/main" id="{C479026C-EEAF-49B2-A882-591BAF7DFDD9}"/>
            </a:ext>
          </a:extLst>
        </xdr:cNvPr>
        <xdr:cNvSpPr/>
      </xdr:nvSpPr>
      <xdr:spPr>
        <a:xfrm rot="10800000">
          <a:off x="11300460" y="4307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236</xdr:row>
      <xdr:rowOff>0</xdr:rowOff>
    </xdr:from>
    <xdr:to>
      <xdr:col>60</xdr:col>
      <xdr:colOff>83820</xdr:colOff>
      <xdr:row>236</xdr:row>
      <xdr:rowOff>114300</xdr:rowOff>
    </xdr:to>
    <xdr:sp macro="" textlink="">
      <xdr:nvSpPr>
        <xdr:cNvPr id="1782" name="Arrow: Down 1781">
          <a:extLst>
            <a:ext uri="{FF2B5EF4-FFF2-40B4-BE49-F238E27FC236}">
              <a16:creationId xmlns:a16="http://schemas.microsoft.com/office/drawing/2014/main" id="{D80BDE62-7514-4A55-8832-E6ACEDB2286E}"/>
            </a:ext>
          </a:extLst>
        </xdr:cNvPr>
        <xdr:cNvSpPr/>
      </xdr:nvSpPr>
      <xdr:spPr>
        <a:xfrm>
          <a:off x="18425160" y="4325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236</xdr:row>
      <xdr:rowOff>0</xdr:rowOff>
    </xdr:from>
    <xdr:to>
      <xdr:col>71</xdr:col>
      <xdr:colOff>83820</xdr:colOff>
      <xdr:row>236</xdr:row>
      <xdr:rowOff>114300</xdr:rowOff>
    </xdr:to>
    <xdr:sp macro="" textlink="">
      <xdr:nvSpPr>
        <xdr:cNvPr id="1791" name="Arrow: Down 1790">
          <a:extLst>
            <a:ext uri="{FF2B5EF4-FFF2-40B4-BE49-F238E27FC236}">
              <a16:creationId xmlns:a16="http://schemas.microsoft.com/office/drawing/2014/main" id="{88AF4E7F-3411-4925-8821-082B17E72F70}"/>
            </a:ext>
          </a:extLst>
        </xdr:cNvPr>
        <xdr:cNvSpPr/>
      </xdr:nvSpPr>
      <xdr:spPr>
        <a:xfrm rot="10800000">
          <a:off x="20779740" y="4325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236</xdr:row>
      <xdr:rowOff>0</xdr:rowOff>
    </xdr:from>
    <xdr:to>
      <xdr:col>45</xdr:col>
      <xdr:colOff>83820</xdr:colOff>
      <xdr:row>236</xdr:row>
      <xdr:rowOff>114300</xdr:rowOff>
    </xdr:to>
    <xdr:sp macro="" textlink="">
      <xdr:nvSpPr>
        <xdr:cNvPr id="1793" name="Arrow: Down 1792">
          <a:extLst>
            <a:ext uri="{FF2B5EF4-FFF2-40B4-BE49-F238E27FC236}">
              <a16:creationId xmlns:a16="http://schemas.microsoft.com/office/drawing/2014/main" id="{FB0638AF-7F6C-44A0-8334-6E52BE85295D}"/>
            </a:ext>
          </a:extLst>
        </xdr:cNvPr>
        <xdr:cNvSpPr/>
      </xdr:nvSpPr>
      <xdr:spPr>
        <a:xfrm rot="10800000">
          <a:off x="13106400" y="4325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236</xdr:row>
      <xdr:rowOff>0</xdr:rowOff>
    </xdr:from>
    <xdr:to>
      <xdr:col>24</xdr:col>
      <xdr:colOff>83820</xdr:colOff>
      <xdr:row>236</xdr:row>
      <xdr:rowOff>114300</xdr:rowOff>
    </xdr:to>
    <xdr:sp macro="" textlink="">
      <xdr:nvSpPr>
        <xdr:cNvPr id="1795" name="Arrow: Down 1794">
          <a:extLst>
            <a:ext uri="{FF2B5EF4-FFF2-40B4-BE49-F238E27FC236}">
              <a16:creationId xmlns:a16="http://schemas.microsoft.com/office/drawing/2014/main" id="{2B209776-7A2E-4EF5-B02E-BCEFA52D89BF}"/>
            </a:ext>
          </a:extLst>
        </xdr:cNvPr>
        <xdr:cNvSpPr/>
      </xdr:nvSpPr>
      <xdr:spPr>
        <a:xfrm rot="10800000">
          <a:off x="8138160" y="4325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83820</xdr:colOff>
      <xdr:row>236</xdr:row>
      <xdr:rowOff>114300</xdr:rowOff>
    </xdr:to>
    <xdr:sp macro="" textlink="">
      <xdr:nvSpPr>
        <xdr:cNvPr id="1796" name="Arrow: Down 1795">
          <a:extLst>
            <a:ext uri="{FF2B5EF4-FFF2-40B4-BE49-F238E27FC236}">
              <a16:creationId xmlns:a16="http://schemas.microsoft.com/office/drawing/2014/main" id="{EA04B637-9D7C-44CF-B54D-EA594FCAAFB5}"/>
            </a:ext>
          </a:extLst>
        </xdr:cNvPr>
        <xdr:cNvSpPr/>
      </xdr:nvSpPr>
      <xdr:spPr>
        <a:xfrm rot="10800000">
          <a:off x="1927860" y="4325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237</xdr:row>
      <xdr:rowOff>0</xdr:rowOff>
    </xdr:from>
    <xdr:to>
      <xdr:col>45</xdr:col>
      <xdr:colOff>83820</xdr:colOff>
      <xdr:row>237</xdr:row>
      <xdr:rowOff>114300</xdr:rowOff>
    </xdr:to>
    <xdr:sp macro="" textlink="">
      <xdr:nvSpPr>
        <xdr:cNvPr id="1727" name="Arrow: Down 1726">
          <a:extLst>
            <a:ext uri="{FF2B5EF4-FFF2-40B4-BE49-F238E27FC236}">
              <a16:creationId xmlns:a16="http://schemas.microsoft.com/office/drawing/2014/main" id="{3018E3C3-E992-407A-925C-F39BD5F2744C}"/>
            </a:ext>
          </a:extLst>
        </xdr:cNvPr>
        <xdr:cNvSpPr/>
      </xdr:nvSpPr>
      <xdr:spPr>
        <a:xfrm rot="10800000">
          <a:off x="13106400" y="4325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237</xdr:row>
      <xdr:rowOff>0</xdr:rowOff>
    </xdr:from>
    <xdr:to>
      <xdr:col>24</xdr:col>
      <xdr:colOff>83820</xdr:colOff>
      <xdr:row>237</xdr:row>
      <xdr:rowOff>114300</xdr:rowOff>
    </xdr:to>
    <xdr:sp macro="" textlink="">
      <xdr:nvSpPr>
        <xdr:cNvPr id="1730" name="Arrow: Down 1729">
          <a:extLst>
            <a:ext uri="{FF2B5EF4-FFF2-40B4-BE49-F238E27FC236}">
              <a16:creationId xmlns:a16="http://schemas.microsoft.com/office/drawing/2014/main" id="{F29AF36C-B888-4A8D-982B-11D0D19E79D2}"/>
            </a:ext>
          </a:extLst>
        </xdr:cNvPr>
        <xdr:cNvSpPr/>
      </xdr:nvSpPr>
      <xdr:spPr>
        <a:xfrm rot="10800000">
          <a:off x="8138160" y="4325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237</xdr:row>
      <xdr:rowOff>0</xdr:rowOff>
    </xdr:from>
    <xdr:to>
      <xdr:col>5</xdr:col>
      <xdr:colOff>83820</xdr:colOff>
      <xdr:row>237</xdr:row>
      <xdr:rowOff>114300</xdr:rowOff>
    </xdr:to>
    <xdr:sp macro="" textlink="">
      <xdr:nvSpPr>
        <xdr:cNvPr id="1740" name="Arrow: Down 1739">
          <a:extLst>
            <a:ext uri="{FF2B5EF4-FFF2-40B4-BE49-F238E27FC236}">
              <a16:creationId xmlns:a16="http://schemas.microsoft.com/office/drawing/2014/main" id="{1EA86FEE-4B4A-4151-8B52-32103FB7D834}"/>
            </a:ext>
          </a:extLst>
        </xdr:cNvPr>
        <xdr:cNvSpPr/>
      </xdr:nvSpPr>
      <xdr:spPr>
        <a:xfrm rot="10800000">
          <a:off x="1927860" y="4325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237</xdr:row>
      <xdr:rowOff>0</xdr:rowOff>
    </xdr:from>
    <xdr:to>
      <xdr:col>11</xdr:col>
      <xdr:colOff>83820</xdr:colOff>
      <xdr:row>237</xdr:row>
      <xdr:rowOff>114300</xdr:rowOff>
    </xdr:to>
    <xdr:sp macro="" textlink="">
      <xdr:nvSpPr>
        <xdr:cNvPr id="1746" name="Arrow: Down 1745">
          <a:extLst>
            <a:ext uri="{FF2B5EF4-FFF2-40B4-BE49-F238E27FC236}">
              <a16:creationId xmlns:a16="http://schemas.microsoft.com/office/drawing/2014/main" id="{C067CDB5-92B2-48A8-9DA8-18876E4D519E}"/>
            </a:ext>
          </a:extLst>
        </xdr:cNvPr>
        <xdr:cNvSpPr/>
      </xdr:nvSpPr>
      <xdr:spPr>
        <a:xfrm rot="10800000">
          <a:off x="361950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236</xdr:row>
      <xdr:rowOff>0</xdr:rowOff>
    </xdr:from>
    <xdr:to>
      <xdr:col>11</xdr:col>
      <xdr:colOff>83820</xdr:colOff>
      <xdr:row>236</xdr:row>
      <xdr:rowOff>114300</xdr:rowOff>
    </xdr:to>
    <xdr:sp macro="" textlink="">
      <xdr:nvSpPr>
        <xdr:cNvPr id="1753" name="Arrow: Down 1752">
          <a:extLst>
            <a:ext uri="{FF2B5EF4-FFF2-40B4-BE49-F238E27FC236}">
              <a16:creationId xmlns:a16="http://schemas.microsoft.com/office/drawing/2014/main" id="{7FD1DBD5-8CA8-4449-8017-B986B00653DD}"/>
            </a:ext>
          </a:extLst>
        </xdr:cNvPr>
        <xdr:cNvSpPr/>
      </xdr:nvSpPr>
      <xdr:spPr>
        <a:xfrm rot="10800000">
          <a:off x="3619500" y="4325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237</xdr:row>
      <xdr:rowOff>0</xdr:rowOff>
    </xdr:from>
    <xdr:to>
      <xdr:col>39</xdr:col>
      <xdr:colOff>83820</xdr:colOff>
      <xdr:row>237</xdr:row>
      <xdr:rowOff>114300</xdr:rowOff>
    </xdr:to>
    <xdr:sp macro="" textlink="">
      <xdr:nvSpPr>
        <xdr:cNvPr id="1755" name="Arrow: Down 1754">
          <a:extLst>
            <a:ext uri="{FF2B5EF4-FFF2-40B4-BE49-F238E27FC236}">
              <a16:creationId xmlns:a16="http://schemas.microsoft.com/office/drawing/2014/main" id="{2F7DBCBB-9AE8-413D-9411-F31D9E234E15}"/>
            </a:ext>
          </a:extLst>
        </xdr:cNvPr>
        <xdr:cNvSpPr/>
      </xdr:nvSpPr>
      <xdr:spPr>
        <a:xfrm>
          <a:off x="113004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237</xdr:row>
      <xdr:rowOff>0</xdr:rowOff>
    </xdr:from>
    <xdr:to>
      <xdr:col>60</xdr:col>
      <xdr:colOff>83820</xdr:colOff>
      <xdr:row>237</xdr:row>
      <xdr:rowOff>114300</xdr:rowOff>
    </xdr:to>
    <xdr:sp macro="" textlink="">
      <xdr:nvSpPr>
        <xdr:cNvPr id="1757" name="Arrow: Down 1756">
          <a:extLst>
            <a:ext uri="{FF2B5EF4-FFF2-40B4-BE49-F238E27FC236}">
              <a16:creationId xmlns:a16="http://schemas.microsoft.com/office/drawing/2014/main" id="{482B0837-358D-4D44-8F29-5C8879C73156}"/>
            </a:ext>
          </a:extLst>
        </xdr:cNvPr>
        <xdr:cNvSpPr/>
      </xdr:nvSpPr>
      <xdr:spPr>
        <a:xfrm rot="10800000">
          <a:off x="184251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237</xdr:row>
      <xdr:rowOff>0</xdr:rowOff>
    </xdr:from>
    <xdr:to>
      <xdr:col>71</xdr:col>
      <xdr:colOff>83820</xdr:colOff>
      <xdr:row>237</xdr:row>
      <xdr:rowOff>114300</xdr:rowOff>
    </xdr:to>
    <xdr:sp macro="" textlink="">
      <xdr:nvSpPr>
        <xdr:cNvPr id="1764" name="Arrow: Down 1763">
          <a:extLst>
            <a:ext uri="{FF2B5EF4-FFF2-40B4-BE49-F238E27FC236}">
              <a16:creationId xmlns:a16="http://schemas.microsoft.com/office/drawing/2014/main" id="{5F0FDAB7-EB57-4443-84FC-022268A239F6}"/>
            </a:ext>
          </a:extLst>
        </xdr:cNvPr>
        <xdr:cNvSpPr/>
      </xdr:nvSpPr>
      <xdr:spPr>
        <a:xfrm rot="10800000">
          <a:off x="2077974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238</xdr:row>
      <xdr:rowOff>0</xdr:rowOff>
    </xdr:from>
    <xdr:to>
      <xdr:col>45</xdr:col>
      <xdr:colOff>83820</xdr:colOff>
      <xdr:row>238</xdr:row>
      <xdr:rowOff>114300</xdr:rowOff>
    </xdr:to>
    <xdr:sp macro="" textlink="">
      <xdr:nvSpPr>
        <xdr:cNvPr id="1800" name="Arrow: Down 1799">
          <a:extLst>
            <a:ext uri="{FF2B5EF4-FFF2-40B4-BE49-F238E27FC236}">
              <a16:creationId xmlns:a16="http://schemas.microsoft.com/office/drawing/2014/main" id="{E9929E88-4DFC-4D2F-9242-B54A4200AA1C}"/>
            </a:ext>
          </a:extLst>
        </xdr:cNvPr>
        <xdr:cNvSpPr/>
      </xdr:nvSpPr>
      <xdr:spPr>
        <a:xfrm rot="10800000">
          <a:off x="13106400" y="4344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238</xdr:row>
      <xdr:rowOff>0</xdr:rowOff>
    </xdr:from>
    <xdr:to>
      <xdr:col>24</xdr:col>
      <xdr:colOff>83820</xdr:colOff>
      <xdr:row>238</xdr:row>
      <xdr:rowOff>114300</xdr:rowOff>
    </xdr:to>
    <xdr:sp macro="" textlink="">
      <xdr:nvSpPr>
        <xdr:cNvPr id="1807" name="Arrow: Down 1806">
          <a:extLst>
            <a:ext uri="{FF2B5EF4-FFF2-40B4-BE49-F238E27FC236}">
              <a16:creationId xmlns:a16="http://schemas.microsoft.com/office/drawing/2014/main" id="{37734F94-B4E5-49D4-86FE-07B085F3DF47}"/>
            </a:ext>
          </a:extLst>
        </xdr:cNvPr>
        <xdr:cNvSpPr/>
      </xdr:nvSpPr>
      <xdr:spPr>
        <a:xfrm rot="10800000">
          <a:off x="81381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238</xdr:row>
      <xdr:rowOff>0</xdr:rowOff>
    </xdr:from>
    <xdr:to>
      <xdr:col>5</xdr:col>
      <xdr:colOff>83820</xdr:colOff>
      <xdr:row>238</xdr:row>
      <xdr:rowOff>114300</xdr:rowOff>
    </xdr:to>
    <xdr:sp macro="" textlink="">
      <xdr:nvSpPr>
        <xdr:cNvPr id="1809" name="Arrow: Down 1808">
          <a:extLst>
            <a:ext uri="{FF2B5EF4-FFF2-40B4-BE49-F238E27FC236}">
              <a16:creationId xmlns:a16="http://schemas.microsoft.com/office/drawing/2014/main" id="{393B4726-6FCC-4E82-9403-8D9CF9BB57C8}"/>
            </a:ext>
          </a:extLst>
        </xdr:cNvPr>
        <xdr:cNvSpPr/>
      </xdr:nvSpPr>
      <xdr:spPr>
        <a:xfrm rot="10800000">
          <a:off x="19278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238</xdr:row>
      <xdr:rowOff>0</xdr:rowOff>
    </xdr:from>
    <xdr:to>
      <xdr:col>11</xdr:col>
      <xdr:colOff>83820</xdr:colOff>
      <xdr:row>238</xdr:row>
      <xdr:rowOff>114300</xdr:rowOff>
    </xdr:to>
    <xdr:sp macro="" textlink="">
      <xdr:nvSpPr>
        <xdr:cNvPr id="1811" name="Arrow: Down 1810">
          <a:extLst>
            <a:ext uri="{FF2B5EF4-FFF2-40B4-BE49-F238E27FC236}">
              <a16:creationId xmlns:a16="http://schemas.microsoft.com/office/drawing/2014/main" id="{69347B00-3624-467C-A35A-8DC9AAE1666C}"/>
            </a:ext>
          </a:extLst>
        </xdr:cNvPr>
        <xdr:cNvSpPr/>
      </xdr:nvSpPr>
      <xdr:spPr>
        <a:xfrm rot="10800000">
          <a:off x="361950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238</xdr:row>
      <xdr:rowOff>0</xdr:rowOff>
    </xdr:from>
    <xdr:to>
      <xdr:col>39</xdr:col>
      <xdr:colOff>83820</xdr:colOff>
      <xdr:row>238</xdr:row>
      <xdr:rowOff>114300</xdr:rowOff>
    </xdr:to>
    <xdr:sp macro="" textlink="">
      <xdr:nvSpPr>
        <xdr:cNvPr id="1812" name="Arrow: Down 1811">
          <a:extLst>
            <a:ext uri="{FF2B5EF4-FFF2-40B4-BE49-F238E27FC236}">
              <a16:creationId xmlns:a16="http://schemas.microsoft.com/office/drawing/2014/main" id="{231A3A8D-35C0-443E-A1BC-1D4E0DA5BE88}"/>
            </a:ext>
          </a:extLst>
        </xdr:cNvPr>
        <xdr:cNvSpPr/>
      </xdr:nvSpPr>
      <xdr:spPr>
        <a:xfrm>
          <a:off x="113004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238</xdr:row>
      <xdr:rowOff>0</xdr:rowOff>
    </xdr:from>
    <xdr:to>
      <xdr:col>60</xdr:col>
      <xdr:colOff>83820</xdr:colOff>
      <xdr:row>238</xdr:row>
      <xdr:rowOff>114300</xdr:rowOff>
    </xdr:to>
    <xdr:sp macro="" textlink="">
      <xdr:nvSpPr>
        <xdr:cNvPr id="1813" name="Arrow: Down 1812">
          <a:extLst>
            <a:ext uri="{FF2B5EF4-FFF2-40B4-BE49-F238E27FC236}">
              <a16:creationId xmlns:a16="http://schemas.microsoft.com/office/drawing/2014/main" id="{EC6772E5-FEDA-4327-814C-1ED5DC33A9DF}"/>
            </a:ext>
          </a:extLst>
        </xdr:cNvPr>
        <xdr:cNvSpPr/>
      </xdr:nvSpPr>
      <xdr:spPr>
        <a:xfrm rot="10800000">
          <a:off x="1842516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238</xdr:row>
      <xdr:rowOff>0</xdr:rowOff>
    </xdr:from>
    <xdr:to>
      <xdr:col>71</xdr:col>
      <xdr:colOff>83820</xdr:colOff>
      <xdr:row>238</xdr:row>
      <xdr:rowOff>114300</xdr:rowOff>
    </xdr:to>
    <xdr:sp macro="" textlink="">
      <xdr:nvSpPr>
        <xdr:cNvPr id="1814" name="Arrow: Down 1813">
          <a:extLst>
            <a:ext uri="{FF2B5EF4-FFF2-40B4-BE49-F238E27FC236}">
              <a16:creationId xmlns:a16="http://schemas.microsoft.com/office/drawing/2014/main" id="{39A432B1-7FA1-4607-86BF-696BAFA1AC82}"/>
            </a:ext>
          </a:extLst>
        </xdr:cNvPr>
        <xdr:cNvSpPr/>
      </xdr:nvSpPr>
      <xdr:spPr>
        <a:xfrm rot="10800000">
          <a:off x="20779740" y="4344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239</xdr:row>
      <xdr:rowOff>0</xdr:rowOff>
    </xdr:from>
    <xdr:to>
      <xdr:col>45</xdr:col>
      <xdr:colOff>83820</xdr:colOff>
      <xdr:row>239</xdr:row>
      <xdr:rowOff>114300</xdr:rowOff>
    </xdr:to>
    <xdr:sp macro="" textlink="">
      <xdr:nvSpPr>
        <xdr:cNvPr id="1815" name="Arrow: Down 1814">
          <a:extLst>
            <a:ext uri="{FF2B5EF4-FFF2-40B4-BE49-F238E27FC236}">
              <a16:creationId xmlns:a16="http://schemas.microsoft.com/office/drawing/2014/main" id="{86C42689-AC96-4818-9CB1-BF541F9C179F}"/>
            </a:ext>
          </a:extLst>
        </xdr:cNvPr>
        <xdr:cNvSpPr/>
      </xdr:nvSpPr>
      <xdr:spPr>
        <a:xfrm rot="10800000">
          <a:off x="11445240" y="4362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83820</xdr:colOff>
      <xdr:row>239</xdr:row>
      <xdr:rowOff>114300</xdr:rowOff>
    </xdr:to>
    <xdr:sp macro="" textlink="">
      <xdr:nvSpPr>
        <xdr:cNvPr id="1817" name="Arrow: Down 1816">
          <a:extLst>
            <a:ext uri="{FF2B5EF4-FFF2-40B4-BE49-F238E27FC236}">
              <a16:creationId xmlns:a16="http://schemas.microsoft.com/office/drawing/2014/main" id="{57FEF373-929D-4356-B2A8-08CE03148716}"/>
            </a:ext>
          </a:extLst>
        </xdr:cNvPr>
        <xdr:cNvSpPr/>
      </xdr:nvSpPr>
      <xdr:spPr>
        <a:xfrm rot="10800000">
          <a:off x="1927860" y="4362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239</xdr:row>
      <xdr:rowOff>0</xdr:rowOff>
    </xdr:from>
    <xdr:to>
      <xdr:col>11</xdr:col>
      <xdr:colOff>83820</xdr:colOff>
      <xdr:row>239</xdr:row>
      <xdr:rowOff>114300</xdr:rowOff>
    </xdr:to>
    <xdr:sp macro="" textlink="">
      <xdr:nvSpPr>
        <xdr:cNvPr id="1818" name="Arrow: Down 1817">
          <a:extLst>
            <a:ext uri="{FF2B5EF4-FFF2-40B4-BE49-F238E27FC236}">
              <a16:creationId xmlns:a16="http://schemas.microsoft.com/office/drawing/2014/main" id="{86B164B2-CBE8-4F35-82CA-0486B4ED7E5C}"/>
            </a:ext>
          </a:extLst>
        </xdr:cNvPr>
        <xdr:cNvSpPr/>
      </xdr:nvSpPr>
      <xdr:spPr>
        <a:xfrm rot="10800000">
          <a:off x="3619500" y="4362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239</xdr:row>
      <xdr:rowOff>0</xdr:rowOff>
    </xdr:from>
    <xdr:to>
      <xdr:col>39</xdr:col>
      <xdr:colOff>83820</xdr:colOff>
      <xdr:row>239</xdr:row>
      <xdr:rowOff>114300</xdr:rowOff>
    </xdr:to>
    <xdr:sp macro="" textlink="">
      <xdr:nvSpPr>
        <xdr:cNvPr id="1823" name="Arrow: Down 1822">
          <a:extLst>
            <a:ext uri="{FF2B5EF4-FFF2-40B4-BE49-F238E27FC236}">
              <a16:creationId xmlns:a16="http://schemas.microsoft.com/office/drawing/2014/main" id="{95C5F6A1-010B-4AD1-8C31-1ED46A5C9147}"/>
            </a:ext>
          </a:extLst>
        </xdr:cNvPr>
        <xdr:cNvSpPr/>
      </xdr:nvSpPr>
      <xdr:spPr>
        <a:xfrm>
          <a:off x="9639300" y="4362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239</xdr:row>
      <xdr:rowOff>0</xdr:rowOff>
    </xdr:from>
    <xdr:to>
      <xdr:col>71</xdr:col>
      <xdr:colOff>83820</xdr:colOff>
      <xdr:row>239</xdr:row>
      <xdr:rowOff>114300</xdr:rowOff>
    </xdr:to>
    <xdr:sp macro="" textlink="">
      <xdr:nvSpPr>
        <xdr:cNvPr id="1825" name="Arrow: Down 1824">
          <a:extLst>
            <a:ext uri="{FF2B5EF4-FFF2-40B4-BE49-F238E27FC236}">
              <a16:creationId xmlns:a16="http://schemas.microsoft.com/office/drawing/2014/main" id="{394F53AF-B657-4E06-94AD-CBD96640448B}"/>
            </a:ext>
          </a:extLst>
        </xdr:cNvPr>
        <xdr:cNvSpPr/>
      </xdr:nvSpPr>
      <xdr:spPr>
        <a:xfrm rot="10800000">
          <a:off x="19118580" y="4362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239</xdr:row>
      <xdr:rowOff>0</xdr:rowOff>
    </xdr:from>
    <xdr:to>
      <xdr:col>24</xdr:col>
      <xdr:colOff>83820</xdr:colOff>
      <xdr:row>239</xdr:row>
      <xdr:rowOff>114300</xdr:rowOff>
    </xdr:to>
    <xdr:sp macro="" textlink="">
      <xdr:nvSpPr>
        <xdr:cNvPr id="1828" name="Arrow: Down 1827">
          <a:extLst>
            <a:ext uri="{FF2B5EF4-FFF2-40B4-BE49-F238E27FC236}">
              <a16:creationId xmlns:a16="http://schemas.microsoft.com/office/drawing/2014/main" id="{7BE00020-9472-4643-BFD3-670092BAEB93}"/>
            </a:ext>
          </a:extLst>
        </xdr:cNvPr>
        <xdr:cNvSpPr/>
      </xdr:nvSpPr>
      <xdr:spPr>
        <a:xfrm>
          <a:off x="6477000" y="4380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239</xdr:row>
      <xdr:rowOff>0</xdr:rowOff>
    </xdr:from>
    <xdr:to>
      <xdr:col>60</xdr:col>
      <xdr:colOff>83820</xdr:colOff>
      <xdr:row>239</xdr:row>
      <xdr:rowOff>114300</xdr:rowOff>
    </xdr:to>
    <xdr:sp macro="" textlink="">
      <xdr:nvSpPr>
        <xdr:cNvPr id="1830" name="Arrow: Down 1829">
          <a:extLst>
            <a:ext uri="{FF2B5EF4-FFF2-40B4-BE49-F238E27FC236}">
              <a16:creationId xmlns:a16="http://schemas.microsoft.com/office/drawing/2014/main" id="{F49A3C71-976D-471A-87DD-18810D81F572}"/>
            </a:ext>
          </a:extLst>
        </xdr:cNvPr>
        <xdr:cNvSpPr/>
      </xdr:nvSpPr>
      <xdr:spPr>
        <a:xfrm>
          <a:off x="16764000" y="4380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240</xdr:row>
      <xdr:rowOff>0</xdr:rowOff>
    </xdr:from>
    <xdr:to>
      <xdr:col>5</xdr:col>
      <xdr:colOff>83820</xdr:colOff>
      <xdr:row>240</xdr:row>
      <xdr:rowOff>114300</xdr:rowOff>
    </xdr:to>
    <xdr:sp macro="" textlink="">
      <xdr:nvSpPr>
        <xdr:cNvPr id="1762" name="Arrow: Down 1761">
          <a:extLst>
            <a:ext uri="{FF2B5EF4-FFF2-40B4-BE49-F238E27FC236}">
              <a16:creationId xmlns:a16="http://schemas.microsoft.com/office/drawing/2014/main" id="{BD4DCB3E-F600-40D6-B81C-3051C690C6E5}"/>
            </a:ext>
          </a:extLst>
        </xdr:cNvPr>
        <xdr:cNvSpPr/>
      </xdr:nvSpPr>
      <xdr:spPr>
        <a:xfrm rot="10800000">
          <a:off x="1927860" y="4380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240</xdr:row>
      <xdr:rowOff>0</xdr:rowOff>
    </xdr:from>
    <xdr:to>
      <xdr:col>11</xdr:col>
      <xdr:colOff>83820</xdr:colOff>
      <xdr:row>240</xdr:row>
      <xdr:rowOff>114300</xdr:rowOff>
    </xdr:to>
    <xdr:sp macro="" textlink="">
      <xdr:nvSpPr>
        <xdr:cNvPr id="1767" name="Arrow: Down 1766">
          <a:extLst>
            <a:ext uri="{FF2B5EF4-FFF2-40B4-BE49-F238E27FC236}">
              <a16:creationId xmlns:a16="http://schemas.microsoft.com/office/drawing/2014/main" id="{9FA7E2CA-90C7-436C-B753-3C6DD0078165}"/>
            </a:ext>
          </a:extLst>
        </xdr:cNvPr>
        <xdr:cNvSpPr/>
      </xdr:nvSpPr>
      <xdr:spPr>
        <a:xfrm rot="10800000">
          <a:off x="3619500" y="4380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240</xdr:row>
      <xdr:rowOff>0</xdr:rowOff>
    </xdr:from>
    <xdr:to>
      <xdr:col>71</xdr:col>
      <xdr:colOff>83820</xdr:colOff>
      <xdr:row>240</xdr:row>
      <xdr:rowOff>114300</xdr:rowOff>
    </xdr:to>
    <xdr:sp macro="" textlink="">
      <xdr:nvSpPr>
        <xdr:cNvPr id="1792" name="Arrow: Down 1791">
          <a:extLst>
            <a:ext uri="{FF2B5EF4-FFF2-40B4-BE49-F238E27FC236}">
              <a16:creationId xmlns:a16="http://schemas.microsoft.com/office/drawing/2014/main" id="{EB39FFCE-726D-46BE-AC8D-BB6E66984716}"/>
            </a:ext>
          </a:extLst>
        </xdr:cNvPr>
        <xdr:cNvSpPr/>
      </xdr:nvSpPr>
      <xdr:spPr>
        <a:xfrm rot="10800000">
          <a:off x="19118580" y="4380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240</xdr:row>
      <xdr:rowOff>0</xdr:rowOff>
    </xdr:from>
    <xdr:to>
      <xdr:col>24</xdr:col>
      <xdr:colOff>83820</xdr:colOff>
      <xdr:row>240</xdr:row>
      <xdr:rowOff>114300</xdr:rowOff>
    </xdr:to>
    <xdr:sp macro="" textlink="">
      <xdr:nvSpPr>
        <xdr:cNvPr id="1798" name="Arrow: Down 1797">
          <a:extLst>
            <a:ext uri="{FF2B5EF4-FFF2-40B4-BE49-F238E27FC236}">
              <a16:creationId xmlns:a16="http://schemas.microsoft.com/office/drawing/2014/main" id="{75C3C601-E228-4A68-9FDF-DE3F214BB31C}"/>
            </a:ext>
          </a:extLst>
        </xdr:cNvPr>
        <xdr:cNvSpPr/>
      </xdr:nvSpPr>
      <xdr:spPr>
        <a:xfrm rot="10800000">
          <a:off x="647700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240</xdr:row>
      <xdr:rowOff>0</xdr:rowOff>
    </xdr:from>
    <xdr:to>
      <xdr:col>60</xdr:col>
      <xdr:colOff>83820</xdr:colOff>
      <xdr:row>240</xdr:row>
      <xdr:rowOff>114300</xdr:rowOff>
    </xdr:to>
    <xdr:sp macro="" textlink="">
      <xdr:nvSpPr>
        <xdr:cNvPr id="1816" name="Arrow: Down 1815">
          <a:extLst>
            <a:ext uri="{FF2B5EF4-FFF2-40B4-BE49-F238E27FC236}">
              <a16:creationId xmlns:a16="http://schemas.microsoft.com/office/drawing/2014/main" id="{1FF30F71-4200-4D45-91F4-CC310EDCEBB4}"/>
            </a:ext>
          </a:extLst>
        </xdr:cNvPr>
        <xdr:cNvSpPr/>
      </xdr:nvSpPr>
      <xdr:spPr>
        <a:xfrm rot="10800000">
          <a:off x="1676400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240</xdr:row>
      <xdr:rowOff>0</xdr:rowOff>
    </xdr:from>
    <xdr:to>
      <xdr:col>39</xdr:col>
      <xdr:colOff>83820</xdr:colOff>
      <xdr:row>240</xdr:row>
      <xdr:rowOff>114300</xdr:rowOff>
    </xdr:to>
    <xdr:sp macro="" textlink="">
      <xdr:nvSpPr>
        <xdr:cNvPr id="1824" name="Arrow: Down 1823">
          <a:extLst>
            <a:ext uri="{FF2B5EF4-FFF2-40B4-BE49-F238E27FC236}">
              <a16:creationId xmlns:a16="http://schemas.microsoft.com/office/drawing/2014/main" id="{6415636D-CA74-421D-9B0B-E8163C7E70DE}"/>
            </a:ext>
          </a:extLst>
        </xdr:cNvPr>
        <xdr:cNvSpPr/>
      </xdr:nvSpPr>
      <xdr:spPr>
        <a:xfrm>
          <a:off x="963930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240</xdr:row>
      <xdr:rowOff>0</xdr:rowOff>
    </xdr:from>
    <xdr:to>
      <xdr:col>45</xdr:col>
      <xdr:colOff>83820</xdr:colOff>
      <xdr:row>240</xdr:row>
      <xdr:rowOff>114300</xdr:rowOff>
    </xdr:to>
    <xdr:sp macro="" textlink="">
      <xdr:nvSpPr>
        <xdr:cNvPr id="1831" name="Arrow: Down 1830">
          <a:extLst>
            <a:ext uri="{FF2B5EF4-FFF2-40B4-BE49-F238E27FC236}">
              <a16:creationId xmlns:a16="http://schemas.microsoft.com/office/drawing/2014/main" id="{65F68B06-24DE-4ADD-B9A5-3CABF64E8581}"/>
            </a:ext>
          </a:extLst>
        </xdr:cNvPr>
        <xdr:cNvSpPr/>
      </xdr:nvSpPr>
      <xdr:spPr>
        <a:xfrm>
          <a:off x="1144524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241</xdr:row>
      <xdr:rowOff>0</xdr:rowOff>
    </xdr:from>
    <xdr:to>
      <xdr:col>39</xdr:col>
      <xdr:colOff>83820</xdr:colOff>
      <xdr:row>241</xdr:row>
      <xdr:rowOff>114300</xdr:rowOff>
    </xdr:to>
    <xdr:sp macro="" textlink="">
      <xdr:nvSpPr>
        <xdr:cNvPr id="1837" name="Arrow: Down 1836">
          <a:extLst>
            <a:ext uri="{FF2B5EF4-FFF2-40B4-BE49-F238E27FC236}">
              <a16:creationId xmlns:a16="http://schemas.microsoft.com/office/drawing/2014/main" id="{F78E218F-1588-4506-B991-547B492DC65C}"/>
            </a:ext>
          </a:extLst>
        </xdr:cNvPr>
        <xdr:cNvSpPr/>
      </xdr:nvSpPr>
      <xdr:spPr>
        <a:xfrm>
          <a:off x="963930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241</xdr:row>
      <xdr:rowOff>0</xdr:rowOff>
    </xdr:from>
    <xdr:to>
      <xdr:col>45</xdr:col>
      <xdr:colOff>83820</xdr:colOff>
      <xdr:row>241</xdr:row>
      <xdr:rowOff>114300</xdr:rowOff>
    </xdr:to>
    <xdr:sp macro="" textlink="">
      <xdr:nvSpPr>
        <xdr:cNvPr id="1838" name="Arrow: Down 1837">
          <a:extLst>
            <a:ext uri="{FF2B5EF4-FFF2-40B4-BE49-F238E27FC236}">
              <a16:creationId xmlns:a16="http://schemas.microsoft.com/office/drawing/2014/main" id="{572510B5-337B-449B-BEF4-1D305D5D9485}"/>
            </a:ext>
          </a:extLst>
        </xdr:cNvPr>
        <xdr:cNvSpPr/>
      </xdr:nvSpPr>
      <xdr:spPr>
        <a:xfrm>
          <a:off x="11445240" y="4399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241</xdr:row>
      <xdr:rowOff>0</xdr:rowOff>
    </xdr:from>
    <xdr:to>
      <xdr:col>5</xdr:col>
      <xdr:colOff>83820</xdr:colOff>
      <xdr:row>241</xdr:row>
      <xdr:rowOff>114300</xdr:rowOff>
    </xdr:to>
    <xdr:sp macro="" textlink="">
      <xdr:nvSpPr>
        <xdr:cNvPr id="1839" name="Arrow: Down 1838">
          <a:extLst>
            <a:ext uri="{FF2B5EF4-FFF2-40B4-BE49-F238E27FC236}">
              <a16:creationId xmlns:a16="http://schemas.microsoft.com/office/drawing/2014/main" id="{4F1F5338-F6A9-423F-A32E-A431104C6ED9}"/>
            </a:ext>
          </a:extLst>
        </xdr:cNvPr>
        <xdr:cNvSpPr/>
      </xdr:nvSpPr>
      <xdr:spPr>
        <a:xfrm>
          <a:off x="192786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241</xdr:row>
      <xdr:rowOff>0</xdr:rowOff>
    </xdr:from>
    <xdr:to>
      <xdr:col>11</xdr:col>
      <xdr:colOff>83820</xdr:colOff>
      <xdr:row>241</xdr:row>
      <xdr:rowOff>114300</xdr:rowOff>
    </xdr:to>
    <xdr:sp macro="" textlink="">
      <xdr:nvSpPr>
        <xdr:cNvPr id="1840" name="Arrow: Down 1839">
          <a:extLst>
            <a:ext uri="{FF2B5EF4-FFF2-40B4-BE49-F238E27FC236}">
              <a16:creationId xmlns:a16="http://schemas.microsoft.com/office/drawing/2014/main" id="{12016E84-32D6-4998-AD4B-20A09DFDC2AD}"/>
            </a:ext>
          </a:extLst>
        </xdr:cNvPr>
        <xdr:cNvSpPr/>
      </xdr:nvSpPr>
      <xdr:spPr>
        <a:xfrm>
          <a:off x="369570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241</xdr:row>
      <xdr:rowOff>0</xdr:rowOff>
    </xdr:from>
    <xdr:to>
      <xdr:col>24</xdr:col>
      <xdr:colOff>83820</xdr:colOff>
      <xdr:row>241</xdr:row>
      <xdr:rowOff>114300</xdr:rowOff>
    </xdr:to>
    <xdr:sp macro="" textlink="">
      <xdr:nvSpPr>
        <xdr:cNvPr id="1842" name="Arrow: Down 1841">
          <a:extLst>
            <a:ext uri="{FF2B5EF4-FFF2-40B4-BE49-F238E27FC236}">
              <a16:creationId xmlns:a16="http://schemas.microsoft.com/office/drawing/2014/main" id="{87F85826-2044-4A37-998F-30B8E0903418}"/>
            </a:ext>
          </a:extLst>
        </xdr:cNvPr>
        <xdr:cNvSpPr/>
      </xdr:nvSpPr>
      <xdr:spPr>
        <a:xfrm>
          <a:off x="655320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241</xdr:row>
      <xdr:rowOff>0</xdr:rowOff>
    </xdr:from>
    <xdr:to>
      <xdr:col>60</xdr:col>
      <xdr:colOff>83820</xdr:colOff>
      <xdr:row>241</xdr:row>
      <xdr:rowOff>114300</xdr:rowOff>
    </xdr:to>
    <xdr:sp macro="" textlink="">
      <xdr:nvSpPr>
        <xdr:cNvPr id="1843" name="Arrow: Down 1842">
          <a:extLst>
            <a:ext uri="{FF2B5EF4-FFF2-40B4-BE49-F238E27FC236}">
              <a16:creationId xmlns:a16="http://schemas.microsoft.com/office/drawing/2014/main" id="{F503AA27-C619-4966-98B0-FFF957CE1EE0}"/>
            </a:ext>
          </a:extLst>
        </xdr:cNvPr>
        <xdr:cNvSpPr/>
      </xdr:nvSpPr>
      <xdr:spPr>
        <a:xfrm>
          <a:off x="1684020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241</xdr:row>
      <xdr:rowOff>0</xdr:rowOff>
    </xdr:from>
    <xdr:to>
      <xdr:col>71</xdr:col>
      <xdr:colOff>83820</xdr:colOff>
      <xdr:row>241</xdr:row>
      <xdr:rowOff>114300</xdr:rowOff>
    </xdr:to>
    <xdr:sp macro="" textlink="">
      <xdr:nvSpPr>
        <xdr:cNvPr id="1844" name="Arrow: Down 1843">
          <a:extLst>
            <a:ext uri="{FF2B5EF4-FFF2-40B4-BE49-F238E27FC236}">
              <a16:creationId xmlns:a16="http://schemas.microsoft.com/office/drawing/2014/main" id="{D7350C0F-F3BB-492F-8ABC-0CFA145819AC}"/>
            </a:ext>
          </a:extLst>
        </xdr:cNvPr>
        <xdr:cNvSpPr/>
      </xdr:nvSpPr>
      <xdr:spPr>
        <a:xfrm>
          <a:off x="1919478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242</xdr:row>
      <xdr:rowOff>0</xdr:rowOff>
    </xdr:from>
    <xdr:to>
      <xdr:col>39</xdr:col>
      <xdr:colOff>83820</xdr:colOff>
      <xdr:row>242</xdr:row>
      <xdr:rowOff>114300</xdr:rowOff>
    </xdr:to>
    <xdr:sp macro="" textlink="">
      <xdr:nvSpPr>
        <xdr:cNvPr id="1847" name="Arrow: Down 1846">
          <a:extLst>
            <a:ext uri="{FF2B5EF4-FFF2-40B4-BE49-F238E27FC236}">
              <a16:creationId xmlns:a16="http://schemas.microsoft.com/office/drawing/2014/main" id="{1CBE982F-F787-4E10-8822-7C979D94F5D1}"/>
            </a:ext>
          </a:extLst>
        </xdr:cNvPr>
        <xdr:cNvSpPr/>
      </xdr:nvSpPr>
      <xdr:spPr>
        <a:xfrm>
          <a:off x="9715500" y="44173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242</xdr:row>
      <xdr:rowOff>0</xdr:rowOff>
    </xdr:from>
    <xdr:to>
      <xdr:col>45</xdr:col>
      <xdr:colOff>83820</xdr:colOff>
      <xdr:row>242</xdr:row>
      <xdr:rowOff>114300</xdr:rowOff>
    </xdr:to>
    <xdr:sp macro="" textlink="">
      <xdr:nvSpPr>
        <xdr:cNvPr id="1848" name="Arrow: Down 1847">
          <a:extLst>
            <a:ext uri="{FF2B5EF4-FFF2-40B4-BE49-F238E27FC236}">
              <a16:creationId xmlns:a16="http://schemas.microsoft.com/office/drawing/2014/main" id="{D6485ED3-D607-4E93-BD87-8F99DEC1D403}"/>
            </a:ext>
          </a:extLst>
        </xdr:cNvPr>
        <xdr:cNvSpPr/>
      </xdr:nvSpPr>
      <xdr:spPr>
        <a:xfrm>
          <a:off x="11521440" y="44173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242</xdr:row>
      <xdr:rowOff>0</xdr:rowOff>
    </xdr:from>
    <xdr:to>
      <xdr:col>5</xdr:col>
      <xdr:colOff>83820</xdr:colOff>
      <xdr:row>242</xdr:row>
      <xdr:rowOff>114300</xdr:rowOff>
    </xdr:to>
    <xdr:sp macro="" textlink="">
      <xdr:nvSpPr>
        <xdr:cNvPr id="1849" name="Arrow: Down 1848">
          <a:extLst>
            <a:ext uri="{FF2B5EF4-FFF2-40B4-BE49-F238E27FC236}">
              <a16:creationId xmlns:a16="http://schemas.microsoft.com/office/drawing/2014/main" id="{097247E4-BC53-46D6-8A80-C6FEAC64046E}"/>
            </a:ext>
          </a:extLst>
        </xdr:cNvPr>
        <xdr:cNvSpPr/>
      </xdr:nvSpPr>
      <xdr:spPr>
        <a:xfrm>
          <a:off x="192786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242</xdr:row>
      <xdr:rowOff>0</xdr:rowOff>
    </xdr:from>
    <xdr:to>
      <xdr:col>11</xdr:col>
      <xdr:colOff>83820</xdr:colOff>
      <xdr:row>242</xdr:row>
      <xdr:rowOff>114300</xdr:rowOff>
    </xdr:to>
    <xdr:sp macro="" textlink="">
      <xdr:nvSpPr>
        <xdr:cNvPr id="1850" name="Arrow: Down 1849">
          <a:extLst>
            <a:ext uri="{FF2B5EF4-FFF2-40B4-BE49-F238E27FC236}">
              <a16:creationId xmlns:a16="http://schemas.microsoft.com/office/drawing/2014/main" id="{16A8183D-5CD7-4203-AF2A-1E3298C35C8D}"/>
            </a:ext>
          </a:extLst>
        </xdr:cNvPr>
        <xdr:cNvSpPr/>
      </xdr:nvSpPr>
      <xdr:spPr>
        <a:xfrm>
          <a:off x="369570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242</xdr:row>
      <xdr:rowOff>0</xdr:rowOff>
    </xdr:from>
    <xdr:to>
      <xdr:col>24</xdr:col>
      <xdr:colOff>83820</xdr:colOff>
      <xdr:row>242</xdr:row>
      <xdr:rowOff>114300</xdr:rowOff>
    </xdr:to>
    <xdr:sp macro="" textlink="">
      <xdr:nvSpPr>
        <xdr:cNvPr id="1851" name="Arrow: Down 1850">
          <a:extLst>
            <a:ext uri="{FF2B5EF4-FFF2-40B4-BE49-F238E27FC236}">
              <a16:creationId xmlns:a16="http://schemas.microsoft.com/office/drawing/2014/main" id="{8C6912A5-7ECD-45F0-A4D4-ABBA58E5A046}"/>
            </a:ext>
          </a:extLst>
        </xdr:cNvPr>
        <xdr:cNvSpPr/>
      </xdr:nvSpPr>
      <xdr:spPr>
        <a:xfrm>
          <a:off x="6553200" y="4417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242</xdr:row>
      <xdr:rowOff>0</xdr:rowOff>
    </xdr:from>
    <xdr:to>
      <xdr:col>60</xdr:col>
      <xdr:colOff>83820</xdr:colOff>
      <xdr:row>242</xdr:row>
      <xdr:rowOff>114300</xdr:rowOff>
    </xdr:to>
    <xdr:sp macro="" textlink="">
      <xdr:nvSpPr>
        <xdr:cNvPr id="1854" name="Arrow: Down 1853">
          <a:extLst>
            <a:ext uri="{FF2B5EF4-FFF2-40B4-BE49-F238E27FC236}">
              <a16:creationId xmlns:a16="http://schemas.microsoft.com/office/drawing/2014/main" id="{ACD682A0-18DE-4D41-A1C8-FE4D9667E0FA}"/>
            </a:ext>
          </a:extLst>
        </xdr:cNvPr>
        <xdr:cNvSpPr/>
      </xdr:nvSpPr>
      <xdr:spPr>
        <a:xfrm rot="10800000">
          <a:off x="16840200" y="4435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242</xdr:row>
      <xdr:rowOff>0</xdr:rowOff>
    </xdr:from>
    <xdr:to>
      <xdr:col>71</xdr:col>
      <xdr:colOff>83820</xdr:colOff>
      <xdr:row>242</xdr:row>
      <xdr:rowOff>114300</xdr:rowOff>
    </xdr:to>
    <xdr:sp macro="" textlink="">
      <xdr:nvSpPr>
        <xdr:cNvPr id="1856" name="Arrow: Down 1855">
          <a:extLst>
            <a:ext uri="{FF2B5EF4-FFF2-40B4-BE49-F238E27FC236}">
              <a16:creationId xmlns:a16="http://schemas.microsoft.com/office/drawing/2014/main" id="{4E682D0C-043B-4F0A-9FA8-424EE67E8807}"/>
            </a:ext>
          </a:extLst>
        </xdr:cNvPr>
        <xdr:cNvSpPr/>
      </xdr:nvSpPr>
      <xdr:spPr>
        <a:xfrm rot="10800000">
          <a:off x="20863560" y="4435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243</xdr:row>
      <xdr:rowOff>0</xdr:rowOff>
    </xdr:from>
    <xdr:to>
      <xdr:col>45</xdr:col>
      <xdr:colOff>83820</xdr:colOff>
      <xdr:row>243</xdr:row>
      <xdr:rowOff>114300</xdr:rowOff>
    </xdr:to>
    <xdr:sp macro="" textlink="">
      <xdr:nvSpPr>
        <xdr:cNvPr id="1794" name="Arrow: Down 1793">
          <a:extLst>
            <a:ext uri="{FF2B5EF4-FFF2-40B4-BE49-F238E27FC236}">
              <a16:creationId xmlns:a16="http://schemas.microsoft.com/office/drawing/2014/main" id="{3CBE3DC0-DB94-4207-A932-63B66B3E9F1D}"/>
            </a:ext>
          </a:extLst>
        </xdr:cNvPr>
        <xdr:cNvSpPr/>
      </xdr:nvSpPr>
      <xdr:spPr>
        <a:xfrm>
          <a:off x="11521440" y="4435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243</xdr:row>
      <xdr:rowOff>0</xdr:rowOff>
    </xdr:from>
    <xdr:to>
      <xdr:col>5</xdr:col>
      <xdr:colOff>83820</xdr:colOff>
      <xdr:row>243</xdr:row>
      <xdr:rowOff>114300</xdr:rowOff>
    </xdr:to>
    <xdr:sp macro="" textlink="">
      <xdr:nvSpPr>
        <xdr:cNvPr id="1836" name="Arrow: Down 1835">
          <a:extLst>
            <a:ext uri="{FF2B5EF4-FFF2-40B4-BE49-F238E27FC236}">
              <a16:creationId xmlns:a16="http://schemas.microsoft.com/office/drawing/2014/main" id="{FB76DCEA-EA24-4E39-9555-E6B9151B54D6}"/>
            </a:ext>
          </a:extLst>
        </xdr:cNvPr>
        <xdr:cNvSpPr/>
      </xdr:nvSpPr>
      <xdr:spPr>
        <a:xfrm rot="10800000">
          <a:off x="192786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243</xdr:row>
      <xdr:rowOff>0</xdr:rowOff>
    </xdr:from>
    <xdr:to>
      <xdr:col>11</xdr:col>
      <xdr:colOff>83820</xdr:colOff>
      <xdr:row>243</xdr:row>
      <xdr:rowOff>114300</xdr:rowOff>
    </xdr:to>
    <xdr:sp macro="" textlink="">
      <xdr:nvSpPr>
        <xdr:cNvPr id="1841" name="Arrow: Down 1840">
          <a:extLst>
            <a:ext uri="{FF2B5EF4-FFF2-40B4-BE49-F238E27FC236}">
              <a16:creationId xmlns:a16="http://schemas.microsoft.com/office/drawing/2014/main" id="{9662E5FD-5FDD-4BB9-ACC7-92395BC6B2BE}"/>
            </a:ext>
          </a:extLst>
        </xdr:cNvPr>
        <xdr:cNvSpPr/>
      </xdr:nvSpPr>
      <xdr:spPr>
        <a:xfrm rot="10800000">
          <a:off x="369570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243</xdr:row>
      <xdr:rowOff>0</xdr:rowOff>
    </xdr:from>
    <xdr:to>
      <xdr:col>24</xdr:col>
      <xdr:colOff>83820</xdr:colOff>
      <xdr:row>243</xdr:row>
      <xdr:rowOff>114300</xdr:rowOff>
    </xdr:to>
    <xdr:sp macro="" textlink="">
      <xdr:nvSpPr>
        <xdr:cNvPr id="1845" name="Arrow: Down 1844">
          <a:extLst>
            <a:ext uri="{FF2B5EF4-FFF2-40B4-BE49-F238E27FC236}">
              <a16:creationId xmlns:a16="http://schemas.microsoft.com/office/drawing/2014/main" id="{0708A1CF-1194-4251-8E60-E329FFE2FE24}"/>
            </a:ext>
          </a:extLst>
        </xdr:cNvPr>
        <xdr:cNvSpPr/>
      </xdr:nvSpPr>
      <xdr:spPr>
        <a:xfrm rot="10800000">
          <a:off x="655320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243</xdr:row>
      <xdr:rowOff>0</xdr:rowOff>
    </xdr:from>
    <xdr:to>
      <xdr:col>39</xdr:col>
      <xdr:colOff>83820</xdr:colOff>
      <xdr:row>243</xdr:row>
      <xdr:rowOff>114300</xdr:rowOff>
    </xdr:to>
    <xdr:sp macro="" textlink="">
      <xdr:nvSpPr>
        <xdr:cNvPr id="1852" name="Arrow: Down 1851">
          <a:extLst>
            <a:ext uri="{FF2B5EF4-FFF2-40B4-BE49-F238E27FC236}">
              <a16:creationId xmlns:a16="http://schemas.microsoft.com/office/drawing/2014/main" id="{21A5F523-2069-4CAC-A116-4F9499A4A61B}"/>
            </a:ext>
          </a:extLst>
        </xdr:cNvPr>
        <xdr:cNvSpPr/>
      </xdr:nvSpPr>
      <xdr:spPr>
        <a:xfrm rot="10800000">
          <a:off x="9715500" y="4453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243</xdr:row>
      <xdr:rowOff>0</xdr:rowOff>
    </xdr:from>
    <xdr:to>
      <xdr:col>60</xdr:col>
      <xdr:colOff>83820</xdr:colOff>
      <xdr:row>243</xdr:row>
      <xdr:rowOff>114300</xdr:rowOff>
    </xdr:to>
    <xdr:sp macro="" textlink="">
      <xdr:nvSpPr>
        <xdr:cNvPr id="1853" name="Arrow: Down 1852">
          <a:extLst>
            <a:ext uri="{FF2B5EF4-FFF2-40B4-BE49-F238E27FC236}">
              <a16:creationId xmlns:a16="http://schemas.microsoft.com/office/drawing/2014/main" id="{3D0A40C0-D88B-496B-89C2-6B801C3FB94E}"/>
            </a:ext>
          </a:extLst>
        </xdr:cNvPr>
        <xdr:cNvSpPr/>
      </xdr:nvSpPr>
      <xdr:spPr>
        <a:xfrm>
          <a:off x="16840200" y="4453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243</xdr:row>
      <xdr:rowOff>0</xdr:rowOff>
    </xdr:from>
    <xdr:to>
      <xdr:col>71</xdr:col>
      <xdr:colOff>83820</xdr:colOff>
      <xdr:row>243</xdr:row>
      <xdr:rowOff>114300</xdr:rowOff>
    </xdr:to>
    <xdr:sp macro="" textlink="">
      <xdr:nvSpPr>
        <xdr:cNvPr id="1855" name="Arrow: Down 1854">
          <a:extLst>
            <a:ext uri="{FF2B5EF4-FFF2-40B4-BE49-F238E27FC236}">
              <a16:creationId xmlns:a16="http://schemas.microsoft.com/office/drawing/2014/main" id="{CD9703EB-EDC9-49D9-8B3D-25ECE670C01E}"/>
            </a:ext>
          </a:extLst>
        </xdr:cNvPr>
        <xdr:cNvSpPr/>
      </xdr:nvSpPr>
      <xdr:spPr>
        <a:xfrm>
          <a:off x="19194780" y="4453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244</xdr:row>
      <xdr:rowOff>0</xdr:rowOff>
    </xdr:from>
    <xdr:to>
      <xdr:col>45</xdr:col>
      <xdr:colOff>83820</xdr:colOff>
      <xdr:row>244</xdr:row>
      <xdr:rowOff>114300</xdr:rowOff>
    </xdr:to>
    <xdr:sp macro="" textlink="">
      <xdr:nvSpPr>
        <xdr:cNvPr id="1790" name="Arrow: Down 1789">
          <a:extLst>
            <a:ext uri="{FF2B5EF4-FFF2-40B4-BE49-F238E27FC236}">
              <a16:creationId xmlns:a16="http://schemas.microsoft.com/office/drawing/2014/main" id="{C0A2498E-A063-423B-932B-6754FDB3EED0}"/>
            </a:ext>
          </a:extLst>
        </xdr:cNvPr>
        <xdr:cNvSpPr/>
      </xdr:nvSpPr>
      <xdr:spPr>
        <a:xfrm>
          <a:off x="1152144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244</xdr:row>
      <xdr:rowOff>0</xdr:rowOff>
    </xdr:from>
    <xdr:to>
      <xdr:col>5</xdr:col>
      <xdr:colOff>83820</xdr:colOff>
      <xdr:row>244</xdr:row>
      <xdr:rowOff>114300</xdr:rowOff>
    </xdr:to>
    <xdr:sp macro="" textlink="">
      <xdr:nvSpPr>
        <xdr:cNvPr id="1797" name="Arrow: Down 1796">
          <a:extLst>
            <a:ext uri="{FF2B5EF4-FFF2-40B4-BE49-F238E27FC236}">
              <a16:creationId xmlns:a16="http://schemas.microsoft.com/office/drawing/2014/main" id="{1A1C6A54-174C-4DF0-8FA3-5D1AE9B7A368}"/>
            </a:ext>
          </a:extLst>
        </xdr:cNvPr>
        <xdr:cNvSpPr/>
      </xdr:nvSpPr>
      <xdr:spPr>
        <a:xfrm rot="10800000">
          <a:off x="192786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244</xdr:row>
      <xdr:rowOff>0</xdr:rowOff>
    </xdr:from>
    <xdr:to>
      <xdr:col>11</xdr:col>
      <xdr:colOff>83820</xdr:colOff>
      <xdr:row>244</xdr:row>
      <xdr:rowOff>114300</xdr:rowOff>
    </xdr:to>
    <xdr:sp macro="" textlink="">
      <xdr:nvSpPr>
        <xdr:cNvPr id="1799" name="Arrow: Down 1798">
          <a:extLst>
            <a:ext uri="{FF2B5EF4-FFF2-40B4-BE49-F238E27FC236}">
              <a16:creationId xmlns:a16="http://schemas.microsoft.com/office/drawing/2014/main" id="{36494D2D-E098-4A30-964E-95AC022214AB}"/>
            </a:ext>
          </a:extLst>
        </xdr:cNvPr>
        <xdr:cNvSpPr/>
      </xdr:nvSpPr>
      <xdr:spPr>
        <a:xfrm rot="10800000">
          <a:off x="369570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244</xdr:row>
      <xdr:rowOff>0</xdr:rowOff>
    </xdr:from>
    <xdr:to>
      <xdr:col>24</xdr:col>
      <xdr:colOff>83820</xdr:colOff>
      <xdr:row>244</xdr:row>
      <xdr:rowOff>114300</xdr:rowOff>
    </xdr:to>
    <xdr:sp macro="" textlink="">
      <xdr:nvSpPr>
        <xdr:cNvPr id="1832" name="Arrow: Down 1831">
          <a:extLst>
            <a:ext uri="{FF2B5EF4-FFF2-40B4-BE49-F238E27FC236}">
              <a16:creationId xmlns:a16="http://schemas.microsoft.com/office/drawing/2014/main" id="{732AF896-1358-406B-8D3C-280B2BB597F2}"/>
            </a:ext>
          </a:extLst>
        </xdr:cNvPr>
        <xdr:cNvSpPr/>
      </xdr:nvSpPr>
      <xdr:spPr>
        <a:xfrm rot="10800000">
          <a:off x="6553200" y="4453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244</xdr:row>
      <xdr:rowOff>0</xdr:rowOff>
    </xdr:from>
    <xdr:to>
      <xdr:col>39</xdr:col>
      <xdr:colOff>83820</xdr:colOff>
      <xdr:row>244</xdr:row>
      <xdr:rowOff>114300</xdr:rowOff>
    </xdr:to>
    <xdr:sp macro="" textlink="">
      <xdr:nvSpPr>
        <xdr:cNvPr id="1857" name="Arrow: Down 1856">
          <a:extLst>
            <a:ext uri="{FF2B5EF4-FFF2-40B4-BE49-F238E27FC236}">
              <a16:creationId xmlns:a16="http://schemas.microsoft.com/office/drawing/2014/main" id="{0C422F86-A415-4AD8-B72C-70DEC16551A6}"/>
            </a:ext>
          </a:extLst>
        </xdr:cNvPr>
        <xdr:cNvSpPr/>
      </xdr:nvSpPr>
      <xdr:spPr>
        <a:xfrm>
          <a:off x="97155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244</xdr:row>
      <xdr:rowOff>0</xdr:rowOff>
    </xdr:from>
    <xdr:to>
      <xdr:col>71</xdr:col>
      <xdr:colOff>83820</xdr:colOff>
      <xdr:row>244</xdr:row>
      <xdr:rowOff>114300</xdr:rowOff>
    </xdr:to>
    <xdr:sp macro="" textlink="">
      <xdr:nvSpPr>
        <xdr:cNvPr id="1859" name="Arrow: Down 1858">
          <a:extLst>
            <a:ext uri="{FF2B5EF4-FFF2-40B4-BE49-F238E27FC236}">
              <a16:creationId xmlns:a16="http://schemas.microsoft.com/office/drawing/2014/main" id="{22ED1FE4-CD30-4129-9F4D-08238BD93179}"/>
            </a:ext>
          </a:extLst>
        </xdr:cNvPr>
        <xdr:cNvSpPr/>
      </xdr:nvSpPr>
      <xdr:spPr>
        <a:xfrm rot="10800000">
          <a:off x="1927098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244</xdr:row>
      <xdr:rowOff>0</xdr:rowOff>
    </xdr:from>
    <xdr:to>
      <xdr:col>60</xdr:col>
      <xdr:colOff>83820</xdr:colOff>
      <xdr:row>244</xdr:row>
      <xdr:rowOff>114300</xdr:rowOff>
    </xdr:to>
    <xdr:sp macro="" textlink="">
      <xdr:nvSpPr>
        <xdr:cNvPr id="1860" name="Arrow: Down 1859">
          <a:extLst>
            <a:ext uri="{FF2B5EF4-FFF2-40B4-BE49-F238E27FC236}">
              <a16:creationId xmlns:a16="http://schemas.microsoft.com/office/drawing/2014/main" id="{48A97788-CD51-4524-9123-9D5ED361D44E}"/>
            </a:ext>
          </a:extLst>
        </xdr:cNvPr>
        <xdr:cNvSpPr/>
      </xdr:nvSpPr>
      <xdr:spPr>
        <a:xfrm rot="10800000">
          <a:off x="168402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245</xdr:row>
      <xdr:rowOff>0</xdr:rowOff>
    </xdr:from>
    <xdr:to>
      <xdr:col>45</xdr:col>
      <xdr:colOff>83820</xdr:colOff>
      <xdr:row>245</xdr:row>
      <xdr:rowOff>114300</xdr:rowOff>
    </xdr:to>
    <xdr:sp macro="" textlink="">
      <xdr:nvSpPr>
        <xdr:cNvPr id="1868" name="Arrow: Down 1867">
          <a:extLst>
            <a:ext uri="{FF2B5EF4-FFF2-40B4-BE49-F238E27FC236}">
              <a16:creationId xmlns:a16="http://schemas.microsoft.com/office/drawing/2014/main" id="{1307CE5A-2E5B-476B-B3C9-E77828E77C06}"/>
            </a:ext>
          </a:extLst>
        </xdr:cNvPr>
        <xdr:cNvSpPr/>
      </xdr:nvSpPr>
      <xdr:spPr>
        <a:xfrm>
          <a:off x="1152144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245</xdr:row>
      <xdr:rowOff>0</xdr:rowOff>
    </xdr:from>
    <xdr:to>
      <xdr:col>5</xdr:col>
      <xdr:colOff>83820</xdr:colOff>
      <xdr:row>245</xdr:row>
      <xdr:rowOff>114300</xdr:rowOff>
    </xdr:to>
    <xdr:sp macro="" textlink="">
      <xdr:nvSpPr>
        <xdr:cNvPr id="1869" name="Arrow: Down 1868">
          <a:extLst>
            <a:ext uri="{FF2B5EF4-FFF2-40B4-BE49-F238E27FC236}">
              <a16:creationId xmlns:a16="http://schemas.microsoft.com/office/drawing/2014/main" id="{979B95E6-95E3-4CF8-AB08-A61CEF799331}"/>
            </a:ext>
          </a:extLst>
        </xdr:cNvPr>
        <xdr:cNvSpPr/>
      </xdr:nvSpPr>
      <xdr:spPr>
        <a:xfrm rot="10800000">
          <a:off x="192786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245</xdr:row>
      <xdr:rowOff>0</xdr:rowOff>
    </xdr:from>
    <xdr:to>
      <xdr:col>11</xdr:col>
      <xdr:colOff>83820</xdr:colOff>
      <xdr:row>245</xdr:row>
      <xdr:rowOff>114300</xdr:rowOff>
    </xdr:to>
    <xdr:sp macro="" textlink="">
      <xdr:nvSpPr>
        <xdr:cNvPr id="1870" name="Arrow: Down 1869">
          <a:extLst>
            <a:ext uri="{FF2B5EF4-FFF2-40B4-BE49-F238E27FC236}">
              <a16:creationId xmlns:a16="http://schemas.microsoft.com/office/drawing/2014/main" id="{FBAB0E68-F8BD-46E9-8140-65FBADE3EE64}"/>
            </a:ext>
          </a:extLst>
        </xdr:cNvPr>
        <xdr:cNvSpPr/>
      </xdr:nvSpPr>
      <xdr:spPr>
        <a:xfrm rot="10800000">
          <a:off x="36957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245</xdr:row>
      <xdr:rowOff>0</xdr:rowOff>
    </xdr:from>
    <xdr:to>
      <xdr:col>24</xdr:col>
      <xdr:colOff>83820</xdr:colOff>
      <xdr:row>245</xdr:row>
      <xdr:rowOff>114300</xdr:rowOff>
    </xdr:to>
    <xdr:sp macro="" textlink="">
      <xdr:nvSpPr>
        <xdr:cNvPr id="1871" name="Arrow: Down 1870">
          <a:extLst>
            <a:ext uri="{FF2B5EF4-FFF2-40B4-BE49-F238E27FC236}">
              <a16:creationId xmlns:a16="http://schemas.microsoft.com/office/drawing/2014/main" id="{FF44D461-1B1F-4A24-B520-53629BA02ACB}"/>
            </a:ext>
          </a:extLst>
        </xdr:cNvPr>
        <xdr:cNvSpPr/>
      </xdr:nvSpPr>
      <xdr:spPr>
        <a:xfrm rot="10800000">
          <a:off x="65532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245</xdr:row>
      <xdr:rowOff>0</xdr:rowOff>
    </xdr:from>
    <xdr:to>
      <xdr:col>39</xdr:col>
      <xdr:colOff>83820</xdr:colOff>
      <xdr:row>245</xdr:row>
      <xdr:rowOff>114300</xdr:rowOff>
    </xdr:to>
    <xdr:sp macro="" textlink="">
      <xdr:nvSpPr>
        <xdr:cNvPr id="1872" name="Arrow: Down 1871">
          <a:extLst>
            <a:ext uri="{FF2B5EF4-FFF2-40B4-BE49-F238E27FC236}">
              <a16:creationId xmlns:a16="http://schemas.microsoft.com/office/drawing/2014/main" id="{7625F254-D9C7-4C5A-BC0B-7169444222EA}"/>
            </a:ext>
          </a:extLst>
        </xdr:cNvPr>
        <xdr:cNvSpPr/>
      </xdr:nvSpPr>
      <xdr:spPr>
        <a:xfrm>
          <a:off x="97155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245</xdr:row>
      <xdr:rowOff>0</xdr:rowOff>
    </xdr:from>
    <xdr:to>
      <xdr:col>71</xdr:col>
      <xdr:colOff>83820</xdr:colOff>
      <xdr:row>245</xdr:row>
      <xdr:rowOff>114300</xdr:rowOff>
    </xdr:to>
    <xdr:sp macro="" textlink="">
      <xdr:nvSpPr>
        <xdr:cNvPr id="1873" name="Arrow: Down 1872">
          <a:extLst>
            <a:ext uri="{FF2B5EF4-FFF2-40B4-BE49-F238E27FC236}">
              <a16:creationId xmlns:a16="http://schemas.microsoft.com/office/drawing/2014/main" id="{DC80DEEE-4F16-40B8-8B30-EC3BC4EE944E}"/>
            </a:ext>
          </a:extLst>
        </xdr:cNvPr>
        <xdr:cNvSpPr/>
      </xdr:nvSpPr>
      <xdr:spPr>
        <a:xfrm rot="10800000">
          <a:off x="1927098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245</xdr:row>
      <xdr:rowOff>0</xdr:rowOff>
    </xdr:from>
    <xdr:to>
      <xdr:col>60</xdr:col>
      <xdr:colOff>83820</xdr:colOff>
      <xdr:row>245</xdr:row>
      <xdr:rowOff>114300</xdr:rowOff>
    </xdr:to>
    <xdr:sp macro="" textlink="">
      <xdr:nvSpPr>
        <xdr:cNvPr id="1874" name="Arrow: Down 1873">
          <a:extLst>
            <a:ext uri="{FF2B5EF4-FFF2-40B4-BE49-F238E27FC236}">
              <a16:creationId xmlns:a16="http://schemas.microsoft.com/office/drawing/2014/main" id="{A39A1401-60FF-4AC2-A3F8-3C1B4406EBBD}"/>
            </a:ext>
          </a:extLst>
        </xdr:cNvPr>
        <xdr:cNvSpPr/>
      </xdr:nvSpPr>
      <xdr:spPr>
        <a:xfrm rot="10800000">
          <a:off x="16840200" y="44721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246</xdr:row>
      <xdr:rowOff>0</xdr:rowOff>
    </xdr:from>
    <xdr:to>
      <xdr:col>45</xdr:col>
      <xdr:colOff>83820</xdr:colOff>
      <xdr:row>246</xdr:row>
      <xdr:rowOff>114300</xdr:rowOff>
    </xdr:to>
    <xdr:sp macro="" textlink="">
      <xdr:nvSpPr>
        <xdr:cNvPr id="1833" name="Arrow: Down 1832">
          <a:extLst>
            <a:ext uri="{FF2B5EF4-FFF2-40B4-BE49-F238E27FC236}">
              <a16:creationId xmlns:a16="http://schemas.microsoft.com/office/drawing/2014/main" id="{C6C0F90E-DD22-458B-9720-90AE893640A9}"/>
            </a:ext>
          </a:extLst>
        </xdr:cNvPr>
        <xdr:cNvSpPr/>
      </xdr:nvSpPr>
      <xdr:spPr>
        <a:xfrm>
          <a:off x="11521440" y="4490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246</xdr:row>
      <xdr:rowOff>0</xdr:rowOff>
    </xdr:from>
    <xdr:to>
      <xdr:col>5</xdr:col>
      <xdr:colOff>83820</xdr:colOff>
      <xdr:row>246</xdr:row>
      <xdr:rowOff>114300</xdr:rowOff>
    </xdr:to>
    <xdr:sp macro="" textlink="">
      <xdr:nvSpPr>
        <xdr:cNvPr id="1834" name="Arrow: Down 1833">
          <a:extLst>
            <a:ext uri="{FF2B5EF4-FFF2-40B4-BE49-F238E27FC236}">
              <a16:creationId xmlns:a16="http://schemas.microsoft.com/office/drawing/2014/main" id="{6E4638D4-0BC6-4919-BCDF-825D5FA24C05}"/>
            </a:ext>
          </a:extLst>
        </xdr:cNvPr>
        <xdr:cNvSpPr/>
      </xdr:nvSpPr>
      <xdr:spPr>
        <a:xfrm rot="10800000">
          <a:off x="1927860" y="4490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246</xdr:row>
      <xdr:rowOff>0</xdr:rowOff>
    </xdr:from>
    <xdr:to>
      <xdr:col>11</xdr:col>
      <xdr:colOff>83820</xdr:colOff>
      <xdr:row>246</xdr:row>
      <xdr:rowOff>114300</xdr:rowOff>
    </xdr:to>
    <xdr:sp macro="" textlink="">
      <xdr:nvSpPr>
        <xdr:cNvPr id="1835" name="Arrow: Down 1834">
          <a:extLst>
            <a:ext uri="{FF2B5EF4-FFF2-40B4-BE49-F238E27FC236}">
              <a16:creationId xmlns:a16="http://schemas.microsoft.com/office/drawing/2014/main" id="{1377CF96-95B6-4D65-8114-C1F36F0B1618}"/>
            </a:ext>
          </a:extLst>
        </xdr:cNvPr>
        <xdr:cNvSpPr/>
      </xdr:nvSpPr>
      <xdr:spPr>
        <a:xfrm rot="10800000">
          <a:off x="3695700" y="4490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246</xdr:row>
      <xdr:rowOff>0</xdr:rowOff>
    </xdr:from>
    <xdr:to>
      <xdr:col>71</xdr:col>
      <xdr:colOff>83820</xdr:colOff>
      <xdr:row>246</xdr:row>
      <xdr:rowOff>114300</xdr:rowOff>
    </xdr:to>
    <xdr:sp macro="" textlink="">
      <xdr:nvSpPr>
        <xdr:cNvPr id="1861" name="Arrow: Down 1860">
          <a:extLst>
            <a:ext uri="{FF2B5EF4-FFF2-40B4-BE49-F238E27FC236}">
              <a16:creationId xmlns:a16="http://schemas.microsoft.com/office/drawing/2014/main" id="{EC30A322-4671-40D3-B30A-596BD82D02B7}"/>
            </a:ext>
          </a:extLst>
        </xdr:cNvPr>
        <xdr:cNvSpPr/>
      </xdr:nvSpPr>
      <xdr:spPr>
        <a:xfrm rot="10800000">
          <a:off x="19270980" y="4490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246</xdr:row>
      <xdr:rowOff>0</xdr:rowOff>
    </xdr:from>
    <xdr:to>
      <xdr:col>60</xdr:col>
      <xdr:colOff>83820</xdr:colOff>
      <xdr:row>246</xdr:row>
      <xdr:rowOff>114300</xdr:rowOff>
    </xdr:to>
    <xdr:sp macro="" textlink="">
      <xdr:nvSpPr>
        <xdr:cNvPr id="1862" name="Arrow: Down 1861">
          <a:extLst>
            <a:ext uri="{FF2B5EF4-FFF2-40B4-BE49-F238E27FC236}">
              <a16:creationId xmlns:a16="http://schemas.microsoft.com/office/drawing/2014/main" id="{10F8233C-2663-47C5-B6A9-B3851D1AC495}"/>
            </a:ext>
          </a:extLst>
        </xdr:cNvPr>
        <xdr:cNvSpPr/>
      </xdr:nvSpPr>
      <xdr:spPr>
        <a:xfrm rot="10800000">
          <a:off x="16840200" y="4490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246</xdr:row>
      <xdr:rowOff>0</xdr:rowOff>
    </xdr:from>
    <xdr:to>
      <xdr:col>24</xdr:col>
      <xdr:colOff>83820</xdr:colOff>
      <xdr:row>246</xdr:row>
      <xdr:rowOff>114300</xdr:rowOff>
    </xdr:to>
    <xdr:sp macro="" textlink="">
      <xdr:nvSpPr>
        <xdr:cNvPr id="1864" name="Arrow: Down 1863">
          <a:extLst>
            <a:ext uri="{FF2B5EF4-FFF2-40B4-BE49-F238E27FC236}">
              <a16:creationId xmlns:a16="http://schemas.microsoft.com/office/drawing/2014/main" id="{6697C1E0-AF4F-4E62-9A1C-E4A93A4C4F7F}"/>
            </a:ext>
          </a:extLst>
        </xdr:cNvPr>
        <xdr:cNvSpPr/>
      </xdr:nvSpPr>
      <xdr:spPr>
        <a:xfrm>
          <a:off x="6553200" y="4508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246</xdr:row>
      <xdr:rowOff>0</xdr:rowOff>
    </xdr:from>
    <xdr:to>
      <xdr:col>39</xdr:col>
      <xdr:colOff>83820</xdr:colOff>
      <xdr:row>246</xdr:row>
      <xdr:rowOff>114300</xdr:rowOff>
    </xdr:to>
    <xdr:sp macro="" textlink="">
      <xdr:nvSpPr>
        <xdr:cNvPr id="1865" name="Arrow: Down 1864">
          <a:extLst>
            <a:ext uri="{FF2B5EF4-FFF2-40B4-BE49-F238E27FC236}">
              <a16:creationId xmlns:a16="http://schemas.microsoft.com/office/drawing/2014/main" id="{6FC58B0F-B148-49A5-8F7C-D80887697201}"/>
            </a:ext>
          </a:extLst>
        </xdr:cNvPr>
        <xdr:cNvSpPr/>
      </xdr:nvSpPr>
      <xdr:spPr>
        <a:xfrm rot="10800000">
          <a:off x="9715500" y="4508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247</xdr:row>
      <xdr:rowOff>0</xdr:rowOff>
    </xdr:from>
    <xdr:to>
      <xdr:col>45</xdr:col>
      <xdr:colOff>83820</xdr:colOff>
      <xdr:row>247</xdr:row>
      <xdr:rowOff>114300</xdr:rowOff>
    </xdr:to>
    <xdr:sp macro="" textlink="">
      <xdr:nvSpPr>
        <xdr:cNvPr id="1880" name="Arrow: Down 1879">
          <a:extLst>
            <a:ext uri="{FF2B5EF4-FFF2-40B4-BE49-F238E27FC236}">
              <a16:creationId xmlns:a16="http://schemas.microsoft.com/office/drawing/2014/main" id="{7F1CA4C8-C00B-4768-823F-90932700D012}"/>
            </a:ext>
          </a:extLst>
        </xdr:cNvPr>
        <xdr:cNvSpPr/>
      </xdr:nvSpPr>
      <xdr:spPr>
        <a:xfrm>
          <a:off x="11521440" y="4508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247</xdr:row>
      <xdr:rowOff>0</xdr:rowOff>
    </xdr:from>
    <xdr:to>
      <xdr:col>5</xdr:col>
      <xdr:colOff>83820</xdr:colOff>
      <xdr:row>247</xdr:row>
      <xdr:rowOff>114300</xdr:rowOff>
    </xdr:to>
    <xdr:sp macro="" textlink="">
      <xdr:nvSpPr>
        <xdr:cNvPr id="1881" name="Arrow: Down 1880">
          <a:extLst>
            <a:ext uri="{FF2B5EF4-FFF2-40B4-BE49-F238E27FC236}">
              <a16:creationId xmlns:a16="http://schemas.microsoft.com/office/drawing/2014/main" id="{01670269-13A7-4E32-B061-E2EAA17D62C0}"/>
            </a:ext>
          </a:extLst>
        </xdr:cNvPr>
        <xdr:cNvSpPr/>
      </xdr:nvSpPr>
      <xdr:spPr>
        <a:xfrm rot="10800000">
          <a:off x="1927860" y="4508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247</xdr:row>
      <xdr:rowOff>0</xdr:rowOff>
    </xdr:from>
    <xdr:to>
      <xdr:col>11</xdr:col>
      <xdr:colOff>83820</xdr:colOff>
      <xdr:row>247</xdr:row>
      <xdr:rowOff>114300</xdr:rowOff>
    </xdr:to>
    <xdr:sp macro="" textlink="">
      <xdr:nvSpPr>
        <xdr:cNvPr id="1882" name="Arrow: Down 1881">
          <a:extLst>
            <a:ext uri="{FF2B5EF4-FFF2-40B4-BE49-F238E27FC236}">
              <a16:creationId xmlns:a16="http://schemas.microsoft.com/office/drawing/2014/main" id="{31B2A26D-4A8D-4CC8-A234-244B31C767F7}"/>
            </a:ext>
          </a:extLst>
        </xdr:cNvPr>
        <xdr:cNvSpPr/>
      </xdr:nvSpPr>
      <xdr:spPr>
        <a:xfrm rot="10800000">
          <a:off x="3695700" y="4508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247</xdr:row>
      <xdr:rowOff>0</xdr:rowOff>
    </xdr:from>
    <xdr:to>
      <xdr:col>71</xdr:col>
      <xdr:colOff>83820</xdr:colOff>
      <xdr:row>247</xdr:row>
      <xdr:rowOff>114300</xdr:rowOff>
    </xdr:to>
    <xdr:sp macro="" textlink="">
      <xdr:nvSpPr>
        <xdr:cNvPr id="1883" name="Arrow: Down 1882">
          <a:extLst>
            <a:ext uri="{FF2B5EF4-FFF2-40B4-BE49-F238E27FC236}">
              <a16:creationId xmlns:a16="http://schemas.microsoft.com/office/drawing/2014/main" id="{B5039255-1EA7-4EA2-B51A-028A4B6ECD5F}"/>
            </a:ext>
          </a:extLst>
        </xdr:cNvPr>
        <xdr:cNvSpPr/>
      </xdr:nvSpPr>
      <xdr:spPr>
        <a:xfrm rot="10800000">
          <a:off x="20939760" y="4508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247</xdr:row>
      <xdr:rowOff>0</xdr:rowOff>
    </xdr:from>
    <xdr:to>
      <xdr:col>60</xdr:col>
      <xdr:colOff>83820</xdr:colOff>
      <xdr:row>247</xdr:row>
      <xdr:rowOff>114300</xdr:rowOff>
    </xdr:to>
    <xdr:sp macro="" textlink="">
      <xdr:nvSpPr>
        <xdr:cNvPr id="1884" name="Arrow: Down 1883">
          <a:extLst>
            <a:ext uri="{FF2B5EF4-FFF2-40B4-BE49-F238E27FC236}">
              <a16:creationId xmlns:a16="http://schemas.microsoft.com/office/drawing/2014/main" id="{AB766D5F-595F-48B0-875A-BD7CBCC58359}"/>
            </a:ext>
          </a:extLst>
        </xdr:cNvPr>
        <xdr:cNvSpPr/>
      </xdr:nvSpPr>
      <xdr:spPr>
        <a:xfrm rot="10800000">
          <a:off x="16840200" y="4508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247</xdr:row>
      <xdr:rowOff>0</xdr:rowOff>
    </xdr:from>
    <xdr:to>
      <xdr:col>24</xdr:col>
      <xdr:colOff>83820</xdr:colOff>
      <xdr:row>247</xdr:row>
      <xdr:rowOff>114300</xdr:rowOff>
    </xdr:to>
    <xdr:sp macro="" textlink="">
      <xdr:nvSpPr>
        <xdr:cNvPr id="1887" name="Arrow: Down 1886">
          <a:extLst>
            <a:ext uri="{FF2B5EF4-FFF2-40B4-BE49-F238E27FC236}">
              <a16:creationId xmlns:a16="http://schemas.microsoft.com/office/drawing/2014/main" id="{C77EDD1F-7337-49F8-BCDC-6F6A68E169C0}"/>
            </a:ext>
          </a:extLst>
        </xdr:cNvPr>
        <xdr:cNvSpPr/>
      </xdr:nvSpPr>
      <xdr:spPr>
        <a:xfrm rot="10800000">
          <a:off x="6553200" y="4527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247</xdr:row>
      <xdr:rowOff>0</xdr:rowOff>
    </xdr:from>
    <xdr:to>
      <xdr:col>39</xdr:col>
      <xdr:colOff>83820</xdr:colOff>
      <xdr:row>247</xdr:row>
      <xdr:rowOff>114300</xdr:rowOff>
    </xdr:to>
    <xdr:sp macro="" textlink="">
      <xdr:nvSpPr>
        <xdr:cNvPr id="1889" name="Arrow: Down 1888">
          <a:extLst>
            <a:ext uri="{FF2B5EF4-FFF2-40B4-BE49-F238E27FC236}">
              <a16:creationId xmlns:a16="http://schemas.microsoft.com/office/drawing/2014/main" id="{82723541-1899-49C5-8C63-AEA9022E2D4F}"/>
            </a:ext>
          </a:extLst>
        </xdr:cNvPr>
        <xdr:cNvSpPr/>
      </xdr:nvSpPr>
      <xdr:spPr>
        <a:xfrm>
          <a:off x="9715500" y="4527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248</xdr:row>
      <xdr:rowOff>0</xdr:rowOff>
    </xdr:from>
    <xdr:to>
      <xdr:col>5</xdr:col>
      <xdr:colOff>83820</xdr:colOff>
      <xdr:row>248</xdr:row>
      <xdr:rowOff>114300</xdr:rowOff>
    </xdr:to>
    <xdr:sp macro="" textlink="">
      <xdr:nvSpPr>
        <xdr:cNvPr id="1897" name="Arrow: Down 1896">
          <a:extLst>
            <a:ext uri="{FF2B5EF4-FFF2-40B4-BE49-F238E27FC236}">
              <a16:creationId xmlns:a16="http://schemas.microsoft.com/office/drawing/2014/main" id="{36BD6A44-1B9F-45CE-B1D2-0D0014B08F43}"/>
            </a:ext>
          </a:extLst>
        </xdr:cNvPr>
        <xdr:cNvSpPr/>
      </xdr:nvSpPr>
      <xdr:spPr>
        <a:xfrm>
          <a:off x="192786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248</xdr:row>
      <xdr:rowOff>0</xdr:rowOff>
    </xdr:from>
    <xdr:to>
      <xdr:col>11</xdr:col>
      <xdr:colOff>83820</xdr:colOff>
      <xdr:row>248</xdr:row>
      <xdr:rowOff>114300</xdr:rowOff>
    </xdr:to>
    <xdr:sp macro="" textlink="">
      <xdr:nvSpPr>
        <xdr:cNvPr id="1899" name="Arrow: Down 1898">
          <a:extLst>
            <a:ext uri="{FF2B5EF4-FFF2-40B4-BE49-F238E27FC236}">
              <a16:creationId xmlns:a16="http://schemas.microsoft.com/office/drawing/2014/main" id="{65658A5E-1F07-48AC-A71F-E075E532737D}"/>
            </a:ext>
          </a:extLst>
        </xdr:cNvPr>
        <xdr:cNvSpPr/>
      </xdr:nvSpPr>
      <xdr:spPr>
        <a:xfrm>
          <a:off x="36957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248</xdr:row>
      <xdr:rowOff>0</xdr:rowOff>
    </xdr:from>
    <xdr:to>
      <xdr:col>24</xdr:col>
      <xdr:colOff>83820</xdr:colOff>
      <xdr:row>248</xdr:row>
      <xdr:rowOff>114300</xdr:rowOff>
    </xdr:to>
    <xdr:sp macro="" textlink="">
      <xdr:nvSpPr>
        <xdr:cNvPr id="1900" name="Arrow: Down 1899">
          <a:extLst>
            <a:ext uri="{FF2B5EF4-FFF2-40B4-BE49-F238E27FC236}">
              <a16:creationId xmlns:a16="http://schemas.microsoft.com/office/drawing/2014/main" id="{3155FA88-63A7-4F01-B638-DF060CE71F33}"/>
            </a:ext>
          </a:extLst>
        </xdr:cNvPr>
        <xdr:cNvSpPr/>
      </xdr:nvSpPr>
      <xdr:spPr>
        <a:xfrm>
          <a:off x="65532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248</xdr:row>
      <xdr:rowOff>0</xdr:rowOff>
    </xdr:from>
    <xdr:to>
      <xdr:col>39</xdr:col>
      <xdr:colOff>83820</xdr:colOff>
      <xdr:row>248</xdr:row>
      <xdr:rowOff>114300</xdr:rowOff>
    </xdr:to>
    <xdr:sp macro="" textlink="">
      <xdr:nvSpPr>
        <xdr:cNvPr id="1901" name="Arrow: Down 1900">
          <a:extLst>
            <a:ext uri="{FF2B5EF4-FFF2-40B4-BE49-F238E27FC236}">
              <a16:creationId xmlns:a16="http://schemas.microsoft.com/office/drawing/2014/main" id="{2E5AA7B8-68DF-4CEA-AA85-3E83F0FFAE79}"/>
            </a:ext>
          </a:extLst>
        </xdr:cNvPr>
        <xdr:cNvSpPr/>
      </xdr:nvSpPr>
      <xdr:spPr>
        <a:xfrm rot="10800000">
          <a:off x="97155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248</xdr:row>
      <xdr:rowOff>0</xdr:rowOff>
    </xdr:from>
    <xdr:to>
      <xdr:col>45</xdr:col>
      <xdr:colOff>83820</xdr:colOff>
      <xdr:row>248</xdr:row>
      <xdr:rowOff>114300</xdr:rowOff>
    </xdr:to>
    <xdr:sp macro="" textlink="">
      <xdr:nvSpPr>
        <xdr:cNvPr id="1903" name="Arrow: Down 1902">
          <a:extLst>
            <a:ext uri="{FF2B5EF4-FFF2-40B4-BE49-F238E27FC236}">
              <a16:creationId xmlns:a16="http://schemas.microsoft.com/office/drawing/2014/main" id="{0F8D1C0B-1136-482A-BC44-6F6FB36C115D}"/>
            </a:ext>
          </a:extLst>
        </xdr:cNvPr>
        <xdr:cNvSpPr/>
      </xdr:nvSpPr>
      <xdr:spPr>
        <a:xfrm rot="10800000">
          <a:off x="1152144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248</xdr:row>
      <xdr:rowOff>0</xdr:rowOff>
    </xdr:from>
    <xdr:to>
      <xdr:col>60</xdr:col>
      <xdr:colOff>83820</xdr:colOff>
      <xdr:row>248</xdr:row>
      <xdr:rowOff>114300</xdr:rowOff>
    </xdr:to>
    <xdr:sp macro="" textlink="">
      <xdr:nvSpPr>
        <xdr:cNvPr id="1904" name="Arrow: Down 1903">
          <a:extLst>
            <a:ext uri="{FF2B5EF4-FFF2-40B4-BE49-F238E27FC236}">
              <a16:creationId xmlns:a16="http://schemas.microsoft.com/office/drawing/2014/main" id="{80FC1DD5-9235-447D-9AC7-C08DB61CFBC5}"/>
            </a:ext>
          </a:extLst>
        </xdr:cNvPr>
        <xdr:cNvSpPr/>
      </xdr:nvSpPr>
      <xdr:spPr>
        <a:xfrm>
          <a:off x="168402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249</xdr:row>
      <xdr:rowOff>0</xdr:rowOff>
    </xdr:from>
    <xdr:to>
      <xdr:col>5</xdr:col>
      <xdr:colOff>83820</xdr:colOff>
      <xdr:row>249</xdr:row>
      <xdr:rowOff>114300</xdr:rowOff>
    </xdr:to>
    <xdr:sp macro="" textlink="">
      <xdr:nvSpPr>
        <xdr:cNvPr id="1906" name="Arrow: Down 1905">
          <a:extLst>
            <a:ext uri="{FF2B5EF4-FFF2-40B4-BE49-F238E27FC236}">
              <a16:creationId xmlns:a16="http://schemas.microsoft.com/office/drawing/2014/main" id="{2908CAF9-2F03-46C4-AA46-59756FD0D0B3}"/>
            </a:ext>
          </a:extLst>
        </xdr:cNvPr>
        <xdr:cNvSpPr/>
      </xdr:nvSpPr>
      <xdr:spPr>
        <a:xfrm>
          <a:off x="192786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249</xdr:row>
      <xdr:rowOff>0</xdr:rowOff>
    </xdr:from>
    <xdr:to>
      <xdr:col>11</xdr:col>
      <xdr:colOff>83820</xdr:colOff>
      <xdr:row>249</xdr:row>
      <xdr:rowOff>114300</xdr:rowOff>
    </xdr:to>
    <xdr:sp macro="" textlink="">
      <xdr:nvSpPr>
        <xdr:cNvPr id="1907" name="Arrow: Down 1906">
          <a:extLst>
            <a:ext uri="{FF2B5EF4-FFF2-40B4-BE49-F238E27FC236}">
              <a16:creationId xmlns:a16="http://schemas.microsoft.com/office/drawing/2014/main" id="{FC3AC8D1-B626-45E3-8380-92E85495B7BD}"/>
            </a:ext>
          </a:extLst>
        </xdr:cNvPr>
        <xdr:cNvSpPr/>
      </xdr:nvSpPr>
      <xdr:spPr>
        <a:xfrm>
          <a:off x="36957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249</xdr:row>
      <xdr:rowOff>0</xdr:rowOff>
    </xdr:from>
    <xdr:to>
      <xdr:col>24</xdr:col>
      <xdr:colOff>83820</xdr:colOff>
      <xdr:row>249</xdr:row>
      <xdr:rowOff>114300</xdr:rowOff>
    </xdr:to>
    <xdr:sp macro="" textlink="">
      <xdr:nvSpPr>
        <xdr:cNvPr id="1908" name="Arrow: Down 1907">
          <a:extLst>
            <a:ext uri="{FF2B5EF4-FFF2-40B4-BE49-F238E27FC236}">
              <a16:creationId xmlns:a16="http://schemas.microsoft.com/office/drawing/2014/main" id="{D2C2C637-B192-4420-BEF4-06EA1F14718C}"/>
            </a:ext>
          </a:extLst>
        </xdr:cNvPr>
        <xdr:cNvSpPr/>
      </xdr:nvSpPr>
      <xdr:spPr>
        <a:xfrm>
          <a:off x="6553200" y="4545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249</xdr:row>
      <xdr:rowOff>0</xdr:rowOff>
    </xdr:from>
    <xdr:to>
      <xdr:col>39</xdr:col>
      <xdr:colOff>83820</xdr:colOff>
      <xdr:row>249</xdr:row>
      <xdr:rowOff>114300</xdr:rowOff>
    </xdr:to>
    <xdr:sp macro="" textlink="">
      <xdr:nvSpPr>
        <xdr:cNvPr id="1913" name="Arrow: Down 1912">
          <a:extLst>
            <a:ext uri="{FF2B5EF4-FFF2-40B4-BE49-F238E27FC236}">
              <a16:creationId xmlns:a16="http://schemas.microsoft.com/office/drawing/2014/main" id="{3AC5DFE9-F76D-4B97-9CC2-97E5C201DBD1}"/>
            </a:ext>
          </a:extLst>
        </xdr:cNvPr>
        <xdr:cNvSpPr/>
      </xdr:nvSpPr>
      <xdr:spPr>
        <a:xfrm>
          <a:off x="9715500" y="4563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249</xdr:row>
      <xdr:rowOff>0</xdr:rowOff>
    </xdr:from>
    <xdr:to>
      <xdr:col>71</xdr:col>
      <xdr:colOff>83820</xdr:colOff>
      <xdr:row>249</xdr:row>
      <xdr:rowOff>114300</xdr:rowOff>
    </xdr:to>
    <xdr:sp macro="" textlink="">
      <xdr:nvSpPr>
        <xdr:cNvPr id="1914" name="Arrow: Down 1913">
          <a:extLst>
            <a:ext uri="{FF2B5EF4-FFF2-40B4-BE49-F238E27FC236}">
              <a16:creationId xmlns:a16="http://schemas.microsoft.com/office/drawing/2014/main" id="{77D9609B-EC49-429D-9FA9-19DB5938BD8D}"/>
            </a:ext>
          </a:extLst>
        </xdr:cNvPr>
        <xdr:cNvSpPr/>
      </xdr:nvSpPr>
      <xdr:spPr>
        <a:xfrm rot="10800000">
          <a:off x="20939760" y="4563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248</xdr:row>
      <xdr:rowOff>0</xdr:rowOff>
    </xdr:from>
    <xdr:to>
      <xdr:col>71</xdr:col>
      <xdr:colOff>83820</xdr:colOff>
      <xdr:row>248</xdr:row>
      <xdr:rowOff>114300</xdr:rowOff>
    </xdr:to>
    <xdr:sp macro="" textlink="">
      <xdr:nvSpPr>
        <xdr:cNvPr id="1915" name="Arrow: Down 1914">
          <a:extLst>
            <a:ext uri="{FF2B5EF4-FFF2-40B4-BE49-F238E27FC236}">
              <a16:creationId xmlns:a16="http://schemas.microsoft.com/office/drawing/2014/main" id="{8F4BCB6F-489B-40F2-BC84-D74A1A8CB321}"/>
            </a:ext>
          </a:extLst>
        </xdr:cNvPr>
        <xdr:cNvSpPr/>
      </xdr:nvSpPr>
      <xdr:spPr>
        <a:xfrm rot="10800000">
          <a:off x="20939760" y="4545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249</xdr:row>
      <xdr:rowOff>0</xdr:rowOff>
    </xdr:from>
    <xdr:to>
      <xdr:col>60</xdr:col>
      <xdr:colOff>83820</xdr:colOff>
      <xdr:row>249</xdr:row>
      <xdr:rowOff>114300</xdr:rowOff>
    </xdr:to>
    <xdr:sp macro="" textlink="">
      <xdr:nvSpPr>
        <xdr:cNvPr id="1917" name="Arrow: Down 1916">
          <a:extLst>
            <a:ext uri="{FF2B5EF4-FFF2-40B4-BE49-F238E27FC236}">
              <a16:creationId xmlns:a16="http://schemas.microsoft.com/office/drawing/2014/main" id="{C6392860-89D7-4378-8312-BDB751ED0736}"/>
            </a:ext>
          </a:extLst>
        </xdr:cNvPr>
        <xdr:cNvSpPr/>
      </xdr:nvSpPr>
      <xdr:spPr>
        <a:xfrm rot="10800000">
          <a:off x="16840200" y="4563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249</xdr:row>
      <xdr:rowOff>0</xdr:rowOff>
    </xdr:from>
    <xdr:to>
      <xdr:col>45</xdr:col>
      <xdr:colOff>83820</xdr:colOff>
      <xdr:row>249</xdr:row>
      <xdr:rowOff>114300</xdr:rowOff>
    </xdr:to>
    <xdr:sp macro="" textlink="">
      <xdr:nvSpPr>
        <xdr:cNvPr id="1918" name="Arrow: Down 1917">
          <a:extLst>
            <a:ext uri="{FF2B5EF4-FFF2-40B4-BE49-F238E27FC236}">
              <a16:creationId xmlns:a16="http://schemas.microsoft.com/office/drawing/2014/main" id="{56C3AEB5-71C3-4F99-B129-815AB80B63F4}"/>
            </a:ext>
          </a:extLst>
        </xdr:cNvPr>
        <xdr:cNvSpPr/>
      </xdr:nvSpPr>
      <xdr:spPr>
        <a:xfrm>
          <a:off x="11521440" y="4563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250</xdr:row>
      <xdr:rowOff>0</xdr:rowOff>
    </xdr:from>
    <xdr:to>
      <xdr:col>71</xdr:col>
      <xdr:colOff>83820</xdr:colOff>
      <xdr:row>250</xdr:row>
      <xdr:rowOff>114300</xdr:rowOff>
    </xdr:to>
    <xdr:sp macro="" textlink="">
      <xdr:nvSpPr>
        <xdr:cNvPr id="1930" name="Arrow: Down 1929">
          <a:extLst>
            <a:ext uri="{FF2B5EF4-FFF2-40B4-BE49-F238E27FC236}">
              <a16:creationId xmlns:a16="http://schemas.microsoft.com/office/drawing/2014/main" id="{254448DF-C157-49EE-A131-6C5A72EC34F8}"/>
            </a:ext>
          </a:extLst>
        </xdr:cNvPr>
        <xdr:cNvSpPr/>
      </xdr:nvSpPr>
      <xdr:spPr>
        <a:xfrm rot="10800000">
          <a:off x="20939760" y="4563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250</xdr:row>
      <xdr:rowOff>0</xdr:rowOff>
    </xdr:from>
    <xdr:to>
      <xdr:col>11</xdr:col>
      <xdr:colOff>83820</xdr:colOff>
      <xdr:row>250</xdr:row>
      <xdr:rowOff>114300</xdr:rowOff>
    </xdr:to>
    <xdr:sp macro="" textlink="">
      <xdr:nvSpPr>
        <xdr:cNvPr id="1934" name="Arrow: Down 1933">
          <a:extLst>
            <a:ext uri="{FF2B5EF4-FFF2-40B4-BE49-F238E27FC236}">
              <a16:creationId xmlns:a16="http://schemas.microsoft.com/office/drawing/2014/main" id="{A93148A9-1A21-4EEF-A35D-F628AAE730A6}"/>
            </a:ext>
          </a:extLst>
        </xdr:cNvPr>
        <xdr:cNvSpPr/>
      </xdr:nvSpPr>
      <xdr:spPr>
        <a:xfrm rot="10800000">
          <a:off x="3695700" y="4581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250</xdr:row>
      <xdr:rowOff>0</xdr:rowOff>
    </xdr:from>
    <xdr:to>
      <xdr:col>5</xdr:col>
      <xdr:colOff>83820</xdr:colOff>
      <xdr:row>250</xdr:row>
      <xdr:rowOff>114300</xdr:rowOff>
    </xdr:to>
    <xdr:sp macro="" textlink="">
      <xdr:nvSpPr>
        <xdr:cNvPr id="1935" name="Arrow: Down 1934">
          <a:extLst>
            <a:ext uri="{FF2B5EF4-FFF2-40B4-BE49-F238E27FC236}">
              <a16:creationId xmlns:a16="http://schemas.microsoft.com/office/drawing/2014/main" id="{4373D05B-B3EE-4997-8610-F5536EF7C617}"/>
            </a:ext>
          </a:extLst>
        </xdr:cNvPr>
        <xdr:cNvSpPr/>
      </xdr:nvSpPr>
      <xdr:spPr>
        <a:xfrm rot="10800000">
          <a:off x="1927860" y="4581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250</xdr:row>
      <xdr:rowOff>0</xdr:rowOff>
    </xdr:from>
    <xdr:to>
      <xdr:col>39</xdr:col>
      <xdr:colOff>83820</xdr:colOff>
      <xdr:row>250</xdr:row>
      <xdr:rowOff>114300</xdr:rowOff>
    </xdr:to>
    <xdr:sp macro="" textlink="">
      <xdr:nvSpPr>
        <xdr:cNvPr id="1937" name="Arrow: Down 1936">
          <a:extLst>
            <a:ext uri="{FF2B5EF4-FFF2-40B4-BE49-F238E27FC236}">
              <a16:creationId xmlns:a16="http://schemas.microsoft.com/office/drawing/2014/main" id="{E8CF4972-4CF3-4006-9C90-2BB4AEC49BAF}"/>
            </a:ext>
          </a:extLst>
        </xdr:cNvPr>
        <xdr:cNvSpPr/>
      </xdr:nvSpPr>
      <xdr:spPr>
        <a:xfrm rot="10800000">
          <a:off x="9715500" y="4581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250</xdr:row>
      <xdr:rowOff>0</xdr:rowOff>
    </xdr:from>
    <xdr:to>
      <xdr:col>45</xdr:col>
      <xdr:colOff>83820</xdr:colOff>
      <xdr:row>250</xdr:row>
      <xdr:rowOff>114300</xdr:rowOff>
    </xdr:to>
    <xdr:sp macro="" textlink="">
      <xdr:nvSpPr>
        <xdr:cNvPr id="1939" name="Arrow: Down 1938">
          <a:extLst>
            <a:ext uri="{FF2B5EF4-FFF2-40B4-BE49-F238E27FC236}">
              <a16:creationId xmlns:a16="http://schemas.microsoft.com/office/drawing/2014/main" id="{F9C71995-F3CF-4D66-8EF8-DAE618BDC930}"/>
            </a:ext>
          </a:extLst>
        </xdr:cNvPr>
        <xdr:cNvSpPr/>
      </xdr:nvSpPr>
      <xdr:spPr>
        <a:xfrm rot="10800000">
          <a:off x="11521440" y="4581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250</xdr:row>
      <xdr:rowOff>0</xdr:rowOff>
    </xdr:from>
    <xdr:to>
      <xdr:col>24</xdr:col>
      <xdr:colOff>83820</xdr:colOff>
      <xdr:row>250</xdr:row>
      <xdr:rowOff>114300</xdr:rowOff>
    </xdr:to>
    <xdr:sp macro="" textlink="">
      <xdr:nvSpPr>
        <xdr:cNvPr id="1941" name="Arrow: Down 1940">
          <a:extLst>
            <a:ext uri="{FF2B5EF4-FFF2-40B4-BE49-F238E27FC236}">
              <a16:creationId xmlns:a16="http://schemas.microsoft.com/office/drawing/2014/main" id="{FAD5710C-CF95-452D-9355-FB4541200DD9}"/>
            </a:ext>
          </a:extLst>
        </xdr:cNvPr>
        <xdr:cNvSpPr/>
      </xdr:nvSpPr>
      <xdr:spPr>
        <a:xfrm rot="10800000">
          <a:off x="6553200" y="4581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250</xdr:row>
      <xdr:rowOff>0</xdr:rowOff>
    </xdr:from>
    <xdr:to>
      <xdr:col>60</xdr:col>
      <xdr:colOff>83820</xdr:colOff>
      <xdr:row>250</xdr:row>
      <xdr:rowOff>114300</xdr:rowOff>
    </xdr:to>
    <xdr:sp macro="" textlink="">
      <xdr:nvSpPr>
        <xdr:cNvPr id="1943" name="Arrow: Down 1942">
          <a:extLst>
            <a:ext uri="{FF2B5EF4-FFF2-40B4-BE49-F238E27FC236}">
              <a16:creationId xmlns:a16="http://schemas.microsoft.com/office/drawing/2014/main" id="{7FB3BEEE-4862-41E9-8915-295F64AC85E4}"/>
            </a:ext>
          </a:extLst>
        </xdr:cNvPr>
        <xdr:cNvSpPr/>
      </xdr:nvSpPr>
      <xdr:spPr>
        <a:xfrm>
          <a:off x="16840200" y="4581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251</xdr:row>
      <xdr:rowOff>0</xdr:rowOff>
    </xdr:from>
    <xdr:to>
      <xdr:col>71</xdr:col>
      <xdr:colOff>83820</xdr:colOff>
      <xdr:row>251</xdr:row>
      <xdr:rowOff>114300</xdr:rowOff>
    </xdr:to>
    <xdr:sp macro="" textlink="">
      <xdr:nvSpPr>
        <xdr:cNvPr id="1877" name="Arrow: Down 1876">
          <a:extLst>
            <a:ext uri="{FF2B5EF4-FFF2-40B4-BE49-F238E27FC236}">
              <a16:creationId xmlns:a16="http://schemas.microsoft.com/office/drawing/2014/main" id="{08EE5F9B-098B-4353-8008-5EE6915E2C94}"/>
            </a:ext>
          </a:extLst>
        </xdr:cNvPr>
        <xdr:cNvSpPr/>
      </xdr:nvSpPr>
      <xdr:spPr>
        <a:xfrm rot="10800000">
          <a:off x="20939760" y="4581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251</xdr:row>
      <xdr:rowOff>0</xdr:rowOff>
    </xdr:from>
    <xdr:to>
      <xdr:col>24</xdr:col>
      <xdr:colOff>83820</xdr:colOff>
      <xdr:row>251</xdr:row>
      <xdr:rowOff>114300</xdr:rowOff>
    </xdr:to>
    <xdr:sp macro="" textlink="">
      <xdr:nvSpPr>
        <xdr:cNvPr id="1888" name="Arrow: Down 1887">
          <a:extLst>
            <a:ext uri="{FF2B5EF4-FFF2-40B4-BE49-F238E27FC236}">
              <a16:creationId xmlns:a16="http://schemas.microsoft.com/office/drawing/2014/main" id="{F5339808-BBF6-4420-8AE8-E92136A2CD77}"/>
            </a:ext>
          </a:extLst>
        </xdr:cNvPr>
        <xdr:cNvSpPr/>
      </xdr:nvSpPr>
      <xdr:spPr>
        <a:xfrm rot="10800000">
          <a:off x="6553200" y="4581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251</xdr:row>
      <xdr:rowOff>0</xdr:rowOff>
    </xdr:from>
    <xdr:to>
      <xdr:col>60</xdr:col>
      <xdr:colOff>83820</xdr:colOff>
      <xdr:row>251</xdr:row>
      <xdr:rowOff>114300</xdr:rowOff>
    </xdr:to>
    <xdr:sp macro="" textlink="">
      <xdr:nvSpPr>
        <xdr:cNvPr id="1892" name="Arrow: Down 1891">
          <a:extLst>
            <a:ext uri="{FF2B5EF4-FFF2-40B4-BE49-F238E27FC236}">
              <a16:creationId xmlns:a16="http://schemas.microsoft.com/office/drawing/2014/main" id="{88702A5A-D4E1-4310-AA20-959FCEEC5078}"/>
            </a:ext>
          </a:extLst>
        </xdr:cNvPr>
        <xdr:cNvSpPr/>
      </xdr:nvSpPr>
      <xdr:spPr>
        <a:xfrm rot="10800000">
          <a:off x="1684020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251</xdr:row>
      <xdr:rowOff>0</xdr:rowOff>
    </xdr:from>
    <xdr:to>
      <xdr:col>5</xdr:col>
      <xdr:colOff>83820</xdr:colOff>
      <xdr:row>251</xdr:row>
      <xdr:rowOff>114300</xdr:rowOff>
    </xdr:to>
    <xdr:sp macro="" textlink="">
      <xdr:nvSpPr>
        <xdr:cNvPr id="1894" name="Arrow: Down 1893">
          <a:extLst>
            <a:ext uri="{FF2B5EF4-FFF2-40B4-BE49-F238E27FC236}">
              <a16:creationId xmlns:a16="http://schemas.microsoft.com/office/drawing/2014/main" id="{97EDF9FB-F608-4D06-B90C-572DBA2CAD51}"/>
            </a:ext>
          </a:extLst>
        </xdr:cNvPr>
        <xdr:cNvSpPr/>
      </xdr:nvSpPr>
      <xdr:spPr>
        <a:xfrm>
          <a:off x="1927860" y="4600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251</xdr:row>
      <xdr:rowOff>0</xdr:rowOff>
    </xdr:from>
    <xdr:to>
      <xdr:col>11</xdr:col>
      <xdr:colOff>83820</xdr:colOff>
      <xdr:row>251</xdr:row>
      <xdr:rowOff>114300</xdr:rowOff>
    </xdr:to>
    <xdr:sp macro="" textlink="">
      <xdr:nvSpPr>
        <xdr:cNvPr id="1895" name="Arrow: Down 1894">
          <a:extLst>
            <a:ext uri="{FF2B5EF4-FFF2-40B4-BE49-F238E27FC236}">
              <a16:creationId xmlns:a16="http://schemas.microsoft.com/office/drawing/2014/main" id="{8708D48C-D05D-41A9-B451-184EA1DFAE0A}"/>
            </a:ext>
          </a:extLst>
        </xdr:cNvPr>
        <xdr:cNvSpPr/>
      </xdr:nvSpPr>
      <xdr:spPr>
        <a:xfrm>
          <a:off x="3695700" y="4600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251</xdr:row>
      <xdr:rowOff>0</xdr:rowOff>
    </xdr:from>
    <xdr:to>
      <xdr:col>39</xdr:col>
      <xdr:colOff>83820</xdr:colOff>
      <xdr:row>251</xdr:row>
      <xdr:rowOff>114300</xdr:rowOff>
    </xdr:to>
    <xdr:sp macro="" textlink="">
      <xdr:nvSpPr>
        <xdr:cNvPr id="1896" name="Arrow: Down 1895">
          <a:extLst>
            <a:ext uri="{FF2B5EF4-FFF2-40B4-BE49-F238E27FC236}">
              <a16:creationId xmlns:a16="http://schemas.microsoft.com/office/drawing/2014/main" id="{8FDF6850-E94C-47B4-AD3A-57512DD9AD22}"/>
            </a:ext>
          </a:extLst>
        </xdr:cNvPr>
        <xdr:cNvSpPr/>
      </xdr:nvSpPr>
      <xdr:spPr>
        <a:xfrm>
          <a:off x="971550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251</xdr:row>
      <xdr:rowOff>0</xdr:rowOff>
    </xdr:from>
    <xdr:to>
      <xdr:col>45</xdr:col>
      <xdr:colOff>83820</xdr:colOff>
      <xdr:row>251</xdr:row>
      <xdr:rowOff>114300</xdr:rowOff>
    </xdr:to>
    <xdr:sp macro="" textlink="">
      <xdr:nvSpPr>
        <xdr:cNvPr id="1902" name="Arrow: Down 1901">
          <a:extLst>
            <a:ext uri="{FF2B5EF4-FFF2-40B4-BE49-F238E27FC236}">
              <a16:creationId xmlns:a16="http://schemas.microsoft.com/office/drawing/2014/main" id="{F56D0AD6-2BE5-4603-87D3-EAE8A0E9ED33}"/>
            </a:ext>
          </a:extLst>
        </xdr:cNvPr>
        <xdr:cNvSpPr/>
      </xdr:nvSpPr>
      <xdr:spPr>
        <a:xfrm>
          <a:off x="1152144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252</xdr:row>
      <xdr:rowOff>0</xdr:rowOff>
    </xdr:from>
    <xdr:to>
      <xdr:col>71</xdr:col>
      <xdr:colOff>83820</xdr:colOff>
      <xdr:row>252</xdr:row>
      <xdr:rowOff>114300</xdr:rowOff>
    </xdr:to>
    <xdr:sp macro="" textlink="">
      <xdr:nvSpPr>
        <xdr:cNvPr id="1920" name="Arrow: Down 1919">
          <a:extLst>
            <a:ext uri="{FF2B5EF4-FFF2-40B4-BE49-F238E27FC236}">
              <a16:creationId xmlns:a16="http://schemas.microsoft.com/office/drawing/2014/main" id="{8A4F503B-95FA-467A-9747-1A62846A6EBB}"/>
            </a:ext>
          </a:extLst>
        </xdr:cNvPr>
        <xdr:cNvSpPr/>
      </xdr:nvSpPr>
      <xdr:spPr>
        <a:xfrm rot="10800000">
          <a:off x="1927098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252</xdr:row>
      <xdr:rowOff>0</xdr:rowOff>
    </xdr:from>
    <xdr:to>
      <xdr:col>24</xdr:col>
      <xdr:colOff>83820</xdr:colOff>
      <xdr:row>252</xdr:row>
      <xdr:rowOff>114300</xdr:rowOff>
    </xdr:to>
    <xdr:sp macro="" textlink="">
      <xdr:nvSpPr>
        <xdr:cNvPr id="1921" name="Arrow: Down 1920">
          <a:extLst>
            <a:ext uri="{FF2B5EF4-FFF2-40B4-BE49-F238E27FC236}">
              <a16:creationId xmlns:a16="http://schemas.microsoft.com/office/drawing/2014/main" id="{5183DB17-7D45-4D99-89CD-D2D2D91193B4}"/>
            </a:ext>
          </a:extLst>
        </xdr:cNvPr>
        <xdr:cNvSpPr/>
      </xdr:nvSpPr>
      <xdr:spPr>
        <a:xfrm rot="10800000">
          <a:off x="655320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252</xdr:row>
      <xdr:rowOff>0</xdr:rowOff>
    </xdr:from>
    <xdr:to>
      <xdr:col>60</xdr:col>
      <xdr:colOff>83820</xdr:colOff>
      <xdr:row>252</xdr:row>
      <xdr:rowOff>114300</xdr:rowOff>
    </xdr:to>
    <xdr:sp macro="" textlink="">
      <xdr:nvSpPr>
        <xdr:cNvPr id="1922" name="Arrow: Down 1921">
          <a:extLst>
            <a:ext uri="{FF2B5EF4-FFF2-40B4-BE49-F238E27FC236}">
              <a16:creationId xmlns:a16="http://schemas.microsoft.com/office/drawing/2014/main" id="{2D03A018-05F8-4EEF-B339-417C09500F67}"/>
            </a:ext>
          </a:extLst>
        </xdr:cNvPr>
        <xdr:cNvSpPr/>
      </xdr:nvSpPr>
      <xdr:spPr>
        <a:xfrm rot="10800000">
          <a:off x="16840200" y="4600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252</xdr:row>
      <xdr:rowOff>0</xdr:rowOff>
    </xdr:from>
    <xdr:to>
      <xdr:col>45</xdr:col>
      <xdr:colOff>83820</xdr:colOff>
      <xdr:row>252</xdr:row>
      <xdr:rowOff>114300</xdr:rowOff>
    </xdr:to>
    <xdr:sp macro="" textlink="">
      <xdr:nvSpPr>
        <xdr:cNvPr id="1928" name="Arrow: Down 1927">
          <a:extLst>
            <a:ext uri="{FF2B5EF4-FFF2-40B4-BE49-F238E27FC236}">
              <a16:creationId xmlns:a16="http://schemas.microsoft.com/office/drawing/2014/main" id="{D80B4A7F-970B-454A-9B42-07F014A155AB}"/>
            </a:ext>
          </a:extLst>
        </xdr:cNvPr>
        <xdr:cNvSpPr/>
      </xdr:nvSpPr>
      <xdr:spPr>
        <a:xfrm rot="10800000">
          <a:off x="11521440" y="4618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252</xdr:row>
      <xdr:rowOff>0</xdr:rowOff>
    </xdr:from>
    <xdr:to>
      <xdr:col>39</xdr:col>
      <xdr:colOff>83820</xdr:colOff>
      <xdr:row>252</xdr:row>
      <xdr:rowOff>114300</xdr:rowOff>
    </xdr:to>
    <xdr:sp macro="" textlink="">
      <xdr:nvSpPr>
        <xdr:cNvPr id="1932" name="Arrow: Down 1931">
          <a:extLst>
            <a:ext uri="{FF2B5EF4-FFF2-40B4-BE49-F238E27FC236}">
              <a16:creationId xmlns:a16="http://schemas.microsoft.com/office/drawing/2014/main" id="{7A0C9E4D-4BB6-4CDE-A1E7-19629CFC5191}"/>
            </a:ext>
          </a:extLst>
        </xdr:cNvPr>
        <xdr:cNvSpPr/>
      </xdr:nvSpPr>
      <xdr:spPr>
        <a:xfrm rot="10800000">
          <a:off x="9715500" y="4618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252</xdr:row>
      <xdr:rowOff>0</xdr:rowOff>
    </xdr:from>
    <xdr:to>
      <xdr:col>11</xdr:col>
      <xdr:colOff>83820</xdr:colOff>
      <xdr:row>252</xdr:row>
      <xdr:rowOff>114300</xdr:rowOff>
    </xdr:to>
    <xdr:sp macro="" textlink="">
      <xdr:nvSpPr>
        <xdr:cNvPr id="1933" name="Arrow: Down 1932">
          <a:extLst>
            <a:ext uri="{FF2B5EF4-FFF2-40B4-BE49-F238E27FC236}">
              <a16:creationId xmlns:a16="http://schemas.microsoft.com/office/drawing/2014/main" id="{CC75AC8E-DFC6-4602-B756-4A15E33A1766}"/>
            </a:ext>
          </a:extLst>
        </xdr:cNvPr>
        <xdr:cNvSpPr/>
      </xdr:nvSpPr>
      <xdr:spPr>
        <a:xfrm rot="10800000">
          <a:off x="369570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252</xdr:row>
      <xdr:rowOff>0</xdr:rowOff>
    </xdr:from>
    <xdr:to>
      <xdr:col>5</xdr:col>
      <xdr:colOff>83820</xdr:colOff>
      <xdr:row>252</xdr:row>
      <xdr:rowOff>114300</xdr:rowOff>
    </xdr:to>
    <xdr:sp macro="" textlink="">
      <xdr:nvSpPr>
        <xdr:cNvPr id="1938" name="Arrow: Down 1937">
          <a:extLst>
            <a:ext uri="{FF2B5EF4-FFF2-40B4-BE49-F238E27FC236}">
              <a16:creationId xmlns:a16="http://schemas.microsoft.com/office/drawing/2014/main" id="{5390F6F7-D0CD-4236-A720-8C07E10486D6}"/>
            </a:ext>
          </a:extLst>
        </xdr:cNvPr>
        <xdr:cNvSpPr/>
      </xdr:nvSpPr>
      <xdr:spPr>
        <a:xfrm rot="10800000">
          <a:off x="192786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253</xdr:row>
      <xdr:rowOff>0</xdr:rowOff>
    </xdr:from>
    <xdr:to>
      <xdr:col>71</xdr:col>
      <xdr:colOff>83820</xdr:colOff>
      <xdr:row>253</xdr:row>
      <xdr:rowOff>114300</xdr:rowOff>
    </xdr:to>
    <xdr:sp macro="" textlink="">
      <xdr:nvSpPr>
        <xdr:cNvPr id="1846" name="Arrow: Down 1845">
          <a:extLst>
            <a:ext uri="{FF2B5EF4-FFF2-40B4-BE49-F238E27FC236}">
              <a16:creationId xmlns:a16="http://schemas.microsoft.com/office/drawing/2014/main" id="{C21D734A-B703-4415-94E1-26BAADDC1B9E}"/>
            </a:ext>
          </a:extLst>
        </xdr:cNvPr>
        <xdr:cNvSpPr/>
      </xdr:nvSpPr>
      <xdr:spPr>
        <a:xfrm rot="10800000">
          <a:off x="2093976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253</xdr:row>
      <xdr:rowOff>0</xdr:rowOff>
    </xdr:from>
    <xdr:to>
      <xdr:col>24</xdr:col>
      <xdr:colOff>83820</xdr:colOff>
      <xdr:row>253</xdr:row>
      <xdr:rowOff>114300</xdr:rowOff>
    </xdr:to>
    <xdr:sp macro="" textlink="">
      <xdr:nvSpPr>
        <xdr:cNvPr id="1858" name="Arrow: Down 1857">
          <a:extLst>
            <a:ext uri="{FF2B5EF4-FFF2-40B4-BE49-F238E27FC236}">
              <a16:creationId xmlns:a16="http://schemas.microsoft.com/office/drawing/2014/main" id="{14FB4C69-CA6C-43DD-AE78-2FF89215306D}"/>
            </a:ext>
          </a:extLst>
        </xdr:cNvPr>
        <xdr:cNvSpPr/>
      </xdr:nvSpPr>
      <xdr:spPr>
        <a:xfrm rot="10800000">
          <a:off x="655320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253</xdr:row>
      <xdr:rowOff>0</xdr:rowOff>
    </xdr:from>
    <xdr:to>
      <xdr:col>60</xdr:col>
      <xdr:colOff>83820</xdr:colOff>
      <xdr:row>253</xdr:row>
      <xdr:rowOff>114300</xdr:rowOff>
    </xdr:to>
    <xdr:sp macro="" textlink="">
      <xdr:nvSpPr>
        <xdr:cNvPr id="1863" name="Arrow: Down 1862">
          <a:extLst>
            <a:ext uri="{FF2B5EF4-FFF2-40B4-BE49-F238E27FC236}">
              <a16:creationId xmlns:a16="http://schemas.microsoft.com/office/drawing/2014/main" id="{6D1F243F-956B-4E46-B7B7-4751377129F1}"/>
            </a:ext>
          </a:extLst>
        </xdr:cNvPr>
        <xdr:cNvSpPr/>
      </xdr:nvSpPr>
      <xdr:spPr>
        <a:xfrm rot="10800000">
          <a:off x="1684020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253</xdr:row>
      <xdr:rowOff>0</xdr:rowOff>
    </xdr:from>
    <xdr:to>
      <xdr:col>11</xdr:col>
      <xdr:colOff>83820</xdr:colOff>
      <xdr:row>253</xdr:row>
      <xdr:rowOff>114300</xdr:rowOff>
    </xdr:to>
    <xdr:sp macro="" textlink="">
      <xdr:nvSpPr>
        <xdr:cNvPr id="1875" name="Arrow: Down 1874">
          <a:extLst>
            <a:ext uri="{FF2B5EF4-FFF2-40B4-BE49-F238E27FC236}">
              <a16:creationId xmlns:a16="http://schemas.microsoft.com/office/drawing/2014/main" id="{06D75A5C-90B9-4E76-B2EF-47D3E2ACB620}"/>
            </a:ext>
          </a:extLst>
        </xdr:cNvPr>
        <xdr:cNvSpPr/>
      </xdr:nvSpPr>
      <xdr:spPr>
        <a:xfrm rot="10800000">
          <a:off x="369570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253</xdr:row>
      <xdr:rowOff>0</xdr:rowOff>
    </xdr:from>
    <xdr:to>
      <xdr:col>5</xdr:col>
      <xdr:colOff>83820</xdr:colOff>
      <xdr:row>253</xdr:row>
      <xdr:rowOff>114300</xdr:rowOff>
    </xdr:to>
    <xdr:sp macro="" textlink="">
      <xdr:nvSpPr>
        <xdr:cNvPr id="1876" name="Arrow: Down 1875">
          <a:extLst>
            <a:ext uri="{FF2B5EF4-FFF2-40B4-BE49-F238E27FC236}">
              <a16:creationId xmlns:a16="http://schemas.microsoft.com/office/drawing/2014/main" id="{7068455A-80FE-4A07-B404-D24199099B13}"/>
            </a:ext>
          </a:extLst>
        </xdr:cNvPr>
        <xdr:cNvSpPr/>
      </xdr:nvSpPr>
      <xdr:spPr>
        <a:xfrm rot="10800000">
          <a:off x="1927860" y="4618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253</xdr:row>
      <xdr:rowOff>0</xdr:rowOff>
    </xdr:from>
    <xdr:to>
      <xdr:col>39</xdr:col>
      <xdr:colOff>83820</xdr:colOff>
      <xdr:row>253</xdr:row>
      <xdr:rowOff>114300</xdr:rowOff>
    </xdr:to>
    <xdr:sp macro="" textlink="">
      <xdr:nvSpPr>
        <xdr:cNvPr id="1879" name="Arrow: Down 1878">
          <a:extLst>
            <a:ext uri="{FF2B5EF4-FFF2-40B4-BE49-F238E27FC236}">
              <a16:creationId xmlns:a16="http://schemas.microsoft.com/office/drawing/2014/main" id="{743D068C-304F-4771-B18F-4ED56DB6AD99}"/>
            </a:ext>
          </a:extLst>
        </xdr:cNvPr>
        <xdr:cNvSpPr/>
      </xdr:nvSpPr>
      <xdr:spPr>
        <a:xfrm>
          <a:off x="9715500" y="4636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253</xdr:row>
      <xdr:rowOff>0</xdr:rowOff>
    </xdr:from>
    <xdr:to>
      <xdr:col>45</xdr:col>
      <xdr:colOff>83820</xdr:colOff>
      <xdr:row>253</xdr:row>
      <xdr:rowOff>114300</xdr:rowOff>
    </xdr:to>
    <xdr:sp macro="" textlink="">
      <xdr:nvSpPr>
        <xdr:cNvPr id="1885" name="Arrow: Down 1884">
          <a:extLst>
            <a:ext uri="{FF2B5EF4-FFF2-40B4-BE49-F238E27FC236}">
              <a16:creationId xmlns:a16="http://schemas.microsoft.com/office/drawing/2014/main" id="{D524ED7F-D5BD-4CE1-8F64-9892BF9473E2}"/>
            </a:ext>
          </a:extLst>
        </xdr:cNvPr>
        <xdr:cNvSpPr/>
      </xdr:nvSpPr>
      <xdr:spPr>
        <a:xfrm>
          <a:off x="11521440" y="4636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254</xdr:row>
      <xdr:rowOff>0</xdr:rowOff>
    </xdr:from>
    <xdr:to>
      <xdr:col>71</xdr:col>
      <xdr:colOff>83820</xdr:colOff>
      <xdr:row>254</xdr:row>
      <xdr:rowOff>114300</xdr:rowOff>
    </xdr:to>
    <xdr:sp macro="" textlink="">
      <xdr:nvSpPr>
        <xdr:cNvPr id="1886" name="Arrow: Down 1885">
          <a:extLst>
            <a:ext uri="{FF2B5EF4-FFF2-40B4-BE49-F238E27FC236}">
              <a16:creationId xmlns:a16="http://schemas.microsoft.com/office/drawing/2014/main" id="{CE117890-3580-42C0-84E9-4985F7794265}"/>
            </a:ext>
          </a:extLst>
        </xdr:cNvPr>
        <xdr:cNvSpPr/>
      </xdr:nvSpPr>
      <xdr:spPr>
        <a:xfrm rot="10800000">
          <a:off x="19270980" y="4636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254</xdr:row>
      <xdr:rowOff>0</xdr:rowOff>
    </xdr:from>
    <xdr:to>
      <xdr:col>11</xdr:col>
      <xdr:colOff>83820</xdr:colOff>
      <xdr:row>254</xdr:row>
      <xdr:rowOff>114300</xdr:rowOff>
    </xdr:to>
    <xdr:sp macro="" textlink="">
      <xdr:nvSpPr>
        <xdr:cNvPr id="1893" name="Arrow: Down 1892">
          <a:extLst>
            <a:ext uri="{FF2B5EF4-FFF2-40B4-BE49-F238E27FC236}">
              <a16:creationId xmlns:a16="http://schemas.microsoft.com/office/drawing/2014/main" id="{CB6EB679-9A47-4F77-9402-02496A1B08FF}"/>
            </a:ext>
          </a:extLst>
        </xdr:cNvPr>
        <xdr:cNvSpPr/>
      </xdr:nvSpPr>
      <xdr:spPr>
        <a:xfrm rot="10800000">
          <a:off x="3695700" y="4636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254</xdr:row>
      <xdr:rowOff>0</xdr:rowOff>
    </xdr:from>
    <xdr:to>
      <xdr:col>5</xdr:col>
      <xdr:colOff>83820</xdr:colOff>
      <xdr:row>254</xdr:row>
      <xdr:rowOff>114300</xdr:rowOff>
    </xdr:to>
    <xdr:sp macro="" textlink="">
      <xdr:nvSpPr>
        <xdr:cNvPr id="1898" name="Arrow: Down 1897">
          <a:extLst>
            <a:ext uri="{FF2B5EF4-FFF2-40B4-BE49-F238E27FC236}">
              <a16:creationId xmlns:a16="http://schemas.microsoft.com/office/drawing/2014/main" id="{8A6065C9-71D6-4297-9632-13B94EA2D394}"/>
            </a:ext>
          </a:extLst>
        </xdr:cNvPr>
        <xdr:cNvSpPr/>
      </xdr:nvSpPr>
      <xdr:spPr>
        <a:xfrm rot="10800000">
          <a:off x="1927860" y="4636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254</xdr:row>
      <xdr:rowOff>0</xdr:rowOff>
    </xdr:from>
    <xdr:to>
      <xdr:col>60</xdr:col>
      <xdr:colOff>83820</xdr:colOff>
      <xdr:row>254</xdr:row>
      <xdr:rowOff>114300</xdr:rowOff>
    </xdr:to>
    <xdr:sp macro="" textlink="">
      <xdr:nvSpPr>
        <xdr:cNvPr id="1910" name="Arrow: Down 1909">
          <a:extLst>
            <a:ext uri="{FF2B5EF4-FFF2-40B4-BE49-F238E27FC236}">
              <a16:creationId xmlns:a16="http://schemas.microsoft.com/office/drawing/2014/main" id="{505E7806-FDC3-404B-A348-A6381CB36A7A}"/>
            </a:ext>
          </a:extLst>
        </xdr:cNvPr>
        <xdr:cNvSpPr/>
      </xdr:nvSpPr>
      <xdr:spPr>
        <a:xfrm>
          <a:off x="168402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254</xdr:row>
      <xdr:rowOff>0</xdr:rowOff>
    </xdr:from>
    <xdr:to>
      <xdr:col>24</xdr:col>
      <xdr:colOff>83820</xdr:colOff>
      <xdr:row>254</xdr:row>
      <xdr:rowOff>114300</xdr:rowOff>
    </xdr:to>
    <xdr:sp macro="" textlink="">
      <xdr:nvSpPr>
        <xdr:cNvPr id="1912" name="Arrow: Down 1911">
          <a:extLst>
            <a:ext uri="{FF2B5EF4-FFF2-40B4-BE49-F238E27FC236}">
              <a16:creationId xmlns:a16="http://schemas.microsoft.com/office/drawing/2014/main" id="{E94F320A-E8F5-4C6A-BF74-40663077A159}"/>
            </a:ext>
          </a:extLst>
        </xdr:cNvPr>
        <xdr:cNvSpPr/>
      </xdr:nvSpPr>
      <xdr:spPr>
        <a:xfrm>
          <a:off x="65532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254</xdr:row>
      <xdr:rowOff>0</xdr:rowOff>
    </xdr:from>
    <xdr:to>
      <xdr:col>45</xdr:col>
      <xdr:colOff>83820</xdr:colOff>
      <xdr:row>254</xdr:row>
      <xdr:rowOff>114300</xdr:rowOff>
    </xdr:to>
    <xdr:sp macro="" textlink="">
      <xdr:nvSpPr>
        <xdr:cNvPr id="1916" name="Arrow: Down 1915">
          <a:extLst>
            <a:ext uri="{FF2B5EF4-FFF2-40B4-BE49-F238E27FC236}">
              <a16:creationId xmlns:a16="http://schemas.microsoft.com/office/drawing/2014/main" id="{37CC8240-7EC8-416E-9437-5AE118CABCD3}"/>
            </a:ext>
          </a:extLst>
        </xdr:cNvPr>
        <xdr:cNvSpPr/>
      </xdr:nvSpPr>
      <xdr:spPr>
        <a:xfrm rot="10800000">
          <a:off x="1152144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254</xdr:row>
      <xdr:rowOff>0</xdr:rowOff>
    </xdr:from>
    <xdr:to>
      <xdr:col>39</xdr:col>
      <xdr:colOff>83820</xdr:colOff>
      <xdr:row>254</xdr:row>
      <xdr:rowOff>114300</xdr:rowOff>
    </xdr:to>
    <xdr:sp macro="" textlink="">
      <xdr:nvSpPr>
        <xdr:cNvPr id="1919" name="Arrow: Down 1918">
          <a:extLst>
            <a:ext uri="{FF2B5EF4-FFF2-40B4-BE49-F238E27FC236}">
              <a16:creationId xmlns:a16="http://schemas.microsoft.com/office/drawing/2014/main" id="{E112D329-FD1B-4244-8CA6-1BC9C5FBB5E5}"/>
            </a:ext>
          </a:extLst>
        </xdr:cNvPr>
        <xdr:cNvSpPr/>
      </xdr:nvSpPr>
      <xdr:spPr>
        <a:xfrm rot="10800000">
          <a:off x="97155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255</xdr:row>
      <xdr:rowOff>0</xdr:rowOff>
    </xdr:from>
    <xdr:to>
      <xdr:col>71</xdr:col>
      <xdr:colOff>83820</xdr:colOff>
      <xdr:row>255</xdr:row>
      <xdr:rowOff>114300</xdr:rowOff>
    </xdr:to>
    <xdr:sp macro="" textlink="">
      <xdr:nvSpPr>
        <xdr:cNvPr id="1923" name="Arrow: Down 1922">
          <a:extLst>
            <a:ext uri="{FF2B5EF4-FFF2-40B4-BE49-F238E27FC236}">
              <a16:creationId xmlns:a16="http://schemas.microsoft.com/office/drawing/2014/main" id="{E1CF7C7D-1B49-4A60-94E4-71CD589628A0}"/>
            </a:ext>
          </a:extLst>
        </xdr:cNvPr>
        <xdr:cNvSpPr/>
      </xdr:nvSpPr>
      <xdr:spPr>
        <a:xfrm rot="10800000">
          <a:off x="19270980" y="4655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255</xdr:row>
      <xdr:rowOff>0</xdr:rowOff>
    </xdr:from>
    <xdr:to>
      <xdr:col>60</xdr:col>
      <xdr:colOff>83820</xdr:colOff>
      <xdr:row>255</xdr:row>
      <xdr:rowOff>114300</xdr:rowOff>
    </xdr:to>
    <xdr:sp macro="" textlink="">
      <xdr:nvSpPr>
        <xdr:cNvPr id="1926" name="Arrow: Down 1925">
          <a:extLst>
            <a:ext uri="{FF2B5EF4-FFF2-40B4-BE49-F238E27FC236}">
              <a16:creationId xmlns:a16="http://schemas.microsoft.com/office/drawing/2014/main" id="{BC605F01-9B9D-4FBE-88EA-7D0DE6D43769}"/>
            </a:ext>
          </a:extLst>
        </xdr:cNvPr>
        <xdr:cNvSpPr/>
      </xdr:nvSpPr>
      <xdr:spPr>
        <a:xfrm>
          <a:off x="168402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255</xdr:row>
      <xdr:rowOff>0</xdr:rowOff>
    </xdr:from>
    <xdr:to>
      <xdr:col>24</xdr:col>
      <xdr:colOff>83820</xdr:colOff>
      <xdr:row>255</xdr:row>
      <xdr:rowOff>114300</xdr:rowOff>
    </xdr:to>
    <xdr:sp macro="" textlink="">
      <xdr:nvSpPr>
        <xdr:cNvPr id="1927" name="Arrow: Down 1926">
          <a:extLst>
            <a:ext uri="{FF2B5EF4-FFF2-40B4-BE49-F238E27FC236}">
              <a16:creationId xmlns:a16="http://schemas.microsoft.com/office/drawing/2014/main" id="{A5A7DA1A-52AF-466F-B88E-4BF18FB4227A}"/>
            </a:ext>
          </a:extLst>
        </xdr:cNvPr>
        <xdr:cNvSpPr/>
      </xdr:nvSpPr>
      <xdr:spPr>
        <a:xfrm>
          <a:off x="65532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255</xdr:row>
      <xdr:rowOff>0</xdr:rowOff>
    </xdr:from>
    <xdr:to>
      <xdr:col>45</xdr:col>
      <xdr:colOff>83820</xdr:colOff>
      <xdr:row>255</xdr:row>
      <xdr:rowOff>114300</xdr:rowOff>
    </xdr:to>
    <xdr:sp macro="" textlink="">
      <xdr:nvSpPr>
        <xdr:cNvPr id="1929" name="Arrow: Down 1928">
          <a:extLst>
            <a:ext uri="{FF2B5EF4-FFF2-40B4-BE49-F238E27FC236}">
              <a16:creationId xmlns:a16="http://schemas.microsoft.com/office/drawing/2014/main" id="{158C0904-F171-4022-AF3F-E650E3B4DF42}"/>
            </a:ext>
          </a:extLst>
        </xdr:cNvPr>
        <xdr:cNvSpPr/>
      </xdr:nvSpPr>
      <xdr:spPr>
        <a:xfrm rot="10800000">
          <a:off x="1152144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255</xdr:row>
      <xdr:rowOff>0</xdr:rowOff>
    </xdr:from>
    <xdr:to>
      <xdr:col>39</xdr:col>
      <xdr:colOff>83820</xdr:colOff>
      <xdr:row>255</xdr:row>
      <xdr:rowOff>114300</xdr:rowOff>
    </xdr:to>
    <xdr:sp macro="" textlink="">
      <xdr:nvSpPr>
        <xdr:cNvPr id="1931" name="Arrow: Down 1930">
          <a:extLst>
            <a:ext uri="{FF2B5EF4-FFF2-40B4-BE49-F238E27FC236}">
              <a16:creationId xmlns:a16="http://schemas.microsoft.com/office/drawing/2014/main" id="{19B37972-3726-424B-BAF5-359DD2682585}"/>
            </a:ext>
          </a:extLst>
        </xdr:cNvPr>
        <xdr:cNvSpPr/>
      </xdr:nvSpPr>
      <xdr:spPr>
        <a:xfrm rot="10800000">
          <a:off x="9715500" y="4655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255</xdr:row>
      <xdr:rowOff>0</xdr:rowOff>
    </xdr:from>
    <xdr:to>
      <xdr:col>5</xdr:col>
      <xdr:colOff>83820</xdr:colOff>
      <xdr:row>255</xdr:row>
      <xdr:rowOff>114300</xdr:rowOff>
    </xdr:to>
    <xdr:sp macro="" textlink="">
      <xdr:nvSpPr>
        <xdr:cNvPr id="1936" name="Arrow: Down 1935">
          <a:extLst>
            <a:ext uri="{FF2B5EF4-FFF2-40B4-BE49-F238E27FC236}">
              <a16:creationId xmlns:a16="http://schemas.microsoft.com/office/drawing/2014/main" id="{A09F745B-4071-4DEC-999E-5003C2752346}"/>
            </a:ext>
          </a:extLst>
        </xdr:cNvPr>
        <xdr:cNvSpPr/>
      </xdr:nvSpPr>
      <xdr:spPr>
        <a:xfrm>
          <a:off x="192786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255</xdr:row>
      <xdr:rowOff>0</xdr:rowOff>
    </xdr:from>
    <xdr:to>
      <xdr:col>11</xdr:col>
      <xdr:colOff>83820</xdr:colOff>
      <xdr:row>255</xdr:row>
      <xdr:rowOff>114300</xdr:rowOff>
    </xdr:to>
    <xdr:sp macro="" textlink="">
      <xdr:nvSpPr>
        <xdr:cNvPr id="1940" name="Arrow: Down 1939">
          <a:extLst>
            <a:ext uri="{FF2B5EF4-FFF2-40B4-BE49-F238E27FC236}">
              <a16:creationId xmlns:a16="http://schemas.microsoft.com/office/drawing/2014/main" id="{8BE8A04A-2353-4A85-8691-5511A3F86FC1}"/>
            </a:ext>
          </a:extLst>
        </xdr:cNvPr>
        <xdr:cNvSpPr/>
      </xdr:nvSpPr>
      <xdr:spPr>
        <a:xfrm>
          <a:off x="369570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256</xdr:row>
      <xdr:rowOff>0</xdr:rowOff>
    </xdr:from>
    <xdr:to>
      <xdr:col>71</xdr:col>
      <xdr:colOff>83820</xdr:colOff>
      <xdr:row>256</xdr:row>
      <xdr:rowOff>114300</xdr:rowOff>
    </xdr:to>
    <xdr:sp macro="" textlink="">
      <xdr:nvSpPr>
        <xdr:cNvPr id="1942" name="Arrow: Down 1941">
          <a:extLst>
            <a:ext uri="{FF2B5EF4-FFF2-40B4-BE49-F238E27FC236}">
              <a16:creationId xmlns:a16="http://schemas.microsoft.com/office/drawing/2014/main" id="{48DC631D-2F90-4F3A-B96D-DE1B9596E419}"/>
            </a:ext>
          </a:extLst>
        </xdr:cNvPr>
        <xdr:cNvSpPr/>
      </xdr:nvSpPr>
      <xdr:spPr>
        <a:xfrm rot="10800000">
          <a:off x="19270980" y="4673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256</xdr:row>
      <xdr:rowOff>0</xdr:rowOff>
    </xdr:from>
    <xdr:to>
      <xdr:col>60</xdr:col>
      <xdr:colOff>83820</xdr:colOff>
      <xdr:row>256</xdr:row>
      <xdr:rowOff>114300</xdr:rowOff>
    </xdr:to>
    <xdr:sp macro="" textlink="">
      <xdr:nvSpPr>
        <xdr:cNvPr id="1944" name="Arrow: Down 1943">
          <a:extLst>
            <a:ext uri="{FF2B5EF4-FFF2-40B4-BE49-F238E27FC236}">
              <a16:creationId xmlns:a16="http://schemas.microsoft.com/office/drawing/2014/main" id="{AE0D82BA-B603-4C72-9B09-82D2B61740EE}"/>
            </a:ext>
          </a:extLst>
        </xdr:cNvPr>
        <xdr:cNvSpPr/>
      </xdr:nvSpPr>
      <xdr:spPr>
        <a:xfrm>
          <a:off x="1684020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256</xdr:row>
      <xdr:rowOff>0</xdr:rowOff>
    </xdr:from>
    <xdr:to>
      <xdr:col>24</xdr:col>
      <xdr:colOff>83820</xdr:colOff>
      <xdr:row>256</xdr:row>
      <xdr:rowOff>114300</xdr:rowOff>
    </xdr:to>
    <xdr:sp macro="" textlink="">
      <xdr:nvSpPr>
        <xdr:cNvPr id="1945" name="Arrow: Down 1944">
          <a:extLst>
            <a:ext uri="{FF2B5EF4-FFF2-40B4-BE49-F238E27FC236}">
              <a16:creationId xmlns:a16="http://schemas.microsoft.com/office/drawing/2014/main" id="{E5EF1E73-0D25-4503-BBD7-1352E3C1340F}"/>
            </a:ext>
          </a:extLst>
        </xdr:cNvPr>
        <xdr:cNvSpPr/>
      </xdr:nvSpPr>
      <xdr:spPr>
        <a:xfrm>
          <a:off x="655320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256</xdr:row>
      <xdr:rowOff>0</xdr:rowOff>
    </xdr:from>
    <xdr:to>
      <xdr:col>5</xdr:col>
      <xdr:colOff>83820</xdr:colOff>
      <xdr:row>256</xdr:row>
      <xdr:rowOff>114300</xdr:rowOff>
    </xdr:to>
    <xdr:sp macro="" textlink="">
      <xdr:nvSpPr>
        <xdr:cNvPr id="1948" name="Arrow: Down 1947">
          <a:extLst>
            <a:ext uri="{FF2B5EF4-FFF2-40B4-BE49-F238E27FC236}">
              <a16:creationId xmlns:a16="http://schemas.microsoft.com/office/drawing/2014/main" id="{BE0EFF39-3B67-475E-87BF-BE2BDC119B32}"/>
            </a:ext>
          </a:extLst>
        </xdr:cNvPr>
        <xdr:cNvSpPr/>
      </xdr:nvSpPr>
      <xdr:spPr>
        <a:xfrm>
          <a:off x="192786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256</xdr:row>
      <xdr:rowOff>0</xdr:rowOff>
    </xdr:from>
    <xdr:to>
      <xdr:col>11</xdr:col>
      <xdr:colOff>83820</xdr:colOff>
      <xdr:row>256</xdr:row>
      <xdr:rowOff>114300</xdr:rowOff>
    </xdr:to>
    <xdr:sp macro="" textlink="">
      <xdr:nvSpPr>
        <xdr:cNvPr id="1949" name="Arrow: Down 1948">
          <a:extLst>
            <a:ext uri="{FF2B5EF4-FFF2-40B4-BE49-F238E27FC236}">
              <a16:creationId xmlns:a16="http://schemas.microsoft.com/office/drawing/2014/main" id="{5DBC936A-B42D-4E52-B1A3-E8CF16AC4A15}"/>
            </a:ext>
          </a:extLst>
        </xdr:cNvPr>
        <xdr:cNvSpPr/>
      </xdr:nvSpPr>
      <xdr:spPr>
        <a:xfrm>
          <a:off x="3695700" y="4673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256</xdr:row>
      <xdr:rowOff>0</xdr:rowOff>
    </xdr:from>
    <xdr:to>
      <xdr:col>39</xdr:col>
      <xdr:colOff>83820</xdr:colOff>
      <xdr:row>256</xdr:row>
      <xdr:rowOff>114300</xdr:rowOff>
    </xdr:to>
    <xdr:sp macro="" textlink="">
      <xdr:nvSpPr>
        <xdr:cNvPr id="1950" name="Arrow: Down 1949">
          <a:extLst>
            <a:ext uri="{FF2B5EF4-FFF2-40B4-BE49-F238E27FC236}">
              <a16:creationId xmlns:a16="http://schemas.microsoft.com/office/drawing/2014/main" id="{E9FF3B3A-A027-4FA7-9693-F19F3CA4F196}"/>
            </a:ext>
          </a:extLst>
        </xdr:cNvPr>
        <xdr:cNvSpPr/>
      </xdr:nvSpPr>
      <xdr:spPr>
        <a:xfrm>
          <a:off x="9715500" y="4691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256</xdr:row>
      <xdr:rowOff>0</xdr:rowOff>
    </xdr:from>
    <xdr:to>
      <xdr:col>45</xdr:col>
      <xdr:colOff>83820</xdr:colOff>
      <xdr:row>256</xdr:row>
      <xdr:rowOff>114300</xdr:rowOff>
    </xdr:to>
    <xdr:sp macro="" textlink="">
      <xdr:nvSpPr>
        <xdr:cNvPr id="1952" name="Arrow: Down 1951">
          <a:extLst>
            <a:ext uri="{FF2B5EF4-FFF2-40B4-BE49-F238E27FC236}">
              <a16:creationId xmlns:a16="http://schemas.microsoft.com/office/drawing/2014/main" id="{6790D342-4DC5-4492-B5EA-28503D3810FE}"/>
            </a:ext>
          </a:extLst>
        </xdr:cNvPr>
        <xdr:cNvSpPr/>
      </xdr:nvSpPr>
      <xdr:spPr>
        <a:xfrm>
          <a:off x="11521440" y="4691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257</xdr:row>
      <xdr:rowOff>0</xdr:rowOff>
    </xdr:from>
    <xdr:to>
      <xdr:col>71</xdr:col>
      <xdr:colOff>83820</xdr:colOff>
      <xdr:row>257</xdr:row>
      <xdr:rowOff>114300</xdr:rowOff>
    </xdr:to>
    <xdr:sp macro="" textlink="">
      <xdr:nvSpPr>
        <xdr:cNvPr id="1953" name="Arrow: Down 1952">
          <a:extLst>
            <a:ext uri="{FF2B5EF4-FFF2-40B4-BE49-F238E27FC236}">
              <a16:creationId xmlns:a16="http://schemas.microsoft.com/office/drawing/2014/main" id="{0C037742-CCE9-49E3-AE26-297B623D1265}"/>
            </a:ext>
          </a:extLst>
        </xdr:cNvPr>
        <xdr:cNvSpPr/>
      </xdr:nvSpPr>
      <xdr:spPr>
        <a:xfrm rot="10800000">
          <a:off x="19270980" y="4691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257</xdr:row>
      <xdr:rowOff>0</xdr:rowOff>
    </xdr:from>
    <xdr:to>
      <xdr:col>45</xdr:col>
      <xdr:colOff>83820</xdr:colOff>
      <xdr:row>257</xdr:row>
      <xdr:rowOff>114300</xdr:rowOff>
    </xdr:to>
    <xdr:sp macro="" textlink="">
      <xdr:nvSpPr>
        <xdr:cNvPr id="1959" name="Arrow: Down 1958">
          <a:extLst>
            <a:ext uri="{FF2B5EF4-FFF2-40B4-BE49-F238E27FC236}">
              <a16:creationId xmlns:a16="http://schemas.microsoft.com/office/drawing/2014/main" id="{9FEFFDBB-D7F7-45CE-B5F9-00866F71C188}"/>
            </a:ext>
          </a:extLst>
        </xdr:cNvPr>
        <xdr:cNvSpPr/>
      </xdr:nvSpPr>
      <xdr:spPr>
        <a:xfrm>
          <a:off x="11521440" y="4691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257</xdr:row>
      <xdr:rowOff>0</xdr:rowOff>
    </xdr:from>
    <xdr:to>
      <xdr:col>11</xdr:col>
      <xdr:colOff>83820</xdr:colOff>
      <xdr:row>257</xdr:row>
      <xdr:rowOff>114300</xdr:rowOff>
    </xdr:to>
    <xdr:sp macro="" textlink="">
      <xdr:nvSpPr>
        <xdr:cNvPr id="1960" name="Arrow: Down 1959">
          <a:extLst>
            <a:ext uri="{FF2B5EF4-FFF2-40B4-BE49-F238E27FC236}">
              <a16:creationId xmlns:a16="http://schemas.microsoft.com/office/drawing/2014/main" id="{BB8A31EC-0C34-4AA6-B4FE-B0DBD625C063}"/>
            </a:ext>
          </a:extLst>
        </xdr:cNvPr>
        <xdr:cNvSpPr/>
      </xdr:nvSpPr>
      <xdr:spPr>
        <a:xfrm rot="10800000">
          <a:off x="36957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257</xdr:row>
      <xdr:rowOff>0</xdr:rowOff>
    </xdr:from>
    <xdr:to>
      <xdr:col>24</xdr:col>
      <xdr:colOff>83820</xdr:colOff>
      <xdr:row>257</xdr:row>
      <xdr:rowOff>114300</xdr:rowOff>
    </xdr:to>
    <xdr:sp macro="" textlink="">
      <xdr:nvSpPr>
        <xdr:cNvPr id="1961" name="Arrow: Down 1960">
          <a:extLst>
            <a:ext uri="{FF2B5EF4-FFF2-40B4-BE49-F238E27FC236}">
              <a16:creationId xmlns:a16="http://schemas.microsoft.com/office/drawing/2014/main" id="{FF249E7B-3AF9-4A28-99EE-1201D253EAEB}"/>
            </a:ext>
          </a:extLst>
        </xdr:cNvPr>
        <xdr:cNvSpPr/>
      </xdr:nvSpPr>
      <xdr:spPr>
        <a:xfrm rot="10800000">
          <a:off x="65532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257</xdr:row>
      <xdr:rowOff>0</xdr:rowOff>
    </xdr:from>
    <xdr:to>
      <xdr:col>5</xdr:col>
      <xdr:colOff>83820</xdr:colOff>
      <xdr:row>257</xdr:row>
      <xdr:rowOff>114300</xdr:rowOff>
    </xdr:to>
    <xdr:sp macro="" textlink="">
      <xdr:nvSpPr>
        <xdr:cNvPr id="1962" name="Arrow: Down 1961">
          <a:extLst>
            <a:ext uri="{FF2B5EF4-FFF2-40B4-BE49-F238E27FC236}">
              <a16:creationId xmlns:a16="http://schemas.microsoft.com/office/drawing/2014/main" id="{8AF05341-F57D-4CBA-92F5-42A7BBE6E7B8}"/>
            </a:ext>
          </a:extLst>
        </xdr:cNvPr>
        <xdr:cNvSpPr/>
      </xdr:nvSpPr>
      <xdr:spPr>
        <a:xfrm rot="10800000">
          <a:off x="192786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257</xdr:row>
      <xdr:rowOff>0</xdr:rowOff>
    </xdr:from>
    <xdr:to>
      <xdr:col>39</xdr:col>
      <xdr:colOff>83820</xdr:colOff>
      <xdr:row>257</xdr:row>
      <xdr:rowOff>114300</xdr:rowOff>
    </xdr:to>
    <xdr:sp macro="" textlink="">
      <xdr:nvSpPr>
        <xdr:cNvPr id="1963" name="Arrow: Down 1962">
          <a:extLst>
            <a:ext uri="{FF2B5EF4-FFF2-40B4-BE49-F238E27FC236}">
              <a16:creationId xmlns:a16="http://schemas.microsoft.com/office/drawing/2014/main" id="{A6302300-9185-479E-894F-7F50964E62D4}"/>
            </a:ext>
          </a:extLst>
        </xdr:cNvPr>
        <xdr:cNvSpPr/>
      </xdr:nvSpPr>
      <xdr:spPr>
        <a:xfrm rot="10800000">
          <a:off x="9715500" y="4709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257</xdr:row>
      <xdr:rowOff>0</xdr:rowOff>
    </xdr:from>
    <xdr:to>
      <xdr:col>60</xdr:col>
      <xdr:colOff>83820</xdr:colOff>
      <xdr:row>257</xdr:row>
      <xdr:rowOff>114300</xdr:rowOff>
    </xdr:to>
    <xdr:sp macro="" textlink="">
      <xdr:nvSpPr>
        <xdr:cNvPr id="1965" name="Arrow: Down 1964">
          <a:extLst>
            <a:ext uri="{FF2B5EF4-FFF2-40B4-BE49-F238E27FC236}">
              <a16:creationId xmlns:a16="http://schemas.microsoft.com/office/drawing/2014/main" id="{7BF69BE1-1C01-4DA2-A546-FF202F80AC09}"/>
            </a:ext>
          </a:extLst>
        </xdr:cNvPr>
        <xdr:cNvSpPr/>
      </xdr:nvSpPr>
      <xdr:spPr>
        <a:xfrm rot="10800000">
          <a:off x="168402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258</xdr:row>
      <xdr:rowOff>0</xdr:rowOff>
    </xdr:from>
    <xdr:to>
      <xdr:col>71</xdr:col>
      <xdr:colOff>83820</xdr:colOff>
      <xdr:row>258</xdr:row>
      <xdr:rowOff>114300</xdr:rowOff>
    </xdr:to>
    <xdr:sp macro="" textlink="">
      <xdr:nvSpPr>
        <xdr:cNvPr id="1973" name="Arrow: Down 1972">
          <a:extLst>
            <a:ext uri="{FF2B5EF4-FFF2-40B4-BE49-F238E27FC236}">
              <a16:creationId xmlns:a16="http://schemas.microsoft.com/office/drawing/2014/main" id="{CA2CFE95-0A77-4F78-8E90-DE3BAAC3E240}"/>
            </a:ext>
          </a:extLst>
        </xdr:cNvPr>
        <xdr:cNvSpPr/>
      </xdr:nvSpPr>
      <xdr:spPr>
        <a:xfrm rot="10800000">
          <a:off x="2093976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258</xdr:row>
      <xdr:rowOff>0</xdr:rowOff>
    </xdr:from>
    <xdr:to>
      <xdr:col>45</xdr:col>
      <xdr:colOff>83820</xdr:colOff>
      <xdr:row>258</xdr:row>
      <xdr:rowOff>114300</xdr:rowOff>
    </xdr:to>
    <xdr:sp macro="" textlink="">
      <xdr:nvSpPr>
        <xdr:cNvPr id="1974" name="Arrow: Down 1973">
          <a:extLst>
            <a:ext uri="{FF2B5EF4-FFF2-40B4-BE49-F238E27FC236}">
              <a16:creationId xmlns:a16="http://schemas.microsoft.com/office/drawing/2014/main" id="{F51C613F-7212-41AD-87D5-95E2026CE1FE}"/>
            </a:ext>
          </a:extLst>
        </xdr:cNvPr>
        <xdr:cNvSpPr/>
      </xdr:nvSpPr>
      <xdr:spPr>
        <a:xfrm>
          <a:off x="1152144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83820</xdr:colOff>
      <xdr:row>258</xdr:row>
      <xdr:rowOff>114300</xdr:rowOff>
    </xdr:to>
    <xdr:sp macro="" textlink="">
      <xdr:nvSpPr>
        <xdr:cNvPr id="1975" name="Arrow: Down 1974">
          <a:extLst>
            <a:ext uri="{FF2B5EF4-FFF2-40B4-BE49-F238E27FC236}">
              <a16:creationId xmlns:a16="http://schemas.microsoft.com/office/drawing/2014/main" id="{A393A150-2615-4D6E-8A54-ACC20C2561A1}"/>
            </a:ext>
          </a:extLst>
        </xdr:cNvPr>
        <xdr:cNvSpPr/>
      </xdr:nvSpPr>
      <xdr:spPr>
        <a:xfrm rot="10800000">
          <a:off x="36957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258</xdr:row>
      <xdr:rowOff>0</xdr:rowOff>
    </xdr:from>
    <xdr:to>
      <xdr:col>24</xdr:col>
      <xdr:colOff>83820</xdr:colOff>
      <xdr:row>258</xdr:row>
      <xdr:rowOff>114300</xdr:rowOff>
    </xdr:to>
    <xdr:sp macro="" textlink="">
      <xdr:nvSpPr>
        <xdr:cNvPr id="1976" name="Arrow: Down 1975">
          <a:extLst>
            <a:ext uri="{FF2B5EF4-FFF2-40B4-BE49-F238E27FC236}">
              <a16:creationId xmlns:a16="http://schemas.microsoft.com/office/drawing/2014/main" id="{017D364E-3435-4990-8151-E7E40DC88B7F}"/>
            </a:ext>
          </a:extLst>
        </xdr:cNvPr>
        <xdr:cNvSpPr/>
      </xdr:nvSpPr>
      <xdr:spPr>
        <a:xfrm rot="10800000">
          <a:off x="65532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258</xdr:row>
      <xdr:rowOff>0</xdr:rowOff>
    </xdr:from>
    <xdr:to>
      <xdr:col>5</xdr:col>
      <xdr:colOff>83820</xdr:colOff>
      <xdr:row>258</xdr:row>
      <xdr:rowOff>114300</xdr:rowOff>
    </xdr:to>
    <xdr:sp macro="" textlink="">
      <xdr:nvSpPr>
        <xdr:cNvPr id="1977" name="Arrow: Down 1976">
          <a:extLst>
            <a:ext uri="{FF2B5EF4-FFF2-40B4-BE49-F238E27FC236}">
              <a16:creationId xmlns:a16="http://schemas.microsoft.com/office/drawing/2014/main" id="{17128DB6-09D5-4898-977B-CD5ED416BF67}"/>
            </a:ext>
          </a:extLst>
        </xdr:cNvPr>
        <xdr:cNvSpPr/>
      </xdr:nvSpPr>
      <xdr:spPr>
        <a:xfrm rot="10800000">
          <a:off x="192786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258</xdr:row>
      <xdr:rowOff>0</xdr:rowOff>
    </xdr:from>
    <xdr:to>
      <xdr:col>60</xdr:col>
      <xdr:colOff>83820</xdr:colOff>
      <xdr:row>258</xdr:row>
      <xdr:rowOff>114300</xdr:rowOff>
    </xdr:to>
    <xdr:sp macro="" textlink="">
      <xdr:nvSpPr>
        <xdr:cNvPr id="1979" name="Arrow: Down 1978">
          <a:extLst>
            <a:ext uri="{FF2B5EF4-FFF2-40B4-BE49-F238E27FC236}">
              <a16:creationId xmlns:a16="http://schemas.microsoft.com/office/drawing/2014/main" id="{9A39BA50-A4CD-4C74-B43B-E78FEDFF89AC}"/>
            </a:ext>
          </a:extLst>
        </xdr:cNvPr>
        <xdr:cNvSpPr/>
      </xdr:nvSpPr>
      <xdr:spPr>
        <a:xfrm rot="10800000">
          <a:off x="16840200" y="4709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258</xdr:row>
      <xdr:rowOff>0</xdr:rowOff>
    </xdr:from>
    <xdr:to>
      <xdr:col>39</xdr:col>
      <xdr:colOff>83820</xdr:colOff>
      <xdr:row>258</xdr:row>
      <xdr:rowOff>114300</xdr:rowOff>
    </xdr:to>
    <xdr:sp macro="" textlink="">
      <xdr:nvSpPr>
        <xdr:cNvPr id="1980" name="Arrow: Down 1979">
          <a:extLst>
            <a:ext uri="{FF2B5EF4-FFF2-40B4-BE49-F238E27FC236}">
              <a16:creationId xmlns:a16="http://schemas.microsoft.com/office/drawing/2014/main" id="{55A201EC-512A-411B-A921-4B60D7445F8C}"/>
            </a:ext>
          </a:extLst>
        </xdr:cNvPr>
        <xdr:cNvSpPr/>
      </xdr:nvSpPr>
      <xdr:spPr>
        <a:xfrm>
          <a:off x="971550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259</xdr:row>
      <xdr:rowOff>0</xdr:rowOff>
    </xdr:from>
    <xdr:to>
      <xdr:col>71</xdr:col>
      <xdr:colOff>83820</xdr:colOff>
      <xdr:row>259</xdr:row>
      <xdr:rowOff>114300</xdr:rowOff>
    </xdr:to>
    <xdr:sp macro="" textlink="">
      <xdr:nvSpPr>
        <xdr:cNvPr id="1981" name="Arrow: Down 1980">
          <a:extLst>
            <a:ext uri="{FF2B5EF4-FFF2-40B4-BE49-F238E27FC236}">
              <a16:creationId xmlns:a16="http://schemas.microsoft.com/office/drawing/2014/main" id="{43E04372-1543-4972-A1E7-89245D784A9D}"/>
            </a:ext>
          </a:extLst>
        </xdr:cNvPr>
        <xdr:cNvSpPr/>
      </xdr:nvSpPr>
      <xdr:spPr>
        <a:xfrm rot="10800000">
          <a:off x="2093976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259</xdr:row>
      <xdr:rowOff>0</xdr:rowOff>
    </xdr:from>
    <xdr:to>
      <xdr:col>11</xdr:col>
      <xdr:colOff>83820</xdr:colOff>
      <xdr:row>259</xdr:row>
      <xdr:rowOff>114300</xdr:rowOff>
    </xdr:to>
    <xdr:sp macro="" textlink="">
      <xdr:nvSpPr>
        <xdr:cNvPr id="1983" name="Arrow: Down 1982">
          <a:extLst>
            <a:ext uri="{FF2B5EF4-FFF2-40B4-BE49-F238E27FC236}">
              <a16:creationId xmlns:a16="http://schemas.microsoft.com/office/drawing/2014/main" id="{99369641-6D28-4DB2-9F0E-84F2A9744B22}"/>
            </a:ext>
          </a:extLst>
        </xdr:cNvPr>
        <xdr:cNvSpPr/>
      </xdr:nvSpPr>
      <xdr:spPr>
        <a:xfrm rot="10800000">
          <a:off x="369570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259</xdr:row>
      <xdr:rowOff>0</xdr:rowOff>
    </xdr:from>
    <xdr:to>
      <xdr:col>24</xdr:col>
      <xdr:colOff>83820</xdr:colOff>
      <xdr:row>259</xdr:row>
      <xdr:rowOff>114300</xdr:rowOff>
    </xdr:to>
    <xdr:sp macro="" textlink="">
      <xdr:nvSpPr>
        <xdr:cNvPr id="1984" name="Arrow: Down 1983">
          <a:extLst>
            <a:ext uri="{FF2B5EF4-FFF2-40B4-BE49-F238E27FC236}">
              <a16:creationId xmlns:a16="http://schemas.microsoft.com/office/drawing/2014/main" id="{D67847BB-D43B-4D05-9D52-9127813EE8F2}"/>
            </a:ext>
          </a:extLst>
        </xdr:cNvPr>
        <xdr:cNvSpPr/>
      </xdr:nvSpPr>
      <xdr:spPr>
        <a:xfrm rot="10800000">
          <a:off x="655320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259</xdr:row>
      <xdr:rowOff>0</xdr:rowOff>
    </xdr:from>
    <xdr:to>
      <xdr:col>5</xdr:col>
      <xdr:colOff>83820</xdr:colOff>
      <xdr:row>259</xdr:row>
      <xdr:rowOff>114300</xdr:rowOff>
    </xdr:to>
    <xdr:sp macro="" textlink="">
      <xdr:nvSpPr>
        <xdr:cNvPr id="1985" name="Arrow: Down 1984">
          <a:extLst>
            <a:ext uri="{FF2B5EF4-FFF2-40B4-BE49-F238E27FC236}">
              <a16:creationId xmlns:a16="http://schemas.microsoft.com/office/drawing/2014/main" id="{38205742-7782-4D5B-8C58-B23A1E58F2ED}"/>
            </a:ext>
          </a:extLst>
        </xdr:cNvPr>
        <xdr:cNvSpPr/>
      </xdr:nvSpPr>
      <xdr:spPr>
        <a:xfrm rot="10800000">
          <a:off x="192786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259</xdr:row>
      <xdr:rowOff>0</xdr:rowOff>
    </xdr:from>
    <xdr:to>
      <xdr:col>60</xdr:col>
      <xdr:colOff>83820</xdr:colOff>
      <xdr:row>259</xdr:row>
      <xdr:rowOff>114300</xdr:rowOff>
    </xdr:to>
    <xdr:sp macro="" textlink="">
      <xdr:nvSpPr>
        <xdr:cNvPr id="1986" name="Arrow: Down 1985">
          <a:extLst>
            <a:ext uri="{FF2B5EF4-FFF2-40B4-BE49-F238E27FC236}">
              <a16:creationId xmlns:a16="http://schemas.microsoft.com/office/drawing/2014/main" id="{513E8274-3E0D-4890-8669-D2B5E638C284}"/>
            </a:ext>
          </a:extLst>
        </xdr:cNvPr>
        <xdr:cNvSpPr/>
      </xdr:nvSpPr>
      <xdr:spPr>
        <a:xfrm rot="10800000">
          <a:off x="16840200" y="4728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259</xdr:row>
      <xdr:rowOff>0</xdr:rowOff>
    </xdr:from>
    <xdr:to>
      <xdr:col>39</xdr:col>
      <xdr:colOff>83820</xdr:colOff>
      <xdr:row>259</xdr:row>
      <xdr:rowOff>114300</xdr:rowOff>
    </xdr:to>
    <xdr:sp macro="" textlink="">
      <xdr:nvSpPr>
        <xdr:cNvPr id="1988" name="Arrow: Down 1987">
          <a:extLst>
            <a:ext uri="{FF2B5EF4-FFF2-40B4-BE49-F238E27FC236}">
              <a16:creationId xmlns:a16="http://schemas.microsoft.com/office/drawing/2014/main" id="{3F28C59E-5CCA-41DA-A228-E65185000529}"/>
            </a:ext>
          </a:extLst>
        </xdr:cNvPr>
        <xdr:cNvSpPr/>
      </xdr:nvSpPr>
      <xdr:spPr>
        <a:xfrm rot="10800000">
          <a:off x="9715500" y="4746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259</xdr:row>
      <xdr:rowOff>0</xdr:rowOff>
    </xdr:from>
    <xdr:to>
      <xdr:col>45</xdr:col>
      <xdr:colOff>83820</xdr:colOff>
      <xdr:row>259</xdr:row>
      <xdr:rowOff>114300</xdr:rowOff>
    </xdr:to>
    <xdr:sp macro="" textlink="">
      <xdr:nvSpPr>
        <xdr:cNvPr id="1989" name="Arrow: Down 1988">
          <a:extLst>
            <a:ext uri="{FF2B5EF4-FFF2-40B4-BE49-F238E27FC236}">
              <a16:creationId xmlns:a16="http://schemas.microsoft.com/office/drawing/2014/main" id="{A5C1A52F-632F-4654-9F44-FC58829810BB}"/>
            </a:ext>
          </a:extLst>
        </xdr:cNvPr>
        <xdr:cNvSpPr/>
      </xdr:nvSpPr>
      <xdr:spPr>
        <a:xfrm rot="10800000">
          <a:off x="11521440" y="4746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260</xdr:row>
      <xdr:rowOff>0</xdr:rowOff>
    </xdr:from>
    <xdr:to>
      <xdr:col>71</xdr:col>
      <xdr:colOff>83820</xdr:colOff>
      <xdr:row>260</xdr:row>
      <xdr:rowOff>114300</xdr:rowOff>
    </xdr:to>
    <xdr:sp macro="" textlink="">
      <xdr:nvSpPr>
        <xdr:cNvPr id="1866" name="Arrow: Down 1865">
          <a:extLst>
            <a:ext uri="{FF2B5EF4-FFF2-40B4-BE49-F238E27FC236}">
              <a16:creationId xmlns:a16="http://schemas.microsoft.com/office/drawing/2014/main" id="{BFB1806D-EA2B-47F2-906D-C7EF89B17FB6}"/>
            </a:ext>
          </a:extLst>
        </xdr:cNvPr>
        <xdr:cNvSpPr/>
      </xdr:nvSpPr>
      <xdr:spPr>
        <a:xfrm rot="10800000">
          <a:off x="20939760" y="4746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260</xdr:row>
      <xdr:rowOff>0</xdr:rowOff>
    </xdr:from>
    <xdr:to>
      <xdr:col>60</xdr:col>
      <xdr:colOff>83820</xdr:colOff>
      <xdr:row>260</xdr:row>
      <xdr:rowOff>114300</xdr:rowOff>
    </xdr:to>
    <xdr:sp macro="" textlink="">
      <xdr:nvSpPr>
        <xdr:cNvPr id="1891" name="Arrow: Down 1890">
          <a:extLst>
            <a:ext uri="{FF2B5EF4-FFF2-40B4-BE49-F238E27FC236}">
              <a16:creationId xmlns:a16="http://schemas.microsoft.com/office/drawing/2014/main" id="{0FB23F0F-8949-4897-9180-DE73B0808CB7}"/>
            </a:ext>
          </a:extLst>
        </xdr:cNvPr>
        <xdr:cNvSpPr/>
      </xdr:nvSpPr>
      <xdr:spPr>
        <a:xfrm rot="10800000">
          <a:off x="16840200" y="4746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260</xdr:row>
      <xdr:rowOff>0</xdr:rowOff>
    </xdr:from>
    <xdr:to>
      <xdr:col>5</xdr:col>
      <xdr:colOff>83820</xdr:colOff>
      <xdr:row>260</xdr:row>
      <xdr:rowOff>114300</xdr:rowOff>
    </xdr:to>
    <xdr:sp macro="" textlink="">
      <xdr:nvSpPr>
        <xdr:cNvPr id="1911" name="Arrow: Down 1910">
          <a:extLst>
            <a:ext uri="{FF2B5EF4-FFF2-40B4-BE49-F238E27FC236}">
              <a16:creationId xmlns:a16="http://schemas.microsoft.com/office/drawing/2014/main" id="{A1788559-1416-4098-A4C2-9A2E8342A21B}"/>
            </a:ext>
          </a:extLst>
        </xdr:cNvPr>
        <xdr:cNvSpPr/>
      </xdr:nvSpPr>
      <xdr:spPr>
        <a:xfrm>
          <a:off x="1927860" y="4764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260</xdr:row>
      <xdr:rowOff>0</xdr:rowOff>
    </xdr:from>
    <xdr:to>
      <xdr:col>11</xdr:col>
      <xdr:colOff>83820</xdr:colOff>
      <xdr:row>260</xdr:row>
      <xdr:rowOff>114300</xdr:rowOff>
    </xdr:to>
    <xdr:sp macro="" textlink="">
      <xdr:nvSpPr>
        <xdr:cNvPr id="1924" name="Arrow: Down 1923">
          <a:extLst>
            <a:ext uri="{FF2B5EF4-FFF2-40B4-BE49-F238E27FC236}">
              <a16:creationId xmlns:a16="http://schemas.microsoft.com/office/drawing/2014/main" id="{E93C4009-981E-4BF9-83FC-A422C5A9A506}"/>
            </a:ext>
          </a:extLst>
        </xdr:cNvPr>
        <xdr:cNvSpPr/>
      </xdr:nvSpPr>
      <xdr:spPr>
        <a:xfrm>
          <a:off x="3695700" y="4764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260</xdr:row>
      <xdr:rowOff>0</xdr:rowOff>
    </xdr:from>
    <xdr:to>
      <xdr:col>24</xdr:col>
      <xdr:colOff>83820</xdr:colOff>
      <xdr:row>260</xdr:row>
      <xdr:rowOff>114300</xdr:rowOff>
    </xdr:to>
    <xdr:sp macro="" textlink="">
      <xdr:nvSpPr>
        <xdr:cNvPr id="1925" name="Arrow: Down 1924">
          <a:extLst>
            <a:ext uri="{FF2B5EF4-FFF2-40B4-BE49-F238E27FC236}">
              <a16:creationId xmlns:a16="http://schemas.microsoft.com/office/drawing/2014/main" id="{44FB8915-AC4F-4230-80B1-F9A8E53FB8A5}"/>
            </a:ext>
          </a:extLst>
        </xdr:cNvPr>
        <xdr:cNvSpPr/>
      </xdr:nvSpPr>
      <xdr:spPr>
        <a:xfrm>
          <a:off x="6553200" y="4764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260</xdr:row>
      <xdr:rowOff>0</xdr:rowOff>
    </xdr:from>
    <xdr:to>
      <xdr:col>45</xdr:col>
      <xdr:colOff>83820</xdr:colOff>
      <xdr:row>260</xdr:row>
      <xdr:rowOff>114300</xdr:rowOff>
    </xdr:to>
    <xdr:sp macro="" textlink="">
      <xdr:nvSpPr>
        <xdr:cNvPr id="1946" name="Arrow: Down 1945">
          <a:extLst>
            <a:ext uri="{FF2B5EF4-FFF2-40B4-BE49-F238E27FC236}">
              <a16:creationId xmlns:a16="http://schemas.microsoft.com/office/drawing/2014/main" id="{106FF3B9-B50B-4562-9373-96D22BFA4A09}"/>
            </a:ext>
          </a:extLst>
        </xdr:cNvPr>
        <xdr:cNvSpPr/>
      </xdr:nvSpPr>
      <xdr:spPr>
        <a:xfrm>
          <a:off x="11521440" y="4764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260</xdr:row>
      <xdr:rowOff>0</xdr:rowOff>
    </xdr:from>
    <xdr:to>
      <xdr:col>39</xdr:col>
      <xdr:colOff>83820</xdr:colOff>
      <xdr:row>260</xdr:row>
      <xdr:rowOff>114300</xdr:rowOff>
    </xdr:to>
    <xdr:sp macro="" textlink="">
      <xdr:nvSpPr>
        <xdr:cNvPr id="1947" name="Arrow: Down 1946">
          <a:extLst>
            <a:ext uri="{FF2B5EF4-FFF2-40B4-BE49-F238E27FC236}">
              <a16:creationId xmlns:a16="http://schemas.microsoft.com/office/drawing/2014/main" id="{2C1FAF55-2ABA-44D7-879D-ED700B53489E}"/>
            </a:ext>
          </a:extLst>
        </xdr:cNvPr>
        <xdr:cNvSpPr/>
      </xdr:nvSpPr>
      <xdr:spPr>
        <a:xfrm>
          <a:off x="9715500" y="4764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261</xdr:row>
      <xdr:rowOff>0</xdr:rowOff>
    </xdr:from>
    <xdr:to>
      <xdr:col>11</xdr:col>
      <xdr:colOff>83820</xdr:colOff>
      <xdr:row>261</xdr:row>
      <xdr:rowOff>114300</xdr:rowOff>
    </xdr:to>
    <xdr:sp macro="" textlink="">
      <xdr:nvSpPr>
        <xdr:cNvPr id="1968" name="Arrow: Down 1967">
          <a:extLst>
            <a:ext uri="{FF2B5EF4-FFF2-40B4-BE49-F238E27FC236}">
              <a16:creationId xmlns:a16="http://schemas.microsoft.com/office/drawing/2014/main" id="{098A139F-B64F-408C-905B-C4B38F6B9B79}"/>
            </a:ext>
          </a:extLst>
        </xdr:cNvPr>
        <xdr:cNvSpPr/>
      </xdr:nvSpPr>
      <xdr:spPr>
        <a:xfrm rot="10800000">
          <a:off x="3695700" y="4783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261</xdr:row>
      <xdr:rowOff>0</xdr:rowOff>
    </xdr:from>
    <xdr:to>
      <xdr:col>5</xdr:col>
      <xdr:colOff>83820</xdr:colOff>
      <xdr:row>261</xdr:row>
      <xdr:rowOff>114300</xdr:rowOff>
    </xdr:to>
    <xdr:sp macro="" textlink="">
      <xdr:nvSpPr>
        <xdr:cNvPr id="1970" name="Arrow: Down 1969">
          <a:extLst>
            <a:ext uri="{FF2B5EF4-FFF2-40B4-BE49-F238E27FC236}">
              <a16:creationId xmlns:a16="http://schemas.microsoft.com/office/drawing/2014/main" id="{D78201A6-7E2E-4B21-A3D4-09261F944337}"/>
            </a:ext>
          </a:extLst>
        </xdr:cNvPr>
        <xdr:cNvSpPr/>
      </xdr:nvSpPr>
      <xdr:spPr>
        <a:xfrm rot="10800000">
          <a:off x="1927860" y="4783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261</xdr:row>
      <xdr:rowOff>0</xdr:rowOff>
    </xdr:from>
    <xdr:to>
      <xdr:col>24</xdr:col>
      <xdr:colOff>83820</xdr:colOff>
      <xdr:row>261</xdr:row>
      <xdr:rowOff>114300</xdr:rowOff>
    </xdr:to>
    <xdr:sp macro="" textlink="">
      <xdr:nvSpPr>
        <xdr:cNvPr id="1972" name="Arrow: Down 1971">
          <a:extLst>
            <a:ext uri="{FF2B5EF4-FFF2-40B4-BE49-F238E27FC236}">
              <a16:creationId xmlns:a16="http://schemas.microsoft.com/office/drawing/2014/main" id="{B2B72EF4-2F56-47F9-83FD-0029B2CBF738}"/>
            </a:ext>
          </a:extLst>
        </xdr:cNvPr>
        <xdr:cNvSpPr/>
      </xdr:nvSpPr>
      <xdr:spPr>
        <a:xfrm rot="10800000">
          <a:off x="6553200" y="4783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261</xdr:row>
      <xdr:rowOff>0</xdr:rowOff>
    </xdr:from>
    <xdr:to>
      <xdr:col>45</xdr:col>
      <xdr:colOff>83820</xdr:colOff>
      <xdr:row>261</xdr:row>
      <xdr:rowOff>114300</xdr:rowOff>
    </xdr:to>
    <xdr:sp macro="" textlink="">
      <xdr:nvSpPr>
        <xdr:cNvPr id="1982" name="Arrow: Down 1981">
          <a:extLst>
            <a:ext uri="{FF2B5EF4-FFF2-40B4-BE49-F238E27FC236}">
              <a16:creationId xmlns:a16="http://schemas.microsoft.com/office/drawing/2014/main" id="{D8DF9504-3074-4769-A085-7388E9392712}"/>
            </a:ext>
          </a:extLst>
        </xdr:cNvPr>
        <xdr:cNvSpPr/>
      </xdr:nvSpPr>
      <xdr:spPr>
        <a:xfrm rot="10800000">
          <a:off x="11521440" y="4783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261</xdr:row>
      <xdr:rowOff>0</xdr:rowOff>
    </xdr:from>
    <xdr:to>
      <xdr:col>39</xdr:col>
      <xdr:colOff>83820</xdr:colOff>
      <xdr:row>261</xdr:row>
      <xdr:rowOff>114300</xdr:rowOff>
    </xdr:to>
    <xdr:sp macro="" textlink="">
      <xdr:nvSpPr>
        <xdr:cNvPr id="1987" name="Arrow: Down 1986">
          <a:extLst>
            <a:ext uri="{FF2B5EF4-FFF2-40B4-BE49-F238E27FC236}">
              <a16:creationId xmlns:a16="http://schemas.microsoft.com/office/drawing/2014/main" id="{BDA6BB4B-19F9-4BEA-8175-9139B175BBDF}"/>
            </a:ext>
          </a:extLst>
        </xdr:cNvPr>
        <xdr:cNvSpPr/>
      </xdr:nvSpPr>
      <xdr:spPr>
        <a:xfrm rot="10800000">
          <a:off x="9715500" y="4783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261</xdr:row>
      <xdr:rowOff>0</xdr:rowOff>
    </xdr:from>
    <xdr:to>
      <xdr:col>60</xdr:col>
      <xdr:colOff>83820</xdr:colOff>
      <xdr:row>261</xdr:row>
      <xdr:rowOff>114300</xdr:rowOff>
    </xdr:to>
    <xdr:sp macro="" textlink="">
      <xdr:nvSpPr>
        <xdr:cNvPr id="1991" name="Arrow: Down 1990">
          <a:extLst>
            <a:ext uri="{FF2B5EF4-FFF2-40B4-BE49-F238E27FC236}">
              <a16:creationId xmlns:a16="http://schemas.microsoft.com/office/drawing/2014/main" id="{39FFE110-2137-49A0-BD78-7FB17B4CD509}"/>
            </a:ext>
          </a:extLst>
        </xdr:cNvPr>
        <xdr:cNvSpPr/>
      </xdr:nvSpPr>
      <xdr:spPr>
        <a:xfrm>
          <a:off x="16840200" y="4783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261</xdr:row>
      <xdr:rowOff>0</xdr:rowOff>
    </xdr:from>
    <xdr:to>
      <xdr:col>71</xdr:col>
      <xdr:colOff>83820</xdr:colOff>
      <xdr:row>261</xdr:row>
      <xdr:rowOff>114300</xdr:rowOff>
    </xdr:to>
    <xdr:sp macro="" textlink="">
      <xdr:nvSpPr>
        <xdr:cNvPr id="1992" name="Arrow: Down 1991">
          <a:extLst>
            <a:ext uri="{FF2B5EF4-FFF2-40B4-BE49-F238E27FC236}">
              <a16:creationId xmlns:a16="http://schemas.microsoft.com/office/drawing/2014/main" id="{F1AE1037-2AB9-4F9C-B144-AE15594B3E05}"/>
            </a:ext>
          </a:extLst>
        </xdr:cNvPr>
        <xdr:cNvSpPr/>
      </xdr:nvSpPr>
      <xdr:spPr>
        <a:xfrm rot="10800000">
          <a:off x="19270980" y="4783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262</xdr:row>
      <xdr:rowOff>0</xdr:rowOff>
    </xdr:from>
    <xdr:to>
      <xdr:col>45</xdr:col>
      <xdr:colOff>83820</xdr:colOff>
      <xdr:row>262</xdr:row>
      <xdr:rowOff>114300</xdr:rowOff>
    </xdr:to>
    <xdr:sp macro="" textlink="">
      <xdr:nvSpPr>
        <xdr:cNvPr id="2003" name="Arrow: Down 2002">
          <a:extLst>
            <a:ext uri="{FF2B5EF4-FFF2-40B4-BE49-F238E27FC236}">
              <a16:creationId xmlns:a16="http://schemas.microsoft.com/office/drawing/2014/main" id="{DE3711F3-87B8-4CCD-B4EF-11603A93C909}"/>
            </a:ext>
          </a:extLst>
        </xdr:cNvPr>
        <xdr:cNvSpPr/>
      </xdr:nvSpPr>
      <xdr:spPr>
        <a:xfrm rot="10800000">
          <a:off x="11521440" y="4783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262</xdr:row>
      <xdr:rowOff>0</xdr:rowOff>
    </xdr:from>
    <xdr:to>
      <xdr:col>71</xdr:col>
      <xdr:colOff>83820</xdr:colOff>
      <xdr:row>262</xdr:row>
      <xdr:rowOff>114300</xdr:rowOff>
    </xdr:to>
    <xdr:sp macro="" textlink="">
      <xdr:nvSpPr>
        <xdr:cNvPr id="2006" name="Arrow: Down 2005">
          <a:extLst>
            <a:ext uri="{FF2B5EF4-FFF2-40B4-BE49-F238E27FC236}">
              <a16:creationId xmlns:a16="http://schemas.microsoft.com/office/drawing/2014/main" id="{27D24086-24DF-4F3C-9954-D0F0892F1222}"/>
            </a:ext>
          </a:extLst>
        </xdr:cNvPr>
        <xdr:cNvSpPr/>
      </xdr:nvSpPr>
      <xdr:spPr>
        <a:xfrm rot="10800000">
          <a:off x="19270980" y="4783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262</xdr:row>
      <xdr:rowOff>0</xdr:rowOff>
    </xdr:from>
    <xdr:to>
      <xdr:col>39</xdr:col>
      <xdr:colOff>83820</xdr:colOff>
      <xdr:row>262</xdr:row>
      <xdr:rowOff>114300</xdr:rowOff>
    </xdr:to>
    <xdr:sp macro="" textlink="">
      <xdr:nvSpPr>
        <xdr:cNvPr id="2008" name="Arrow: Down 2007">
          <a:extLst>
            <a:ext uri="{FF2B5EF4-FFF2-40B4-BE49-F238E27FC236}">
              <a16:creationId xmlns:a16="http://schemas.microsoft.com/office/drawing/2014/main" id="{90168537-4D68-497F-8346-EFDB9A3D7319}"/>
            </a:ext>
          </a:extLst>
        </xdr:cNvPr>
        <xdr:cNvSpPr/>
      </xdr:nvSpPr>
      <xdr:spPr>
        <a:xfrm>
          <a:off x="9715500" y="480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83820</xdr:colOff>
      <xdr:row>262</xdr:row>
      <xdr:rowOff>114300</xdr:rowOff>
    </xdr:to>
    <xdr:sp macro="" textlink="">
      <xdr:nvSpPr>
        <xdr:cNvPr id="2009" name="Arrow: Down 2008">
          <a:extLst>
            <a:ext uri="{FF2B5EF4-FFF2-40B4-BE49-F238E27FC236}">
              <a16:creationId xmlns:a16="http://schemas.microsoft.com/office/drawing/2014/main" id="{962D7975-E53D-4381-A09F-3CA83FDB24B9}"/>
            </a:ext>
          </a:extLst>
        </xdr:cNvPr>
        <xdr:cNvSpPr/>
      </xdr:nvSpPr>
      <xdr:spPr>
        <a:xfrm>
          <a:off x="369570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262</xdr:row>
      <xdr:rowOff>0</xdr:rowOff>
    </xdr:from>
    <xdr:to>
      <xdr:col>5</xdr:col>
      <xdr:colOff>83820</xdr:colOff>
      <xdr:row>262</xdr:row>
      <xdr:rowOff>114300</xdr:rowOff>
    </xdr:to>
    <xdr:sp macro="" textlink="">
      <xdr:nvSpPr>
        <xdr:cNvPr id="2010" name="Arrow: Down 2009">
          <a:extLst>
            <a:ext uri="{FF2B5EF4-FFF2-40B4-BE49-F238E27FC236}">
              <a16:creationId xmlns:a16="http://schemas.microsoft.com/office/drawing/2014/main" id="{695571B9-37B2-46D7-ABA6-782A267A2B26}"/>
            </a:ext>
          </a:extLst>
        </xdr:cNvPr>
        <xdr:cNvSpPr/>
      </xdr:nvSpPr>
      <xdr:spPr>
        <a:xfrm>
          <a:off x="192786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262</xdr:row>
      <xdr:rowOff>0</xdr:rowOff>
    </xdr:from>
    <xdr:to>
      <xdr:col>24</xdr:col>
      <xdr:colOff>83820</xdr:colOff>
      <xdr:row>262</xdr:row>
      <xdr:rowOff>114300</xdr:rowOff>
    </xdr:to>
    <xdr:sp macro="" textlink="">
      <xdr:nvSpPr>
        <xdr:cNvPr id="2012" name="Arrow: Down 2011">
          <a:extLst>
            <a:ext uri="{FF2B5EF4-FFF2-40B4-BE49-F238E27FC236}">
              <a16:creationId xmlns:a16="http://schemas.microsoft.com/office/drawing/2014/main" id="{3092055C-98D1-4F55-8477-FAE0C8B2655C}"/>
            </a:ext>
          </a:extLst>
        </xdr:cNvPr>
        <xdr:cNvSpPr/>
      </xdr:nvSpPr>
      <xdr:spPr>
        <a:xfrm>
          <a:off x="655320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262</xdr:row>
      <xdr:rowOff>0</xdr:rowOff>
    </xdr:from>
    <xdr:to>
      <xdr:col>60</xdr:col>
      <xdr:colOff>83820</xdr:colOff>
      <xdr:row>262</xdr:row>
      <xdr:rowOff>114300</xdr:rowOff>
    </xdr:to>
    <xdr:sp macro="" textlink="">
      <xdr:nvSpPr>
        <xdr:cNvPr id="2013" name="Arrow: Down 2012">
          <a:extLst>
            <a:ext uri="{FF2B5EF4-FFF2-40B4-BE49-F238E27FC236}">
              <a16:creationId xmlns:a16="http://schemas.microsoft.com/office/drawing/2014/main" id="{031CC5F1-E5F0-4652-818C-8D662C42CBAE}"/>
            </a:ext>
          </a:extLst>
        </xdr:cNvPr>
        <xdr:cNvSpPr/>
      </xdr:nvSpPr>
      <xdr:spPr>
        <a:xfrm rot="10800000">
          <a:off x="16840200" y="480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263</xdr:row>
      <xdr:rowOff>0</xdr:rowOff>
    </xdr:from>
    <xdr:to>
      <xdr:col>71</xdr:col>
      <xdr:colOff>83820</xdr:colOff>
      <xdr:row>263</xdr:row>
      <xdr:rowOff>114300</xdr:rowOff>
    </xdr:to>
    <xdr:sp macro="" textlink="">
      <xdr:nvSpPr>
        <xdr:cNvPr id="2015" name="Arrow: Down 2014">
          <a:extLst>
            <a:ext uri="{FF2B5EF4-FFF2-40B4-BE49-F238E27FC236}">
              <a16:creationId xmlns:a16="http://schemas.microsoft.com/office/drawing/2014/main" id="{F1FABE29-B026-41C2-A2D6-152382DA2668}"/>
            </a:ext>
          </a:extLst>
        </xdr:cNvPr>
        <xdr:cNvSpPr/>
      </xdr:nvSpPr>
      <xdr:spPr>
        <a:xfrm rot="10800000">
          <a:off x="19270980" y="480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263</xdr:row>
      <xdr:rowOff>0</xdr:rowOff>
    </xdr:from>
    <xdr:to>
      <xdr:col>39</xdr:col>
      <xdr:colOff>83820</xdr:colOff>
      <xdr:row>263</xdr:row>
      <xdr:rowOff>114300</xdr:rowOff>
    </xdr:to>
    <xdr:sp macro="" textlink="">
      <xdr:nvSpPr>
        <xdr:cNvPr id="2016" name="Arrow: Down 2015">
          <a:extLst>
            <a:ext uri="{FF2B5EF4-FFF2-40B4-BE49-F238E27FC236}">
              <a16:creationId xmlns:a16="http://schemas.microsoft.com/office/drawing/2014/main" id="{E9946B91-5D44-409A-AA24-41B9946BAD1A}"/>
            </a:ext>
          </a:extLst>
        </xdr:cNvPr>
        <xdr:cNvSpPr/>
      </xdr:nvSpPr>
      <xdr:spPr>
        <a:xfrm>
          <a:off x="9715500" y="480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263</xdr:row>
      <xdr:rowOff>0</xdr:rowOff>
    </xdr:from>
    <xdr:to>
      <xdr:col>11</xdr:col>
      <xdr:colOff>83820</xdr:colOff>
      <xdr:row>263</xdr:row>
      <xdr:rowOff>114300</xdr:rowOff>
    </xdr:to>
    <xdr:sp macro="" textlink="">
      <xdr:nvSpPr>
        <xdr:cNvPr id="2017" name="Arrow: Down 2016">
          <a:extLst>
            <a:ext uri="{FF2B5EF4-FFF2-40B4-BE49-F238E27FC236}">
              <a16:creationId xmlns:a16="http://schemas.microsoft.com/office/drawing/2014/main" id="{84B5F7E5-7AC5-4022-8666-AA2A0E5E6F6A}"/>
            </a:ext>
          </a:extLst>
        </xdr:cNvPr>
        <xdr:cNvSpPr/>
      </xdr:nvSpPr>
      <xdr:spPr>
        <a:xfrm>
          <a:off x="369570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263</xdr:row>
      <xdr:rowOff>0</xdr:rowOff>
    </xdr:from>
    <xdr:to>
      <xdr:col>5</xdr:col>
      <xdr:colOff>83820</xdr:colOff>
      <xdr:row>263</xdr:row>
      <xdr:rowOff>114300</xdr:rowOff>
    </xdr:to>
    <xdr:sp macro="" textlink="">
      <xdr:nvSpPr>
        <xdr:cNvPr id="2018" name="Arrow: Down 2017">
          <a:extLst>
            <a:ext uri="{FF2B5EF4-FFF2-40B4-BE49-F238E27FC236}">
              <a16:creationId xmlns:a16="http://schemas.microsoft.com/office/drawing/2014/main" id="{BB0F12C6-E20F-4BD5-9C1D-8547BFB838EF}"/>
            </a:ext>
          </a:extLst>
        </xdr:cNvPr>
        <xdr:cNvSpPr/>
      </xdr:nvSpPr>
      <xdr:spPr>
        <a:xfrm>
          <a:off x="192786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263</xdr:row>
      <xdr:rowOff>0</xdr:rowOff>
    </xdr:from>
    <xdr:to>
      <xdr:col>24</xdr:col>
      <xdr:colOff>83820</xdr:colOff>
      <xdr:row>263</xdr:row>
      <xdr:rowOff>114300</xdr:rowOff>
    </xdr:to>
    <xdr:sp macro="" textlink="">
      <xdr:nvSpPr>
        <xdr:cNvPr id="2019" name="Arrow: Down 2018">
          <a:extLst>
            <a:ext uri="{FF2B5EF4-FFF2-40B4-BE49-F238E27FC236}">
              <a16:creationId xmlns:a16="http://schemas.microsoft.com/office/drawing/2014/main" id="{24B11066-6DB9-4907-9983-3F2BE6BEEF99}"/>
            </a:ext>
          </a:extLst>
        </xdr:cNvPr>
        <xdr:cNvSpPr/>
      </xdr:nvSpPr>
      <xdr:spPr>
        <a:xfrm>
          <a:off x="6553200" y="4801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263</xdr:row>
      <xdr:rowOff>0</xdr:rowOff>
    </xdr:from>
    <xdr:to>
      <xdr:col>60</xdr:col>
      <xdr:colOff>83820</xdr:colOff>
      <xdr:row>263</xdr:row>
      <xdr:rowOff>114300</xdr:rowOff>
    </xdr:to>
    <xdr:sp macro="" textlink="">
      <xdr:nvSpPr>
        <xdr:cNvPr id="2020" name="Arrow: Down 2019">
          <a:extLst>
            <a:ext uri="{FF2B5EF4-FFF2-40B4-BE49-F238E27FC236}">
              <a16:creationId xmlns:a16="http://schemas.microsoft.com/office/drawing/2014/main" id="{9B13FC43-49CD-4CED-931D-8CF1874FA0DE}"/>
            </a:ext>
          </a:extLst>
        </xdr:cNvPr>
        <xdr:cNvSpPr/>
      </xdr:nvSpPr>
      <xdr:spPr>
        <a:xfrm rot="10800000">
          <a:off x="16840200" y="480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263</xdr:row>
      <xdr:rowOff>0</xdr:rowOff>
    </xdr:from>
    <xdr:to>
      <xdr:col>45</xdr:col>
      <xdr:colOff>83820</xdr:colOff>
      <xdr:row>263</xdr:row>
      <xdr:rowOff>114300</xdr:rowOff>
    </xdr:to>
    <xdr:sp macro="" textlink="">
      <xdr:nvSpPr>
        <xdr:cNvPr id="2021" name="Arrow: Down 2020">
          <a:extLst>
            <a:ext uri="{FF2B5EF4-FFF2-40B4-BE49-F238E27FC236}">
              <a16:creationId xmlns:a16="http://schemas.microsoft.com/office/drawing/2014/main" id="{4E155ADF-ED71-429B-875C-6700A3A7910D}"/>
            </a:ext>
          </a:extLst>
        </xdr:cNvPr>
        <xdr:cNvSpPr/>
      </xdr:nvSpPr>
      <xdr:spPr>
        <a:xfrm>
          <a:off x="11521440" y="4819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264</xdr:row>
      <xdr:rowOff>0</xdr:rowOff>
    </xdr:from>
    <xdr:to>
      <xdr:col>71</xdr:col>
      <xdr:colOff>83820</xdr:colOff>
      <xdr:row>264</xdr:row>
      <xdr:rowOff>114300</xdr:rowOff>
    </xdr:to>
    <xdr:sp macro="" textlink="">
      <xdr:nvSpPr>
        <xdr:cNvPr id="2030" name="Arrow: Down 2029">
          <a:extLst>
            <a:ext uri="{FF2B5EF4-FFF2-40B4-BE49-F238E27FC236}">
              <a16:creationId xmlns:a16="http://schemas.microsoft.com/office/drawing/2014/main" id="{8E74B778-8E84-4DBA-930A-EA7F6C17A329}"/>
            </a:ext>
          </a:extLst>
        </xdr:cNvPr>
        <xdr:cNvSpPr/>
      </xdr:nvSpPr>
      <xdr:spPr>
        <a:xfrm>
          <a:off x="19270980" y="4837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264</xdr:row>
      <xdr:rowOff>0</xdr:rowOff>
    </xdr:from>
    <xdr:to>
      <xdr:col>60</xdr:col>
      <xdr:colOff>83820</xdr:colOff>
      <xdr:row>264</xdr:row>
      <xdr:rowOff>114300</xdr:rowOff>
    </xdr:to>
    <xdr:sp macro="" textlink="">
      <xdr:nvSpPr>
        <xdr:cNvPr id="2031" name="Arrow: Down 2030">
          <a:extLst>
            <a:ext uri="{FF2B5EF4-FFF2-40B4-BE49-F238E27FC236}">
              <a16:creationId xmlns:a16="http://schemas.microsoft.com/office/drawing/2014/main" id="{98368858-4DB9-4F03-91FD-11ACE7D3A6DC}"/>
            </a:ext>
          </a:extLst>
        </xdr:cNvPr>
        <xdr:cNvSpPr/>
      </xdr:nvSpPr>
      <xdr:spPr>
        <a:xfrm>
          <a:off x="16840200" y="4837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264</xdr:row>
      <xdr:rowOff>0</xdr:rowOff>
    </xdr:from>
    <xdr:to>
      <xdr:col>39</xdr:col>
      <xdr:colOff>83820</xdr:colOff>
      <xdr:row>264</xdr:row>
      <xdr:rowOff>114300</xdr:rowOff>
    </xdr:to>
    <xdr:sp macro="" textlink="">
      <xdr:nvSpPr>
        <xdr:cNvPr id="2033" name="Arrow: Down 2032">
          <a:extLst>
            <a:ext uri="{FF2B5EF4-FFF2-40B4-BE49-F238E27FC236}">
              <a16:creationId xmlns:a16="http://schemas.microsoft.com/office/drawing/2014/main" id="{881514F2-BA44-4354-B77A-4782DC0A5B11}"/>
            </a:ext>
          </a:extLst>
        </xdr:cNvPr>
        <xdr:cNvSpPr/>
      </xdr:nvSpPr>
      <xdr:spPr>
        <a:xfrm rot="10800000">
          <a:off x="9715500" y="4837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264</xdr:row>
      <xdr:rowOff>0</xdr:rowOff>
    </xdr:from>
    <xdr:to>
      <xdr:col>45</xdr:col>
      <xdr:colOff>83820</xdr:colOff>
      <xdr:row>264</xdr:row>
      <xdr:rowOff>114300</xdr:rowOff>
    </xdr:to>
    <xdr:sp macro="" textlink="">
      <xdr:nvSpPr>
        <xdr:cNvPr id="2035" name="Arrow: Down 2034">
          <a:extLst>
            <a:ext uri="{FF2B5EF4-FFF2-40B4-BE49-F238E27FC236}">
              <a16:creationId xmlns:a16="http://schemas.microsoft.com/office/drawing/2014/main" id="{E9238BEC-7AA7-4CFA-894B-657B828B937B}"/>
            </a:ext>
          </a:extLst>
        </xdr:cNvPr>
        <xdr:cNvSpPr/>
      </xdr:nvSpPr>
      <xdr:spPr>
        <a:xfrm rot="10800000">
          <a:off x="11521440" y="4837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264</xdr:row>
      <xdr:rowOff>0</xdr:rowOff>
    </xdr:from>
    <xdr:to>
      <xdr:col>11</xdr:col>
      <xdr:colOff>83820</xdr:colOff>
      <xdr:row>264</xdr:row>
      <xdr:rowOff>114300</xdr:rowOff>
    </xdr:to>
    <xdr:sp macro="" textlink="">
      <xdr:nvSpPr>
        <xdr:cNvPr id="2036" name="Arrow: Down 2035">
          <a:extLst>
            <a:ext uri="{FF2B5EF4-FFF2-40B4-BE49-F238E27FC236}">
              <a16:creationId xmlns:a16="http://schemas.microsoft.com/office/drawing/2014/main" id="{BA3E803E-7FBD-4134-BA81-4428A32C72D7}"/>
            </a:ext>
          </a:extLst>
        </xdr:cNvPr>
        <xdr:cNvSpPr/>
      </xdr:nvSpPr>
      <xdr:spPr>
        <a:xfrm rot="10800000">
          <a:off x="369570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264</xdr:row>
      <xdr:rowOff>0</xdr:rowOff>
    </xdr:from>
    <xdr:to>
      <xdr:col>5</xdr:col>
      <xdr:colOff>83820</xdr:colOff>
      <xdr:row>264</xdr:row>
      <xdr:rowOff>114300</xdr:rowOff>
    </xdr:to>
    <xdr:sp macro="" textlink="">
      <xdr:nvSpPr>
        <xdr:cNvPr id="2037" name="Arrow: Down 2036">
          <a:extLst>
            <a:ext uri="{FF2B5EF4-FFF2-40B4-BE49-F238E27FC236}">
              <a16:creationId xmlns:a16="http://schemas.microsoft.com/office/drawing/2014/main" id="{38A1D19C-90FD-4A6D-AF35-C12F9F8A0440}"/>
            </a:ext>
          </a:extLst>
        </xdr:cNvPr>
        <xdr:cNvSpPr/>
      </xdr:nvSpPr>
      <xdr:spPr>
        <a:xfrm rot="10800000">
          <a:off x="192786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264</xdr:row>
      <xdr:rowOff>0</xdr:rowOff>
    </xdr:from>
    <xdr:to>
      <xdr:col>24</xdr:col>
      <xdr:colOff>83820</xdr:colOff>
      <xdr:row>264</xdr:row>
      <xdr:rowOff>114300</xdr:rowOff>
    </xdr:to>
    <xdr:sp macro="" textlink="">
      <xdr:nvSpPr>
        <xdr:cNvPr id="2038" name="Arrow: Down 2037">
          <a:extLst>
            <a:ext uri="{FF2B5EF4-FFF2-40B4-BE49-F238E27FC236}">
              <a16:creationId xmlns:a16="http://schemas.microsoft.com/office/drawing/2014/main" id="{CD5D4D95-A3FA-4A83-9AB2-537B7BFB16A3}"/>
            </a:ext>
          </a:extLst>
        </xdr:cNvPr>
        <xdr:cNvSpPr/>
      </xdr:nvSpPr>
      <xdr:spPr>
        <a:xfrm rot="10800000">
          <a:off x="655320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265</xdr:row>
      <xdr:rowOff>0</xdr:rowOff>
    </xdr:from>
    <xdr:to>
      <xdr:col>45</xdr:col>
      <xdr:colOff>83820</xdr:colOff>
      <xdr:row>265</xdr:row>
      <xdr:rowOff>114300</xdr:rowOff>
    </xdr:to>
    <xdr:sp macro="" textlink="">
      <xdr:nvSpPr>
        <xdr:cNvPr id="2042" name="Arrow: Down 2041">
          <a:extLst>
            <a:ext uri="{FF2B5EF4-FFF2-40B4-BE49-F238E27FC236}">
              <a16:creationId xmlns:a16="http://schemas.microsoft.com/office/drawing/2014/main" id="{6A3A177A-5850-485F-B44F-FC9E6656EF4B}"/>
            </a:ext>
          </a:extLst>
        </xdr:cNvPr>
        <xdr:cNvSpPr/>
      </xdr:nvSpPr>
      <xdr:spPr>
        <a:xfrm rot="10800000">
          <a:off x="11521440" y="4837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265</xdr:row>
      <xdr:rowOff>0</xdr:rowOff>
    </xdr:from>
    <xdr:to>
      <xdr:col>11</xdr:col>
      <xdr:colOff>83820</xdr:colOff>
      <xdr:row>265</xdr:row>
      <xdr:rowOff>114300</xdr:rowOff>
    </xdr:to>
    <xdr:sp macro="" textlink="">
      <xdr:nvSpPr>
        <xdr:cNvPr id="2043" name="Arrow: Down 2042">
          <a:extLst>
            <a:ext uri="{FF2B5EF4-FFF2-40B4-BE49-F238E27FC236}">
              <a16:creationId xmlns:a16="http://schemas.microsoft.com/office/drawing/2014/main" id="{7E64627B-D6A6-40C6-ADFB-A89587105C22}"/>
            </a:ext>
          </a:extLst>
        </xdr:cNvPr>
        <xdr:cNvSpPr/>
      </xdr:nvSpPr>
      <xdr:spPr>
        <a:xfrm rot="10800000">
          <a:off x="369570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265</xdr:row>
      <xdr:rowOff>0</xdr:rowOff>
    </xdr:from>
    <xdr:to>
      <xdr:col>5</xdr:col>
      <xdr:colOff>83820</xdr:colOff>
      <xdr:row>265</xdr:row>
      <xdr:rowOff>114300</xdr:rowOff>
    </xdr:to>
    <xdr:sp macro="" textlink="">
      <xdr:nvSpPr>
        <xdr:cNvPr id="2044" name="Arrow: Down 2043">
          <a:extLst>
            <a:ext uri="{FF2B5EF4-FFF2-40B4-BE49-F238E27FC236}">
              <a16:creationId xmlns:a16="http://schemas.microsoft.com/office/drawing/2014/main" id="{734CCB78-1E08-4977-B5AE-74581625791B}"/>
            </a:ext>
          </a:extLst>
        </xdr:cNvPr>
        <xdr:cNvSpPr/>
      </xdr:nvSpPr>
      <xdr:spPr>
        <a:xfrm rot="10800000">
          <a:off x="192786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265</xdr:row>
      <xdr:rowOff>0</xdr:rowOff>
    </xdr:from>
    <xdr:to>
      <xdr:col>24</xdr:col>
      <xdr:colOff>83820</xdr:colOff>
      <xdr:row>265</xdr:row>
      <xdr:rowOff>114300</xdr:rowOff>
    </xdr:to>
    <xdr:sp macro="" textlink="">
      <xdr:nvSpPr>
        <xdr:cNvPr id="2045" name="Arrow: Down 2044">
          <a:extLst>
            <a:ext uri="{FF2B5EF4-FFF2-40B4-BE49-F238E27FC236}">
              <a16:creationId xmlns:a16="http://schemas.microsoft.com/office/drawing/2014/main" id="{FA0F733C-A09B-4732-A8B8-ECC2A503C1F3}"/>
            </a:ext>
          </a:extLst>
        </xdr:cNvPr>
        <xdr:cNvSpPr/>
      </xdr:nvSpPr>
      <xdr:spPr>
        <a:xfrm rot="10800000">
          <a:off x="6553200" y="4837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265</xdr:row>
      <xdr:rowOff>0</xdr:rowOff>
    </xdr:from>
    <xdr:to>
      <xdr:col>39</xdr:col>
      <xdr:colOff>83820</xdr:colOff>
      <xdr:row>265</xdr:row>
      <xdr:rowOff>114300</xdr:rowOff>
    </xdr:to>
    <xdr:sp macro="" textlink="">
      <xdr:nvSpPr>
        <xdr:cNvPr id="2046" name="Arrow: Down 2045">
          <a:extLst>
            <a:ext uri="{FF2B5EF4-FFF2-40B4-BE49-F238E27FC236}">
              <a16:creationId xmlns:a16="http://schemas.microsoft.com/office/drawing/2014/main" id="{52ACDACD-98DD-4232-AA97-6D3A256C3253}"/>
            </a:ext>
          </a:extLst>
        </xdr:cNvPr>
        <xdr:cNvSpPr/>
      </xdr:nvSpPr>
      <xdr:spPr>
        <a:xfrm>
          <a:off x="971550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265</xdr:row>
      <xdr:rowOff>0</xdr:rowOff>
    </xdr:from>
    <xdr:to>
      <xdr:col>60</xdr:col>
      <xdr:colOff>83820</xdr:colOff>
      <xdr:row>265</xdr:row>
      <xdr:rowOff>114300</xdr:rowOff>
    </xdr:to>
    <xdr:sp macro="" textlink="">
      <xdr:nvSpPr>
        <xdr:cNvPr id="2048" name="Arrow: Down 2047">
          <a:extLst>
            <a:ext uri="{FF2B5EF4-FFF2-40B4-BE49-F238E27FC236}">
              <a16:creationId xmlns:a16="http://schemas.microsoft.com/office/drawing/2014/main" id="{8FDD2FC6-2D94-47C1-9988-37945A4613D5}"/>
            </a:ext>
          </a:extLst>
        </xdr:cNvPr>
        <xdr:cNvSpPr/>
      </xdr:nvSpPr>
      <xdr:spPr>
        <a:xfrm rot="10800000">
          <a:off x="1684020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265</xdr:row>
      <xdr:rowOff>0</xdr:rowOff>
    </xdr:from>
    <xdr:to>
      <xdr:col>71</xdr:col>
      <xdr:colOff>83820</xdr:colOff>
      <xdr:row>265</xdr:row>
      <xdr:rowOff>114300</xdr:rowOff>
    </xdr:to>
    <xdr:sp macro="" textlink="">
      <xdr:nvSpPr>
        <xdr:cNvPr id="2049" name="Arrow: Down 2048">
          <a:extLst>
            <a:ext uri="{FF2B5EF4-FFF2-40B4-BE49-F238E27FC236}">
              <a16:creationId xmlns:a16="http://schemas.microsoft.com/office/drawing/2014/main" id="{5C9CFEB4-830C-4F47-8649-9D12687F055B}"/>
            </a:ext>
          </a:extLst>
        </xdr:cNvPr>
        <xdr:cNvSpPr/>
      </xdr:nvSpPr>
      <xdr:spPr>
        <a:xfrm rot="10800000">
          <a:off x="1927098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266</xdr:row>
      <xdr:rowOff>0</xdr:rowOff>
    </xdr:from>
    <xdr:to>
      <xdr:col>45</xdr:col>
      <xdr:colOff>83820</xdr:colOff>
      <xdr:row>266</xdr:row>
      <xdr:rowOff>114300</xdr:rowOff>
    </xdr:to>
    <xdr:sp macro="" textlink="">
      <xdr:nvSpPr>
        <xdr:cNvPr id="2050" name="Arrow: Down 2049">
          <a:extLst>
            <a:ext uri="{FF2B5EF4-FFF2-40B4-BE49-F238E27FC236}">
              <a16:creationId xmlns:a16="http://schemas.microsoft.com/office/drawing/2014/main" id="{215EA844-27BE-48A5-AD6E-D25C48D79019}"/>
            </a:ext>
          </a:extLst>
        </xdr:cNvPr>
        <xdr:cNvSpPr/>
      </xdr:nvSpPr>
      <xdr:spPr>
        <a:xfrm rot="10800000">
          <a:off x="11521440" y="4856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266</xdr:row>
      <xdr:rowOff>0</xdr:rowOff>
    </xdr:from>
    <xdr:to>
      <xdr:col>11</xdr:col>
      <xdr:colOff>83820</xdr:colOff>
      <xdr:row>266</xdr:row>
      <xdr:rowOff>114300</xdr:rowOff>
    </xdr:to>
    <xdr:sp macro="" textlink="">
      <xdr:nvSpPr>
        <xdr:cNvPr id="2051" name="Arrow: Down 2050">
          <a:extLst>
            <a:ext uri="{FF2B5EF4-FFF2-40B4-BE49-F238E27FC236}">
              <a16:creationId xmlns:a16="http://schemas.microsoft.com/office/drawing/2014/main" id="{65CAE488-0DAE-4E33-967B-FF6613018827}"/>
            </a:ext>
          </a:extLst>
        </xdr:cNvPr>
        <xdr:cNvSpPr/>
      </xdr:nvSpPr>
      <xdr:spPr>
        <a:xfrm rot="10800000">
          <a:off x="369570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266</xdr:row>
      <xdr:rowOff>0</xdr:rowOff>
    </xdr:from>
    <xdr:to>
      <xdr:col>5</xdr:col>
      <xdr:colOff>83820</xdr:colOff>
      <xdr:row>266</xdr:row>
      <xdr:rowOff>114300</xdr:rowOff>
    </xdr:to>
    <xdr:sp macro="" textlink="">
      <xdr:nvSpPr>
        <xdr:cNvPr id="2052" name="Arrow: Down 2051">
          <a:extLst>
            <a:ext uri="{FF2B5EF4-FFF2-40B4-BE49-F238E27FC236}">
              <a16:creationId xmlns:a16="http://schemas.microsoft.com/office/drawing/2014/main" id="{8D148D0E-F1F9-46BE-9734-AD3540BF8151}"/>
            </a:ext>
          </a:extLst>
        </xdr:cNvPr>
        <xdr:cNvSpPr/>
      </xdr:nvSpPr>
      <xdr:spPr>
        <a:xfrm rot="10800000">
          <a:off x="192786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266</xdr:row>
      <xdr:rowOff>0</xdr:rowOff>
    </xdr:from>
    <xdr:to>
      <xdr:col>24</xdr:col>
      <xdr:colOff>83820</xdr:colOff>
      <xdr:row>266</xdr:row>
      <xdr:rowOff>114300</xdr:rowOff>
    </xdr:to>
    <xdr:sp macro="" textlink="">
      <xdr:nvSpPr>
        <xdr:cNvPr id="2053" name="Arrow: Down 2052">
          <a:extLst>
            <a:ext uri="{FF2B5EF4-FFF2-40B4-BE49-F238E27FC236}">
              <a16:creationId xmlns:a16="http://schemas.microsoft.com/office/drawing/2014/main" id="{DA9ADAAD-AE30-49C0-BF29-55205DD19B11}"/>
            </a:ext>
          </a:extLst>
        </xdr:cNvPr>
        <xdr:cNvSpPr/>
      </xdr:nvSpPr>
      <xdr:spPr>
        <a:xfrm rot="10800000">
          <a:off x="6553200" y="4856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266</xdr:row>
      <xdr:rowOff>0</xdr:rowOff>
    </xdr:from>
    <xdr:to>
      <xdr:col>39</xdr:col>
      <xdr:colOff>83820</xdr:colOff>
      <xdr:row>266</xdr:row>
      <xdr:rowOff>114300</xdr:rowOff>
    </xdr:to>
    <xdr:sp macro="" textlink="">
      <xdr:nvSpPr>
        <xdr:cNvPr id="2057" name="Arrow: Down 2056">
          <a:extLst>
            <a:ext uri="{FF2B5EF4-FFF2-40B4-BE49-F238E27FC236}">
              <a16:creationId xmlns:a16="http://schemas.microsoft.com/office/drawing/2014/main" id="{C0A90710-7CBA-4D5E-A574-0F31D271E3C5}"/>
            </a:ext>
          </a:extLst>
        </xdr:cNvPr>
        <xdr:cNvSpPr/>
      </xdr:nvSpPr>
      <xdr:spPr>
        <a:xfrm rot="10800000">
          <a:off x="9715500" y="4874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266</xdr:row>
      <xdr:rowOff>0</xdr:rowOff>
    </xdr:from>
    <xdr:to>
      <xdr:col>60</xdr:col>
      <xdr:colOff>83820</xdr:colOff>
      <xdr:row>266</xdr:row>
      <xdr:rowOff>114300</xdr:rowOff>
    </xdr:to>
    <xdr:sp macro="" textlink="">
      <xdr:nvSpPr>
        <xdr:cNvPr id="2058" name="Arrow: Down 2057">
          <a:extLst>
            <a:ext uri="{FF2B5EF4-FFF2-40B4-BE49-F238E27FC236}">
              <a16:creationId xmlns:a16="http://schemas.microsoft.com/office/drawing/2014/main" id="{56A64496-0750-4CA8-9A6F-391E2F280CCC}"/>
            </a:ext>
          </a:extLst>
        </xdr:cNvPr>
        <xdr:cNvSpPr/>
      </xdr:nvSpPr>
      <xdr:spPr>
        <a:xfrm>
          <a:off x="16840200" y="4874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266</xdr:row>
      <xdr:rowOff>0</xdr:rowOff>
    </xdr:from>
    <xdr:to>
      <xdr:col>71</xdr:col>
      <xdr:colOff>83820</xdr:colOff>
      <xdr:row>266</xdr:row>
      <xdr:rowOff>114300</xdr:rowOff>
    </xdr:to>
    <xdr:sp macro="" textlink="">
      <xdr:nvSpPr>
        <xdr:cNvPr id="2060" name="Arrow: Down 2059">
          <a:extLst>
            <a:ext uri="{FF2B5EF4-FFF2-40B4-BE49-F238E27FC236}">
              <a16:creationId xmlns:a16="http://schemas.microsoft.com/office/drawing/2014/main" id="{804B61C1-6226-4BB4-A175-43A132E11C6B}"/>
            </a:ext>
          </a:extLst>
        </xdr:cNvPr>
        <xdr:cNvSpPr/>
      </xdr:nvSpPr>
      <xdr:spPr>
        <a:xfrm>
          <a:off x="19270980" y="4874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267</xdr:row>
      <xdr:rowOff>0</xdr:rowOff>
    </xdr:from>
    <xdr:to>
      <xdr:col>11</xdr:col>
      <xdr:colOff>83820</xdr:colOff>
      <xdr:row>267</xdr:row>
      <xdr:rowOff>114300</xdr:rowOff>
    </xdr:to>
    <xdr:sp macro="" textlink="">
      <xdr:nvSpPr>
        <xdr:cNvPr id="2062" name="Arrow: Down 2061">
          <a:extLst>
            <a:ext uri="{FF2B5EF4-FFF2-40B4-BE49-F238E27FC236}">
              <a16:creationId xmlns:a16="http://schemas.microsoft.com/office/drawing/2014/main" id="{1D4690AA-824A-4831-AB49-7A7EEED8629A}"/>
            </a:ext>
          </a:extLst>
        </xdr:cNvPr>
        <xdr:cNvSpPr/>
      </xdr:nvSpPr>
      <xdr:spPr>
        <a:xfrm rot="10800000">
          <a:off x="3695700" y="4874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267</xdr:row>
      <xdr:rowOff>0</xdr:rowOff>
    </xdr:from>
    <xdr:to>
      <xdr:col>5</xdr:col>
      <xdr:colOff>83820</xdr:colOff>
      <xdr:row>267</xdr:row>
      <xdr:rowOff>114300</xdr:rowOff>
    </xdr:to>
    <xdr:sp macro="" textlink="">
      <xdr:nvSpPr>
        <xdr:cNvPr id="2063" name="Arrow: Down 2062">
          <a:extLst>
            <a:ext uri="{FF2B5EF4-FFF2-40B4-BE49-F238E27FC236}">
              <a16:creationId xmlns:a16="http://schemas.microsoft.com/office/drawing/2014/main" id="{695129F4-3155-4BB5-A418-713F84C775A0}"/>
            </a:ext>
          </a:extLst>
        </xdr:cNvPr>
        <xdr:cNvSpPr/>
      </xdr:nvSpPr>
      <xdr:spPr>
        <a:xfrm rot="10800000">
          <a:off x="1927860" y="4874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267</xdr:row>
      <xdr:rowOff>0</xdr:rowOff>
    </xdr:from>
    <xdr:to>
      <xdr:col>24</xdr:col>
      <xdr:colOff>83820</xdr:colOff>
      <xdr:row>267</xdr:row>
      <xdr:rowOff>114300</xdr:rowOff>
    </xdr:to>
    <xdr:sp macro="" textlink="">
      <xdr:nvSpPr>
        <xdr:cNvPr id="2064" name="Arrow: Down 2063">
          <a:extLst>
            <a:ext uri="{FF2B5EF4-FFF2-40B4-BE49-F238E27FC236}">
              <a16:creationId xmlns:a16="http://schemas.microsoft.com/office/drawing/2014/main" id="{0F383473-6424-4BC9-9430-09C747BBE471}"/>
            </a:ext>
          </a:extLst>
        </xdr:cNvPr>
        <xdr:cNvSpPr/>
      </xdr:nvSpPr>
      <xdr:spPr>
        <a:xfrm rot="10800000">
          <a:off x="6553200" y="4874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267</xdr:row>
      <xdr:rowOff>0</xdr:rowOff>
    </xdr:from>
    <xdr:to>
      <xdr:col>45</xdr:col>
      <xdr:colOff>83820</xdr:colOff>
      <xdr:row>267</xdr:row>
      <xdr:rowOff>114300</xdr:rowOff>
    </xdr:to>
    <xdr:sp macro="" textlink="">
      <xdr:nvSpPr>
        <xdr:cNvPr id="2068" name="Arrow: Down 2067">
          <a:extLst>
            <a:ext uri="{FF2B5EF4-FFF2-40B4-BE49-F238E27FC236}">
              <a16:creationId xmlns:a16="http://schemas.microsoft.com/office/drawing/2014/main" id="{27E4632E-7A5C-4B26-ABCF-8A5AC8AAA692}"/>
            </a:ext>
          </a:extLst>
        </xdr:cNvPr>
        <xdr:cNvSpPr/>
      </xdr:nvSpPr>
      <xdr:spPr>
        <a:xfrm>
          <a:off x="1152144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267</xdr:row>
      <xdr:rowOff>0</xdr:rowOff>
    </xdr:from>
    <xdr:to>
      <xdr:col>39</xdr:col>
      <xdr:colOff>83820</xdr:colOff>
      <xdr:row>267</xdr:row>
      <xdr:rowOff>114300</xdr:rowOff>
    </xdr:to>
    <xdr:sp macro="" textlink="">
      <xdr:nvSpPr>
        <xdr:cNvPr id="2069" name="Arrow: Down 2068">
          <a:extLst>
            <a:ext uri="{FF2B5EF4-FFF2-40B4-BE49-F238E27FC236}">
              <a16:creationId xmlns:a16="http://schemas.microsoft.com/office/drawing/2014/main" id="{875E91E3-AA2F-4D20-AA9E-2F27728D4B41}"/>
            </a:ext>
          </a:extLst>
        </xdr:cNvPr>
        <xdr:cNvSpPr/>
      </xdr:nvSpPr>
      <xdr:spPr>
        <a:xfrm>
          <a:off x="971550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267</xdr:row>
      <xdr:rowOff>0</xdr:rowOff>
    </xdr:from>
    <xdr:to>
      <xdr:col>71</xdr:col>
      <xdr:colOff>83820</xdr:colOff>
      <xdr:row>267</xdr:row>
      <xdr:rowOff>114300</xdr:rowOff>
    </xdr:to>
    <xdr:sp macro="" textlink="">
      <xdr:nvSpPr>
        <xdr:cNvPr id="2070" name="Arrow: Down 2069">
          <a:extLst>
            <a:ext uri="{FF2B5EF4-FFF2-40B4-BE49-F238E27FC236}">
              <a16:creationId xmlns:a16="http://schemas.microsoft.com/office/drawing/2014/main" id="{D59DF99D-0427-4139-BA93-5CC60B61230E}"/>
            </a:ext>
          </a:extLst>
        </xdr:cNvPr>
        <xdr:cNvSpPr/>
      </xdr:nvSpPr>
      <xdr:spPr>
        <a:xfrm rot="10800000">
          <a:off x="1927098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267</xdr:row>
      <xdr:rowOff>0</xdr:rowOff>
    </xdr:from>
    <xdr:to>
      <xdr:col>60</xdr:col>
      <xdr:colOff>83820</xdr:colOff>
      <xdr:row>267</xdr:row>
      <xdr:rowOff>114300</xdr:rowOff>
    </xdr:to>
    <xdr:sp macro="" textlink="">
      <xdr:nvSpPr>
        <xdr:cNvPr id="2072" name="Arrow: Down 2071">
          <a:extLst>
            <a:ext uri="{FF2B5EF4-FFF2-40B4-BE49-F238E27FC236}">
              <a16:creationId xmlns:a16="http://schemas.microsoft.com/office/drawing/2014/main" id="{4CC7DF7D-877E-44CF-A834-2967C8B932F4}"/>
            </a:ext>
          </a:extLst>
        </xdr:cNvPr>
        <xdr:cNvSpPr/>
      </xdr:nvSpPr>
      <xdr:spPr>
        <a:xfrm rot="10800000">
          <a:off x="1684020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83820</xdr:colOff>
      <xdr:row>268</xdr:row>
      <xdr:rowOff>114300</xdr:rowOff>
    </xdr:to>
    <xdr:sp macro="" textlink="">
      <xdr:nvSpPr>
        <xdr:cNvPr id="2073" name="Arrow: Down 2072">
          <a:extLst>
            <a:ext uri="{FF2B5EF4-FFF2-40B4-BE49-F238E27FC236}">
              <a16:creationId xmlns:a16="http://schemas.microsoft.com/office/drawing/2014/main" id="{B2A8C157-4EF7-489F-BC00-602FACBCC34E}"/>
            </a:ext>
          </a:extLst>
        </xdr:cNvPr>
        <xdr:cNvSpPr/>
      </xdr:nvSpPr>
      <xdr:spPr>
        <a:xfrm rot="10800000">
          <a:off x="369570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268</xdr:row>
      <xdr:rowOff>0</xdr:rowOff>
    </xdr:from>
    <xdr:to>
      <xdr:col>5</xdr:col>
      <xdr:colOff>83820</xdr:colOff>
      <xdr:row>268</xdr:row>
      <xdr:rowOff>114300</xdr:rowOff>
    </xdr:to>
    <xdr:sp macro="" textlink="">
      <xdr:nvSpPr>
        <xdr:cNvPr id="2074" name="Arrow: Down 2073">
          <a:extLst>
            <a:ext uri="{FF2B5EF4-FFF2-40B4-BE49-F238E27FC236}">
              <a16:creationId xmlns:a16="http://schemas.microsoft.com/office/drawing/2014/main" id="{1C1F20BE-4816-4CE2-8A5E-DECF7103127A}"/>
            </a:ext>
          </a:extLst>
        </xdr:cNvPr>
        <xdr:cNvSpPr/>
      </xdr:nvSpPr>
      <xdr:spPr>
        <a:xfrm rot="10800000">
          <a:off x="192786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268</xdr:row>
      <xdr:rowOff>0</xdr:rowOff>
    </xdr:from>
    <xdr:to>
      <xdr:col>45</xdr:col>
      <xdr:colOff>83820</xdr:colOff>
      <xdr:row>268</xdr:row>
      <xdr:rowOff>114300</xdr:rowOff>
    </xdr:to>
    <xdr:sp macro="" textlink="">
      <xdr:nvSpPr>
        <xdr:cNvPr id="2076" name="Arrow: Down 2075">
          <a:extLst>
            <a:ext uri="{FF2B5EF4-FFF2-40B4-BE49-F238E27FC236}">
              <a16:creationId xmlns:a16="http://schemas.microsoft.com/office/drawing/2014/main" id="{DA3E85B6-7CE9-4C4D-96C3-5BA9FCDD9B55}"/>
            </a:ext>
          </a:extLst>
        </xdr:cNvPr>
        <xdr:cNvSpPr/>
      </xdr:nvSpPr>
      <xdr:spPr>
        <a:xfrm>
          <a:off x="1152144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268</xdr:row>
      <xdr:rowOff>0</xdr:rowOff>
    </xdr:from>
    <xdr:to>
      <xdr:col>39</xdr:col>
      <xdr:colOff>83820</xdr:colOff>
      <xdr:row>268</xdr:row>
      <xdr:rowOff>114300</xdr:rowOff>
    </xdr:to>
    <xdr:sp macro="" textlink="">
      <xdr:nvSpPr>
        <xdr:cNvPr id="2077" name="Arrow: Down 2076">
          <a:extLst>
            <a:ext uri="{FF2B5EF4-FFF2-40B4-BE49-F238E27FC236}">
              <a16:creationId xmlns:a16="http://schemas.microsoft.com/office/drawing/2014/main" id="{01658A97-896D-4FB4-A09F-47F3AEEF2F3C}"/>
            </a:ext>
          </a:extLst>
        </xdr:cNvPr>
        <xdr:cNvSpPr/>
      </xdr:nvSpPr>
      <xdr:spPr>
        <a:xfrm>
          <a:off x="971550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268</xdr:row>
      <xdr:rowOff>0</xdr:rowOff>
    </xdr:from>
    <xdr:to>
      <xdr:col>71</xdr:col>
      <xdr:colOff>83820</xdr:colOff>
      <xdr:row>268</xdr:row>
      <xdr:rowOff>114300</xdr:rowOff>
    </xdr:to>
    <xdr:sp macro="" textlink="">
      <xdr:nvSpPr>
        <xdr:cNvPr id="2078" name="Arrow: Down 2077">
          <a:extLst>
            <a:ext uri="{FF2B5EF4-FFF2-40B4-BE49-F238E27FC236}">
              <a16:creationId xmlns:a16="http://schemas.microsoft.com/office/drawing/2014/main" id="{2669C173-56C4-415D-9F0A-6FB007FA9EFB}"/>
            </a:ext>
          </a:extLst>
        </xdr:cNvPr>
        <xdr:cNvSpPr/>
      </xdr:nvSpPr>
      <xdr:spPr>
        <a:xfrm rot="10800000">
          <a:off x="19270980" y="48928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268</xdr:row>
      <xdr:rowOff>0</xdr:rowOff>
    </xdr:from>
    <xdr:to>
      <xdr:col>60</xdr:col>
      <xdr:colOff>83820</xdr:colOff>
      <xdr:row>268</xdr:row>
      <xdr:rowOff>114300</xdr:rowOff>
    </xdr:to>
    <xdr:sp macro="" textlink="">
      <xdr:nvSpPr>
        <xdr:cNvPr id="2080" name="Arrow: Down 2079">
          <a:extLst>
            <a:ext uri="{FF2B5EF4-FFF2-40B4-BE49-F238E27FC236}">
              <a16:creationId xmlns:a16="http://schemas.microsoft.com/office/drawing/2014/main" id="{0FAB4119-61D4-427C-87D2-FF9F75FCB7A4}"/>
            </a:ext>
          </a:extLst>
        </xdr:cNvPr>
        <xdr:cNvSpPr/>
      </xdr:nvSpPr>
      <xdr:spPr>
        <a:xfrm>
          <a:off x="16840200" y="4911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268</xdr:row>
      <xdr:rowOff>0</xdr:rowOff>
    </xdr:from>
    <xdr:to>
      <xdr:col>24</xdr:col>
      <xdr:colOff>83820</xdr:colOff>
      <xdr:row>268</xdr:row>
      <xdr:rowOff>114300</xdr:rowOff>
    </xdr:to>
    <xdr:sp macro="" textlink="">
      <xdr:nvSpPr>
        <xdr:cNvPr id="2081" name="Arrow: Down 2080">
          <a:extLst>
            <a:ext uri="{FF2B5EF4-FFF2-40B4-BE49-F238E27FC236}">
              <a16:creationId xmlns:a16="http://schemas.microsoft.com/office/drawing/2014/main" id="{DC488098-D252-4A39-B4D2-3A346FA1EF1B}"/>
            </a:ext>
          </a:extLst>
        </xdr:cNvPr>
        <xdr:cNvSpPr/>
      </xdr:nvSpPr>
      <xdr:spPr>
        <a:xfrm>
          <a:off x="6553200" y="4911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269</xdr:row>
      <xdr:rowOff>0</xdr:rowOff>
    </xdr:from>
    <xdr:to>
      <xdr:col>60</xdr:col>
      <xdr:colOff>83820</xdr:colOff>
      <xdr:row>269</xdr:row>
      <xdr:rowOff>114300</xdr:rowOff>
    </xdr:to>
    <xdr:sp macro="" textlink="">
      <xdr:nvSpPr>
        <xdr:cNvPr id="1956" name="Arrow: Down 1955">
          <a:extLst>
            <a:ext uri="{FF2B5EF4-FFF2-40B4-BE49-F238E27FC236}">
              <a16:creationId xmlns:a16="http://schemas.microsoft.com/office/drawing/2014/main" id="{647597B5-6AD9-49E2-992B-E3196A485CF4}"/>
            </a:ext>
          </a:extLst>
        </xdr:cNvPr>
        <xdr:cNvSpPr/>
      </xdr:nvSpPr>
      <xdr:spPr>
        <a:xfrm>
          <a:off x="16840200" y="4911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269</xdr:row>
      <xdr:rowOff>0</xdr:rowOff>
    </xdr:from>
    <xdr:to>
      <xdr:col>24</xdr:col>
      <xdr:colOff>83820</xdr:colOff>
      <xdr:row>269</xdr:row>
      <xdr:rowOff>114300</xdr:rowOff>
    </xdr:to>
    <xdr:sp macro="" textlink="">
      <xdr:nvSpPr>
        <xdr:cNvPr id="1957" name="Arrow: Down 1956">
          <a:extLst>
            <a:ext uri="{FF2B5EF4-FFF2-40B4-BE49-F238E27FC236}">
              <a16:creationId xmlns:a16="http://schemas.microsoft.com/office/drawing/2014/main" id="{9BFA75FC-DC5D-425F-8C40-D780385E60EC}"/>
            </a:ext>
          </a:extLst>
        </xdr:cNvPr>
        <xdr:cNvSpPr/>
      </xdr:nvSpPr>
      <xdr:spPr>
        <a:xfrm>
          <a:off x="6553200" y="4911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269</xdr:row>
      <xdr:rowOff>0</xdr:rowOff>
    </xdr:from>
    <xdr:to>
      <xdr:col>71</xdr:col>
      <xdr:colOff>83820</xdr:colOff>
      <xdr:row>269</xdr:row>
      <xdr:rowOff>114300</xdr:rowOff>
    </xdr:to>
    <xdr:sp macro="" textlink="">
      <xdr:nvSpPr>
        <xdr:cNvPr id="1958" name="Arrow: Down 1957">
          <a:extLst>
            <a:ext uri="{FF2B5EF4-FFF2-40B4-BE49-F238E27FC236}">
              <a16:creationId xmlns:a16="http://schemas.microsoft.com/office/drawing/2014/main" id="{A72499BE-E780-4697-886F-7AB158E37DDF}"/>
            </a:ext>
          </a:extLst>
        </xdr:cNvPr>
        <xdr:cNvSpPr/>
      </xdr:nvSpPr>
      <xdr:spPr>
        <a:xfrm rot="10800000">
          <a:off x="19270980" y="4929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269</xdr:row>
      <xdr:rowOff>0</xdr:rowOff>
    </xdr:from>
    <xdr:to>
      <xdr:col>11</xdr:col>
      <xdr:colOff>83820</xdr:colOff>
      <xdr:row>269</xdr:row>
      <xdr:rowOff>114300</xdr:rowOff>
    </xdr:to>
    <xdr:sp macro="" textlink="">
      <xdr:nvSpPr>
        <xdr:cNvPr id="1964" name="Arrow: Down 1963">
          <a:extLst>
            <a:ext uri="{FF2B5EF4-FFF2-40B4-BE49-F238E27FC236}">
              <a16:creationId xmlns:a16="http://schemas.microsoft.com/office/drawing/2014/main" id="{B1527F4C-CCC4-4AB1-AF17-FBBC497D56FB}"/>
            </a:ext>
          </a:extLst>
        </xdr:cNvPr>
        <xdr:cNvSpPr/>
      </xdr:nvSpPr>
      <xdr:spPr>
        <a:xfrm>
          <a:off x="369570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269</xdr:row>
      <xdr:rowOff>0</xdr:rowOff>
    </xdr:from>
    <xdr:to>
      <xdr:col>5</xdr:col>
      <xdr:colOff>83820</xdr:colOff>
      <xdr:row>269</xdr:row>
      <xdr:rowOff>114300</xdr:rowOff>
    </xdr:to>
    <xdr:sp macro="" textlink="">
      <xdr:nvSpPr>
        <xdr:cNvPr id="1966" name="Arrow: Down 1965">
          <a:extLst>
            <a:ext uri="{FF2B5EF4-FFF2-40B4-BE49-F238E27FC236}">
              <a16:creationId xmlns:a16="http://schemas.microsoft.com/office/drawing/2014/main" id="{D521B053-2635-4764-A115-97C76FFF87ED}"/>
            </a:ext>
          </a:extLst>
        </xdr:cNvPr>
        <xdr:cNvSpPr/>
      </xdr:nvSpPr>
      <xdr:spPr>
        <a:xfrm>
          <a:off x="192786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269</xdr:row>
      <xdr:rowOff>0</xdr:rowOff>
    </xdr:from>
    <xdr:to>
      <xdr:col>45</xdr:col>
      <xdr:colOff>83820</xdr:colOff>
      <xdr:row>269</xdr:row>
      <xdr:rowOff>114300</xdr:rowOff>
    </xdr:to>
    <xdr:sp macro="" textlink="">
      <xdr:nvSpPr>
        <xdr:cNvPr id="1967" name="Arrow: Down 1966">
          <a:extLst>
            <a:ext uri="{FF2B5EF4-FFF2-40B4-BE49-F238E27FC236}">
              <a16:creationId xmlns:a16="http://schemas.microsoft.com/office/drawing/2014/main" id="{AF651D0A-4A38-4B90-AEB1-0BE09DC87764}"/>
            </a:ext>
          </a:extLst>
        </xdr:cNvPr>
        <xdr:cNvSpPr/>
      </xdr:nvSpPr>
      <xdr:spPr>
        <a:xfrm rot="10800000">
          <a:off x="1152144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269</xdr:row>
      <xdr:rowOff>0</xdr:rowOff>
    </xdr:from>
    <xdr:to>
      <xdr:col>39</xdr:col>
      <xdr:colOff>83820</xdr:colOff>
      <xdr:row>269</xdr:row>
      <xdr:rowOff>114300</xdr:rowOff>
    </xdr:to>
    <xdr:sp macro="" textlink="">
      <xdr:nvSpPr>
        <xdr:cNvPr id="1969" name="Arrow: Down 1968">
          <a:extLst>
            <a:ext uri="{FF2B5EF4-FFF2-40B4-BE49-F238E27FC236}">
              <a16:creationId xmlns:a16="http://schemas.microsoft.com/office/drawing/2014/main" id="{FC189B81-DF02-4C46-8711-597FE9FC819C}"/>
            </a:ext>
          </a:extLst>
        </xdr:cNvPr>
        <xdr:cNvSpPr/>
      </xdr:nvSpPr>
      <xdr:spPr>
        <a:xfrm rot="10800000">
          <a:off x="971550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270</xdr:row>
      <xdr:rowOff>0</xdr:rowOff>
    </xdr:from>
    <xdr:to>
      <xdr:col>24</xdr:col>
      <xdr:colOff>83820</xdr:colOff>
      <xdr:row>270</xdr:row>
      <xdr:rowOff>114300</xdr:rowOff>
    </xdr:to>
    <xdr:sp macro="" textlink="">
      <xdr:nvSpPr>
        <xdr:cNvPr id="1978" name="Arrow: Down 1977">
          <a:extLst>
            <a:ext uri="{FF2B5EF4-FFF2-40B4-BE49-F238E27FC236}">
              <a16:creationId xmlns:a16="http://schemas.microsoft.com/office/drawing/2014/main" id="{019A01B6-C937-460F-9E11-1CE94283FBB1}"/>
            </a:ext>
          </a:extLst>
        </xdr:cNvPr>
        <xdr:cNvSpPr/>
      </xdr:nvSpPr>
      <xdr:spPr>
        <a:xfrm>
          <a:off x="655320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270</xdr:row>
      <xdr:rowOff>0</xdr:rowOff>
    </xdr:from>
    <xdr:to>
      <xdr:col>71</xdr:col>
      <xdr:colOff>83820</xdr:colOff>
      <xdr:row>270</xdr:row>
      <xdr:rowOff>114300</xdr:rowOff>
    </xdr:to>
    <xdr:sp macro="" textlink="">
      <xdr:nvSpPr>
        <xdr:cNvPr id="1990" name="Arrow: Down 1989">
          <a:extLst>
            <a:ext uri="{FF2B5EF4-FFF2-40B4-BE49-F238E27FC236}">
              <a16:creationId xmlns:a16="http://schemas.microsoft.com/office/drawing/2014/main" id="{48F8525E-F508-43DE-A119-CDC4C51C0DF9}"/>
            </a:ext>
          </a:extLst>
        </xdr:cNvPr>
        <xdr:cNvSpPr/>
      </xdr:nvSpPr>
      <xdr:spPr>
        <a:xfrm rot="10800000">
          <a:off x="19270980" y="4929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270</xdr:row>
      <xdr:rowOff>0</xdr:rowOff>
    </xdr:from>
    <xdr:to>
      <xdr:col>11</xdr:col>
      <xdr:colOff>83820</xdr:colOff>
      <xdr:row>270</xdr:row>
      <xdr:rowOff>114300</xdr:rowOff>
    </xdr:to>
    <xdr:sp macro="" textlink="">
      <xdr:nvSpPr>
        <xdr:cNvPr id="1993" name="Arrow: Down 1992">
          <a:extLst>
            <a:ext uri="{FF2B5EF4-FFF2-40B4-BE49-F238E27FC236}">
              <a16:creationId xmlns:a16="http://schemas.microsoft.com/office/drawing/2014/main" id="{197B30A3-67E9-45C1-9325-45F8CBEA387A}"/>
            </a:ext>
          </a:extLst>
        </xdr:cNvPr>
        <xdr:cNvSpPr/>
      </xdr:nvSpPr>
      <xdr:spPr>
        <a:xfrm>
          <a:off x="369570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270</xdr:row>
      <xdr:rowOff>0</xdr:rowOff>
    </xdr:from>
    <xdr:to>
      <xdr:col>5</xdr:col>
      <xdr:colOff>83820</xdr:colOff>
      <xdr:row>270</xdr:row>
      <xdr:rowOff>114300</xdr:rowOff>
    </xdr:to>
    <xdr:sp macro="" textlink="">
      <xdr:nvSpPr>
        <xdr:cNvPr id="1994" name="Arrow: Down 1993">
          <a:extLst>
            <a:ext uri="{FF2B5EF4-FFF2-40B4-BE49-F238E27FC236}">
              <a16:creationId xmlns:a16="http://schemas.microsoft.com/office/drawing/2014/main" id="{337D5289-1DA7-423B-A79F-5A0AF3357264}"/>
            </a:ext>
          </a:extLst>
        </xdr:cNvPr>
        <xdr:cNvSpPr/>
      </xdr:nvSpPr>
      <xdr:spPr>
        <a:xfrm>
          <a:off x="1927860" y="4929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270</xdr:row>
      <xdr:rowOff>0</xdr:rowOff>
    </xdr:from>
    <xdr:to>
      <xdr:col>60</xdr:col>
      <xdr:colOff>83820</xdr:colOff>
      <xdr:row>270</xdr:row>
      <xdr:rowOff>114300</xdr:rowOff>
    </xdr:to>
    <xdr:sp macro="" textlink="">
      <xdr:nvSpPr>
        <xdr:cNvPr id="1997" name="Arrow: Down 1996">
          <a:extLst>
            <a:ext uri="{FF2B5EF4-FFF2-40B4-BE49-F238E27FC236}">
              <a16:creationId xmlns:a16="http://schemas.microsoft.com/office/drawing/2014/main" id="{EBAE0A0A-452F-4625-A41C-B1888A6BAF23}"/>
            </a:ext>
          </a:extLst>
        </xdr:cNvPr>
        <xdr:cNvSpPr/>
      </xdr:nvSpPr>
      <xdr:spPr>
        <a:xfrm rot="10800000">
          <a:off x="16840200" y="4947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270</xdr:row>
      <xdr:rowOff>0</xdr:rowOff>
    </xdr:from>
    <xdr:to>
      <xdr:col>45</xdr:col>
      <xdr:colOff>83820</xdr:colOff>
      <xdr:row>270</xdr:row>
      <xdr:rowOff>114300</xdr:rowOff>
    </xdr:to>
    <xdr:sp macro="" textlink="">
      <xdr:nvSpPr>
        <xdr:cNvPr id="1998" name="Arrow: Down 1997">
          <a:extLst>
            <a:ext uri="{FF2B5EF4-FFF2-40B4-BE49-F238E27FC236}">
              <a16:creationId xmlns:a16="http://schemas.microsoft.com/office/drawing/2014/main" id="{9B1B3057-4564-4E13-B763-F1923F0777A4}"/>
            </a:ext>
          </a:extLst>
        </xdr:cNvPr>
        <xdr:cNvSpPr/>
      </xdr:nvSpPr>
      <xdr:spPr>
        <a:xfrm>
          <a:off x="11521440" y="4947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270</xdr:row>
      <xdr:rowOff>0</xdr:rowOff>
    </xdr:from>
    <xdr:to>
      <xdr:col>39</xdr:col>
      <xdr:colOff>83820</xdr:colOff>
      <xdr:row>270</xdr:row>
      <xdr:rowOff>114300</xdr:rowOff>
    </xdr:to>
    <xdr:sp macro="" textlink="">
      <xdr:nvSpPr>
        <xdr:cNvPr id="1999" name="Arrow: Down 1998">
          <a:extLst>
            <a:ext uri="{FF2B5EF4-FFF2-40B4-BE49-F238E27FC236}">
              <a16:creationId xmlns:a16="http://schemas.microsoft.com/office/drawing/2014/main" id="{38A72398-4C77-4836-8CE1-CFB5B5EDB72E}"/>
            </a:ext>
          </a:extLst>
        </xdr:cNvPr>
        <xdr:cNvSpPr/>
      </xdr:nvSpPr>
      <xdr:spPr>
        <a:xfrm>
          <a:off x="9715500" y="4947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271</xdr:row>
      <xdr:rowOff>0</xdr:rowOff>
    </xdr:from>
    <xdr:to>
      <xdr:col>71</xdr:col>
      <xdr:colOff>83820</xdr:colOff>
      <xdr:row>271</xdr:row>
      <xdr:rowOff>114300</xdr:rowOff>
    </xdr:to>
    <xdr:sp macro="" textlink="">
      <xdr:nvSpPr>
        <xdr:cNvPr id="2022" name="Arrow: Down 2021">
          <a:extLst>
            <a:ext uri="{FF2B5EF4-FFF2-40B4-BE49-F238E27FC236}">
              <a16:creationId xmlns:a16="http://schemas.microsoft.com/office/drawing/2014/main" id="{0AB0E029-FD57-4773-BECF-15934FD7722E}"/>
            </a:ext>
          </a:extLst>
        </xdr:cNvPr>
        <xdr:cNvSpPr/>
      </xdr:nvSpPr>
      <xdr:spPr>
        <a:xfrm rot="10800000">
          <a:off x="21175980" y="4947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271</xdr:row>
      <xdr:rowOff>0</xdr:rowOff>
    </xdr:from>
    <xdr:to>
      <xdr:col>60</xdr:col>
      <xdr:colOff>83820</xdr:colOff>
      <xdr:row>271</xdr:row>
      <xdr:rowOff>114300</xdr:rowOff>
    </xdr:to>
    <xdr:sp macro="" textlink="">
      <xdr:nvSpPr>
        <xdr:cNvPr id="2029" name="Arrow: Down 2028">
          <a:extLst>
            <a:ext uri="{FF2B5EF4-FFF2-40B4-BE49-F238E27FC236}">
              <a16:creationId xmlns:a16="http://schemas.microsoft.com/office/drawing/2014/main" id="{AA1A5F3E-D0DB-4380-9690-3AB164D96003}"/>
            </a:ext>
          </a:extLst>
        </xdr:cNvPr>
        <xdr:cNvSpPr/>
      </xdr:nvSpPr>
      <xdr:spPr>
        <a:xfrm>
          <a:off x="17076420" y="4965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271</xdr:row>
      <xdr:rowOff>0</xdr:rowOff>
    </xdr:from>
    <xdr:to>
      <xdr:col>45</xdr:col>
      <xdr:colOff>83820</xdr:colOff>
      <xdr:row>271</xdr:row>
      <xdr:rowOff>114300</xdr:rowOff>
    </xdr:to>
    <xdr:sp macro="" textlink="">
      <xdr:nvSpPr>
        <xdr:cNvPr id="2032" name="Arrow: Down 2031">
          <a:extLst>
            <a:ext uri="{FF2B5EF4-FFF2-40B4-BE49-F238E27FC236}">
              <a16:creationId xmlns:a16="http://schemas.microsoft.com/office/drawing/2014/main" id="{49FAF21F-ACF9-46C5-9FB2-6156D8560549}"/>
            </a:ext>
          </a:extLst>
        </xdr:cNvPr>
        <xdr:cNvSpPr/>
      </xdr:nvSpPr>
      <xdr:spPr>
        <a:xfrm rot="10800000">
          <a:off x="11521440" y="4965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271</xdr:row>
      <xdr:rowOff>0</xdr:rowOff>
    </xdr:from>
    <xdr:to>
      <xdr:col>5</xdr:col>
      <xdr:colOff>83820</xdr:colOff>
      <xdr:row>271</xdr:row>
      <xdr:rowOff>114300</xdr:rowOff>
    </xdr:to>
    <xdr:sp macro="" textlink="">
      <xdr:nvSpPr>
        <xdr:cNvPr id="2039" name="Arrow: Down 2038">
          <a:extLst>
            <a:ext uri="{FF2B5EF4-FFF2-40B4-BE49-F238E27FC236}">
              <a16:creationId xmlns:a16="http://schemas.microsoft.com/office/drawing/2014/main" id="{FD8CBE1B-0B0B-4E96-8A89-0BEA082DE174}"/>
            </a:ext>
          </a:extLst>
        </xdr:cNvPr>
        <xdr:cNvSpPr/>
      </xdr:nvSpPr>
      <xdr:spPr>
        <a:xfrm rot="10800000">
          <a:off x="192786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83820</xdr:colOff>
      <xdr:row>271</xdr:row>
      <xdr:rowOff>114300</xdr:rowOff>
    </xdr:to>
    <xdr:sp macro="" textlink="">
      <xdr:nvSpPr>
        <xdr:cNvPr id="2040" name="Arrow: Down 2039">
          <a:extLst>
            <a:ext uri="{FF2B5EF4-FFF2-40B4-BE49-F238E27FC236}">
              <a16:creationId xmlns:a16="http://schemas.microsoft.com/office/drawing/2014/main" id="{E16F6DA3-8AA0-4544-94FB-ACC9BC1EE51B}"/>
            </a:ext>
          </a:extLst>
        </xdr:cNvPr>
        <xdr:cNvSpPr/>
      </xdr:nvSpPr>
      <xdr:spPr>
        <a:xfrm rot="10800000">
          <a:off x="369570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271</xdr:row>
      <xdr:rowOff>0</xdr:rowOff>
    </xdr:from>
    <xdr:to>
      <xdr:col>24</xdr:col>
      <xdr:colOff>83820</xdr:colOff>
      <xdr:row>271</xdr:row>
      <xdr:rowOff>114300</xdr:rowOff>
    </xdr:to>
    <xdr:sp macro="" textlink="">
      <xdr:nvSpPr>
        <xdr:cNvPr id="2047" name="Arrow: Down 2046">
          <a:extLst>
            <a:ext uri="{FF2B5EF4-FFF2-40B4-BE49-F238E27FC236}">
              <a16:creationId xmlns:a16="http://schemas.microsoft.com/office/drawing/2014/main" id="{8E05879B-9409-4EC5-9D90-74FACCF2690F}"/>
            </a:ext>
          </a:extLst>
        </xdr:cNvPr>
        <xdr:cNvSpPr/>
      </xdr:nvSpPr>
      <xdr:spPr>
        <a:xfrm rot="10800000">
          <a:off x="655320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271</xdr:row>
      <xdr:rowOff>0</xdr:rowOff>
    </xdr:from>
    <xdr:to>
      <xdr:col>39</xdr:col>
      <xdr:colOff>83820</xdr:colOff>
      <xdr:row>271</xdr:row>
      <xdr:rowOff>114300</xdr:rowOff>
    </xdr:to>
    <xdr:sp macro="" textlink="">
      <xdr:nvSpPr>
        <xdr:cNvPr id="2055" name="Arrow: Down 2054">
          <a:extLst>
            <a:ext uri="{FF2B5EF4-FFF2-40B4-BE49-F238E27FC236}">
              <a16:creationId xmlns:a16="http://schemas.microsoft.com/office/drawing/2014/main" id="{1E3C9A31-5771-49F7-A10B-C459BABC2712}"/>
            </a:ext>
          </a:extLst>
        </xdr:cNvPr>
        <xdr:cNvSpPr/>
      </xdr:nvSpPr>
      <xdr:spPr>
        <a:xfrm rot="10800000">
          <a:off x="9715500" y="4965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272</xdr:row>
      <xdr:rowOff>0</xdr:rowOff>
    </xdr:from>
    <xdr:to>
      <xdr:col>71</xdr:col>
      <xdr:colOff>83820</xdr:colOff>
      <xdr:row>272</xdr:row>
      <xdr:rowOff>114300</xdr:rowOff>
    </xdr:to>
    <xdr:sp macro="" textlink="">
      <xdr:nvSpPr>
        <xdr:cNvPr id="2075" name="Arrow: Down 2074">
          <a:extLst>
            <a:ext uri="{FF2B5EF4-FFF2-40B4-BE49-F238E27FC236}">
              <a16:creationId xmlns:a16="http://schemas.microsoft.com/office/drawing/2014/main" id="{94093CB1-A4F5-47D3-A4DD-2815D00AE591}"/>
            </a:ext>
          </a:extLst>
        </xdr:cNvPr>
        <xdr:cNvSpPr/>
      </xdr:nvSpPr>
      <xdr:spPr>
        <a:xfrm rot="10800000">
          <a:off x="1950720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272</xdr:row>
      <xdr:rowOff>0</xdr:rowOff>
    </xdr:from>
    <xdr:to>
      <xdr:col>5</xdr:col>
      <xdr:colOff>83820</xdr:colOff>
      <xdr:row>272</xdr:row>
      <xdr:rowOff>114300</xdr:rowOff>
    </xdr:to>
    <xdr:sp macro="" textlink="">
      <xdr:nvSpPr>
        <xdr:cNvPr id="2083" name="Arrow: Down 2082">
          <a:extLst>
            <a:ext uri="{FF2B5EF4-FFF2-40B4-BE49-F238E27FC236}">
              <a16:creationId xmlns:a16="http://schemas.microsoft.com/office/drawing/2014/main" id="{E18D454A-9917-4D1D-8536-24FC20582EA4}"/>
            </a:ext>
          </a:extLst>
        </xdr:cNvPr>
        <xdr:cNvSpPr/>
      </xdr:nvSpPr>
      <xdr:spPr>
        <a:xfrm rot="10800000">
          <a:off x="192786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272</xdr:row>
      <xdr:rowOff>0</xdr:rowOff>
    </xdr:from>
    <xdr:to>
      <xdr:col>11</xdr:col>
      <xdr:colOff>83820</xdr:colOff>
      <xdr:row>272</xdr:row>
      <xdr:rowOff>114300</xdr:rowOff>
    </xdr:to>
    <xdr:sp macro="" textlink="">
      <xdr:nvSpPr>
        <xdr:cNvPr id="2084" name="Arrow: Down 2083">
          <a:extLst>
            <a:ext uri="{FF2B5EF4-FFF2-40B4-BE49-F238E27FC236}">
              <a16:creationId xmlns:a16="http://schemas.microsoft.com/office/drawing/2014/main" id="{E8289760-D19A-4FEE-B638-0CCA30E81E67}"/>
            </a:ext>
          </a:extLst>
        </xdr:cNvPr>
        <xdr:cNvSpPr/>
      </xdr:nvSpPr>
      <xdr:spPr>
        <a:xfrm rot="10800000">
          <a:off x="369570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272</xdr:row>
      <xdr:rowOff>0</xdr:rowOff>
    </xdr:from>
    <xdr:to>
      <xdr:col>24</xdr:col>
      <xdr:colOff>83820</xdr:colOff>
      <xdr:row>272</xdr:row>
      <xdr:rowOff>114300</xdr:rowOff>
    </xdr:to>
    <xdr:sp macro="" textlink="">
      <xdr:nvSpPr>
        <xdr:cNvPr id="2085" name="Arrow: Down 2084">
          <a:extLst>
            <a:ext uri="{FF2B5EF4-FFF2-40B4-BE49-F238E27FC236}">
              <a16:creationId xmlns:a16="http://schemas.microsoft.com/office/drawing/2014/main" id="{1F166A16-9388-4061-9E89-B2393BE7A19D}"/>
            </a:ext>
          </a:extLst>
        </xdr:cNvPr>
        <xdr:cNvSpPr/>
      </xdr:nvSpPr>
      <xdr:spPr>
        <a:xfrm rot="10800000">
          <a:off x="6553200" y="4965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272</xdr:row>
      <xdr:rowOff>0</xdr:rowOff>
    </xdr:from>
    <xdr:to>
      <xdr:col>45</xdr:col>
      <xdr:colOff>83820</xdr:colOff>
      <xdr:row>272</xdr:row>
      <xdr:rowOff>114300</xdr:rowOff>
    </xdr:to>
    <xdr:sp macro="" textlink="">
      <xdr:nvSpPr>
        <xdr:cNvPr id="2087" name="Arrow: Down 2086">
          <a:extLst>
            <a:ext uri="{FF2B5EF4-FFF2-40B4-BE49-F238E27FC236}">
              <a16:creationId xmlns:a16="http://schemas.microsoft.com/office/drawing/2014/main" id="{D93EA978-044F-4288-B6C9-355674D893CF}"/>
            </a:ext>
          </a:extLst>
        </xdr:cNvPr>
        <xdr:cNvSpPr/>
      </xdr:nvSpPr>
      <xdr:spPr>
        <a:xfrm>
          <a:off x="1152144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272</xdr:row>
      <xdr:rowOff>0</xdr:rowOff>
    </xdr:from>
    <xdr:to>
      <xdr:col>39</xdr:col>
      <xdr:colOff>83820</xdr:colOff>
      <xdr:row>272</xdr:row>
      <xdr:rowOff>114300</xdr:rowOff>
    </xdr:to>
    <xdr:sp macro="" textlink="">
      <xdr:nvSpPr>
        <xdr:cNvPr id="2088" name="Arrow: Down 2087">
          <a:extLst>
            <a:ext uri="{FF2B5EF4-FFF2-40B4-BE49-F238E27FC236}">
              <a16:creationId xmlns:a16="http://schemas.microsoft.com/office/drawing/2014/main" id="{34D516A4-391D-453D-916E-AB9B83BBD393}"/>
            </a:ext>
          </a:extLst>
        </xdr:cNvPr>
        <xdr:cNvSpPr/>
      </xdr:nvSpPr>
      <xdr:spPr>
        <a:xfrm>
          <a:off x="971550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272</xdr:row>
      <xdr:rowOff>0</xdr:rowOff>
    </xdr:from>
    <xdr:to>
      <xdr:col>60</xdr:col>
      <xdr:colOff>83820</xdr:colOff>
      <xdr:row>272</xdr:row>
      <xdr:rowOff>114300</xdr:rowOff>
    </xdr:to>
    <xdr:sp macro="" textlink="">
      <xdr:nvSpPr>
        <xdr:cNvPr id="2089" name="Arrow: Down 2088">
          <a:extLst>
            <a:ext uri="{FF2B5EF4-FFF2-40B4-BE49-F238E27FC236}">
              <a16:creationId xmlns:a16="http://schemas.microsoft.com/office/drawing/2014/main" id="{88D6FDBF-7C69-471D-AE0B-223BCBEC29E3}"/>
            </a:ext>
          </a:extLst>
        </xdr:cNvPr>
        <xdr:cNvSpPr/>
      </xdr:nvSpPr>
      <xdr:spPr>
        <a:xfrm rot="10800000">
          <a:off x="1707642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273</xdr:row>
      <xdr:rowOff>0</xdr:rowOff>
    </xdr:from>
    <xdr:to>
      <xdr:col>71</xdr:col>
      <xdr:colOff>83820</xdr:colOff>
      <xdr:row>273</xdr:row>
      <xdr:rowOff>114300</xdr:rowOff>
    </xdr:to>
    <xdr:sp macro="" textlink="">
      <xdr:nvSpPr>
        <xdr:cNvPr id="1951" name="Arrow: Down 1950">
          <a:extLst>
            <a:ext uri="{FF2B5EF4-FFF2-40B4-BE49-F238E27FC236}">
              <a16:creationId xmlns:a16="http://schemas.microsoft.com/office/drawing/2014/main" id="{BB234EB2-B952-4437-8664-6E000975C215}"/>
            </a:ext>
          </a:extLst>
        </xdr:cNvPr>
        <xdr:cNvSpPr/>
      </xdr:nvSpPr>
      <xdr:spPr>
        <a:xfrm rot="10800000">
          <a:off x="1950720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273</xdr:row>
      <xdr:rowOff>0</xdr:rowOff>
    </xdr:from>
    <xdr:to>
      <xdr:col>5</xdr:col>
      <xdr:colOff>83820</xdr:colOff>
      <xdr:row>273</xdr:row>
      <xdr:rowOff>114300</xdr:rowOff>
    </xdr:to>
    <xdr:sp macro="" textlink="">
      <xdr:nvSpPr>
        <xdr:cNvPr id="1954" name="Arrow: Down 1953">
          <a:extLst>
            <a:ext uri="{FF2B5EF4-FFF2-40B4-BE49-F238E27FC236}">
              <a16:creationId xmlns:a16="http://schemas.microsoft.com/office/drawing/2014/main" id="{C2174273-3D3B-418B-ABE1-C20D8AD22B8F}"/>
            </a:ext>
          </a:extLst>
        </xdr:cNvPr>
        <xdr:cNvSpPr/>
      </xdr:nvSpPr>
      <xdr:spPr>
        <a:xfrm rot="10800000">
          <a:off x="192786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83820</xdr:colOff>
      <xdr:row>273</xdr:row>
      <xdr:rowOff>114300</xdr:rowOff>
    </xdr:to>
    <xdr:sp macro="" textlink="">
      <xdr:nvSpPr>
        <xdr:cNvPr id="1955" name="Arrow: Down 1954">
          <a:extLst>
            <a:ext uri="{FF2B5EF4-FFF2-40B4-BE49-F238E27FC236}">
              <a16:creationId xmlns:a16="http://schemas.microsoft.com/office/drawing/2014/main" id="{E32AA42F-DCA5-4A34-A3D4-3F325FE4FF15}"/>
            </a:ext>
          </a:extLst>
        </xdr:cNvPr>
        <xdr:cNvSpPr/>
      </xdr:nvSpPr>
      <xdr:spPr>
        <a:xfrm rot="10800000">
          <a:off x="369570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273</xdr:row>
      <xdr:rowOff>0</xdr:rowOff>
    </xdr:from>
    <xdr:to>
      <xdr:col>24</xdr:col>
      <xdr:colOff>83820</xdr:colOff>
      <xdr:row>273</xdr:row>
      <xdr:rowOff>114300</xdr:rowOff>
    </xdr:to>
    <xdr:sp macro="" textlink="">
      <xdr:nvSpPr>
        <xdr:cNvPr id="1971" name="Arrow: Down 1970">
          <a:extLst>
            <a:ext uri="{FF2B5EF4-FFF2-40B4-BE49-F238E27FC236}">
              <a16:creationId xmlns:a16="http://schemas.microsoft.com/office/drawing/2014/main" id="{B88B4161-15FB-42FA-B221-22F36B6C0F65}"/>
            </a:ext>
          </a:extLst>
        </xdr:cNvPr>
        <xdr:cNvSpPr/>
      </xdr:nvSpPr>
      <xdr:spPr>
        <a:xfrm rot="10800000">
          <a:off x="6553200" y="4984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273</xdr:row>
      <xdr:rowOff>0</xdr:rowOff>
    </xdr:from>
    <xdr:to>
      <xdr:col>45</xdr:col>
      <xdr:colOff>83820</xdr:colOff>
      <xdr:row>273</xdr:row>
      <xdr:rowOff>114300</xdr:rowOff>
    </xdr:to>
    <xdr:sp macro="" textlink="">
      <xdr:nvSpPr>
        <xdr:cNvPr id="2001" name="Arrow: Down 2000">
          <a:extLst>
            <a:ext uri="{FF2B5EF4-FFF2-40B4-BE49-F238E27FC236}">
              <a16:creationId xmlns:a16="http://schemas.microsoft.com/office/drawing/2014/main" id="{9F2460C1-1D30-4EF9-9324-1DE05436277C}"/>
            </a:ext>
          </a:extLst>
        </xdr:cNvPr>
        <xdr:cNvSpPr/>
      </xdr:nvSpPr>
      <xdr:spPr>
        <a:xfrm rot="10800000">
          <a:off x="11521440" y="5002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273</xdr:row>
      <xdr:rowOff>0</xdr:rowOff>
    </xdr:from>
    <xdr:to>
      <xdr:col>39</xdr:col>
      <xdr:colOff>83820</xdr:colOff>
      <xdr:row>273</xdr:row>
      <xdr:rowOff>114300</xdr:rowOff>
    </xdr:to>
    <xdr:sp macro="" textlink="">
      <xdr:nvSpPr>
        <xdr:cNvPr id="2002" name="Arrow: Down 2001">
          <a:extLst>
            <a:ext uri="{FF2B5EF4-FFF2-40B4-BE49-F238E27FC236}">
              <a16:creationId xmlns:a16="http://schemas.microsoft.com/office/drawing/2014/main" id="{99214505-8EBE-48F7-B86A-FF9D069BC6EE}"/>
            </a:ext>
          </a:extLst>
        </xdr:cNvPr>
        <xdr:cNvSpPr/>
      </xdr:nvSpPr>
      <xdr:spPr>
        <a:xfrm rot="10800000">
          <a:off x="9715500" y="5002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274</xdr:row>
      <xdr:rowOff>0</xdr:rowOff>
    </xdr:from>
    <xdr:to>
      <xdr:col>71</xdr:col>
      <xdr:colOff>83820</xdr:colOff>
      <xdr:row>274</xdr:row>
      <xdr:rowOff>114300</xdr:rowOff>
    </xdr:to>
    <xdr:sp macro="" textlink="">
      <xdr:nvSpPr>
        <xdr:cNvPr id="2004" name="Arrow: Down 2003">
          <a:extLst>
            <a:ext uri="{FF2B5EF4-FFF2-40B4-BE49-F238E27FC236}">
              <a16:creationId xmlns:a16="http://schemas.microsoft.com/office/drawing/2014/main" id="{EC4F4E19-C722-42E2-AE94-4742056E3312}"/>
            </a:ext>
          </a:extLst>
        </xdr:cNvPr>
        <xdr:cNvSpPr/>
      </xdr:nvSpPr>
      <xdr:spPr>
        <a:xfrm rot="10800000">
          <a:off x="19507200" y="5002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274</xdr:row>
      <xdr:rowOff>0</xdr:rowOff>
    </xdr:from>
    <xdr:to>
      <xdr:col>5</xdr:col>
      <xdr:colOff>83820</xdr:colOff>
      <xdr:row>274</xdr:row>
      <xdr:rowOff>114300</xdr:rowOff>
    </xdr:to>
    <xdr:sp macro="" textlink="">
      <xdr:nvSpPr>
        <xdr:cNvPr id="2005" name="Arrow: Down 2004">
          <a:extLst>
            <a:ext uri="{FF2B5EF4-FFF2-40B4-BE49-F238E27FC236}">
              <a16:creationId xmlns:a16="http://schemas.microsoft.com/office/drawing/2014/main" id="{4243CBD9-E741-476B-8C8D-0EF7BDABFC02}"/>
            </a:ext>
          </a:extLst>
        </xdr:cNvPr>
        <xdr:cNvSpPr/>
      </xdr:nvSpPr>
      <xdr:spPr>
        <a:xfrm rot="10800000">
          <a:off x="1927860" y="5002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273</xdr:row>
      <xdr:rowOff>0</xdr:rowOff>
    </xdr:from>
    <xdr:to>
      <xdr:col>60</xdr:col>
      <xdr:colOff>83820</xdr:colOff>
      <xdr:row>273</xdr:row>
      <xdr:rowOff>114300</xdr:rowOff>
    </xdr:to>
    <xdr:sp macro="" textlink="">
      <xdr:nvSpPr>
        <xdr:cNvPr id="2024" name="Arrow: Down 2023">
          <a:extLst>
            <a:ext uri="{FF2B5EF4-FFF2-40B4-BE49-F238E27FC236}">
              <a16:creationId xmlns:a16="http://schemas.microsoft.com/office/drawing/2014/main" id="{A3C57874-9395-46EA-8740-2BF785221B72}"/>
            </a:ext>
          </a:extLst>
        </xdr:cNvPr>
        <xdr:cNvSpPr/>
      </xdr:nvSpPr>
      <xdr:spPr>
        <a:xfrm>
          <a:off x="17076420" y="5002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274</xdr:row>
      <xdr:rowOff>0</xdr:rowOff>
    </xdr:from>
    <xdr:to>
      <xdr:col>60</xdr:col>
      <xdr:colOff>83820</xdr:colOff>
      <xdr:row>274</xdr:row>
      <xdr:rowOff>114300</xdr:rowOff>
    </xdr:to>
    <xdr:sp macro="" textlink="">
      <xdr:nvSpPr>
        <xdr:cNvPr id="2026" name="Arrow: Down 2025">
          <a:extLst>
            <a:ext uri="{FF2B5EF4-FFF2-40B4-BE49-F238E27FC236}">
              <a16:creationId xmlns:a16="http://schemas.microsoft.com/office/drawing/2014/main" id="{A21922CD-3704-40AE-81DB-E4694BB2ACF0}"/>
            </a:ext>
          </a:extLst>
        </xdr:cNvPr>
        <xdr:cNvSpPr/>
      </xdr:nvSpPr>
      <xdr:spPr>
        <a:xfrm>
          <a:off x="17076420" y="5020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274</xdr:row>
      <xdr:rowOff>0</xdr:rowOff>
    </xdr:from>
    <xdr:to>
      <xdr:col>11</xdr:col>
      <xdr:colOff>83820</xdr:colOff>
      <xdr:row>274</xdr:row>
      <xdr:rowOff>114300</xdr:rowOff>
    </xdr:to>
    <xdr:sp macro="" textlink="">
      <xdr:nvSpPr>
        <xdr:cNvPr id="2028" name="Arrow: Down 2027">
          <a:extLst>
            <a:ext uri="{FF2B5EF4-FFF2-40B4-BE49-F238E27FC236}">
              <a16:creationId xmlns:a16="http://schemas.microsoft.com/office/drawing/2014/main" id="{9ADDA73F-E026-4CDC-9E65-1FD24BF3E90C}"/>
            </a:ext>
          </a:extLst>
        </xdr:cNvPr>
        <xdr:cNvSpPr/>
      </xdr:nvSpPr>
      <xdr:spPr>
        <a:xfrm>
          <a:off x="3695700" y="5020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274</xdr:row>
      <xdr:rowOff>0</xdr:rowOff>
    </xdr:from>
    <xdr:to>
      <xdr:col>24</xdr:col>
      <xdr:colOff>83820</xdr:colOff>
      <xdr:row>274</xdr:row>
      <xdr:rowOff>114300</xdr:rowOff>
    </xdr:to>
    <xdr:sp macro="" textlink="">
      <xdr:nvSpPr>
        <xdr:cNvPr id="2034" name="Arrow: Down 2033">
          <a:extLst>
            <a:ext uri="{FF2B5EF4-FFF2-40B4-BE49-F238E27FC236}">
              <a16:creationId xmlns:a16="http://schemas.microsoft.com/office/drawing/2014/main" id="{BC079721-172C-4C09-AA74-CBAF40B89C64}"/>
            </a:ext>
          </a:extLst>
        </xdr:cNvPr>
        <xdr:cNvSpPr/>
      </xdr:nvSpPr>
      <xdr:spPr>
        <a:xfrm>
          <a:off x="6553200" y="5020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274</xdr:row>
      <xdr:rowOff>0</xdr:rowOff>
    </xdr:from>
    <xdr:to>
      <xdr:col>39</xdr:col>
      <xdr:colOff>83820</xdr:colOff>
      <xdr:row>274</xdr:row>
      <xdr:rowOff>114300</xdr:rowOff>
    </xdr:to>
    <xdr:sp macro="" textlink="">
      <xdr:nvSpPr>
        <xdr:cNvPr id="2054" name="Arrow: Down 2053">
          <a:extLst>
            <a:ext uri="{FF2B5EF4-FFF2-40B4-BE49-F238E27FC236}">
              <a16:creationId xmlns:a16="http://schemas.microsoft.com/office/drawing/2014/main" id="{E3E0A5BE-0295-4022-9D9C-7C11CF2077C1}"/>
            </a:ext>
          </a:extLst>
        </xdr:cNvPr>
        <xdr:cNvSpPr/>
      </xdr:nvSpPr>
      <xdr:spPr>
        <a:xfrm>
          <a:off x="9715500" y="5020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274</xdr:row>
      <xdr:rowOff>0</xdr:rowOff>
    </xdr:from>
    <xdr:to>
      <xdr:col>45</xdr:col>
      <xdr:colOff>83820</xdr:colOff>
      <xdr:row>274</xdr:row>
      <xdr:rowOff>114300</xdr:rowOff>
    </xdr:to>
    <xdr:sp macro="" textlink="">
      <xdr:nvSpPr>
        <xdr:cNvPr id="2056" name="Arrow: Down 2055">
          <a:extLst>
            <a:ext uri="{FF2B5EF4-FFF2-40B4-BE49-F238E27FC236}">
              <a16:creationId xmlns:a16="http://schemas.microsoft.com/office/drawing/2014/main" id="{2C833DF4-1C2E-4EBC-904C-243D45B8B8A5}"/>
            </a:ext>
          </a:extLst>
        </xdr:cNvPr>
        <xdr:cNvSpPr/>
      </xdr:nvSpPr>
      <xdr:spPr>
        <a:xfrm>
          <a:off x="11521440" y="5020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275</xdr:row>
      <xdr:rowOff>0</xdr:rowOff>
    </xdr:from>
    <xdr:to>
      <xdr:col>71</xdr:col>
      <xdr:colOff>83820</xdr:colOff>
      <xdr:row>275</xdr:row>
      <xdr:rowOff>114300</xdr:rowOff>
    </xdr:to>
    <xdr:sp macro="" textlink="">
      <xdr:nvSpPr>
        <xdr:cNvPr id="2059" name="Arrow: Down 2058">
          <a:extLst>
            <a:ext uri="{FF2B5EF4-FFF2-40B4-BE49-F238E27FC236}">
              <a16:creationId xmlns:a16="http://schemas.microsoft.com/office/drawing/2014/main" id="{FDD0A2FC-629B-4566-9E96-4C930C34DA47}"/>
            </a:ext>
          </a:extLst>
        </xdr:cNvPr>
        <xdr:cNvSpPr/>
      </xdr:nvSpPr>
      <xdr:spPr>
        <a:xfrm rot="10800000">
          <a:off x="19507200" y="5020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275</xdr:row>
      <xdr:rowOff>0</xdr:rowOff>
    </xdr:from>
    <xdr:to>
      <xdr:col>5</xdr:col>
      <xdr:colOff>83820</xdr:colOff>
      <xdr:row>275</xdr:row>
      <xdr:rowOff>114300</xdr:rowOff>
    </xdr:to>
    <xdr:sp macro="" textlink="">
      <xdr:nvSpPr>
        <xdr:cNvPr id="2061" name="Arrow: Down 2060">
          <a:extLst>
            <a:ext uri="{FF2B5EF4-FFF2-40B4-BE49-F238E27FC236}">
              <a16:creationId xmlns:a16="http://schemas.microsoft.com/office/drawing/2014/main" id="{D3AFB07C-079C-4A10-8A1E-8D09296D2211}"/>
            </a:ext>
          </a:extLst>
        </xdr:cNvPr>
        <xdr:cNvSpPr/>
      </xdr:nvSpPr>
      <xdr:spPr>
        <a:xfrm rot="10800000">
          <a:off x="1927860" y="5020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275</xdr:row>
      <xdr:rowOff>0</xdr:rowOff>
    </xdr:from>
    <xdr:to>
      <xdr:col>24</xdr:col>
      <xdr:colOff>83820</xdr:colOff>
      <xdr:row>275</xdr:row>
      <xdr:rowOff>114300</xdr:rowOff>
    </xdr:to>
    <xdr:sp macro="" textlink="">
      <xdr:nvSpPr>
        <xdr:cNvPr id="2067" name="Arrow: Down 2066">
          <a:extLst>
            <a:ext uri="{FF2B5EF4-FFF2-40B4-BE49-F238E27FC236}">
              <a16:creationId xmlns:a16="http://schemas.microsoft.com/office/drawing/2014/main" id="{7B71B6C8-60D1-458E-8C1F-3E8E074E2012}"/>
            </a:ext>
          </a:extLst>
        </xdr:cNvPr>
        <xdr:cNvSpPr/>
      </xdr:nvSpPr>
      <xdr:spPr>
        <a:xfrm>
          <a:off x="6553200" y="5020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275</xdr:row>
      <xdr:rowOff>0</xdr:rowOff>
    </xdr:from>
    <xdr:to>
      <xdr:col>60</xdr:col>
      <xdr:colOff>83820</xdr:colOff>
      <xdr:row>275</xdr:row>
      <xdr:rowOff>114300</xdr:rowOff>
    </xdr:to>
    <xdr:sp macro="" textlink="">
      <xdr:nvSpPr>
        <xdr:cNvPr id="2082" name="Arrow: Down 2081">
          <a:extLst>
            <a:ext uri="{FF2B5EF4-FFF2-40B4-BE49-F238E27FC236}">
              <a16:creationId xmlns:a16="http://schemas.microsoft.com/office/drawing/2014/main" id="{5D0C96C4-409F-419F-BB28-6B9279A743C5}"/>
            </a:ext>
          </a:extLst>
        </xdr:cNvPr>
        <xdr:cNvSpPr/>
      </xdr:nvSpPr>
      <xdr:spPr>
        <a:xfrm rot="10800000">
          <a:off x="17076420" y="5039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275</xdr:row>
      <xdr:rowOff>0</xdr:rowOff>
    </xdr:from>
    <xdr:to>
      <xdr:col>11</xdr:col>
      <xdr:colOff>83820</xdr:colOff>
      <xdr:row>275</xdr:row>
      <xdr:rowOff>114300</xdr:rowOff>
    </xdr:to>
    <xdr:sp macro="" textlink="">
      <xdr:nvSpPr>
        <xdr:cNvPr id="2086" name="Arrow: Down 2085">
          <a:extLst>
            <a:ext uri="{FF2B5EF4-FFF2-40B4-BE49-F238E27FC236}">
              <a16:creationId xmlns:a16="http://schemas.microsoft.com/office/drawing/2014/main" id="{8E80EBE3-4A9F-47FE-AF0F-D1C88A194CB7}"/>
            </a:ext>
          </a:extLst>
        </xdr:cNvPr>
        <xdr:cNvSpPr/>
      </xdr:nvSpPr>
      <xdr:spPr>
        <a:xfrm rot="10800000">
          <a:off x="3695700" y="5039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275</xdr:row>
      <xdr:rowOff>0</xdr:rowOff>
    </xdr:from>
    <xdr:to>
      <xdr:col>45</xdr:col>
      <xdr:colOff>83820</xdr:colOff>
      <xdr:row>275</xdr:row>
      <xdr:rowOff>114300</xdr:rowOff>
    </xdr:to>
    <xdr:sp macro="" textlink="">
      <xdr:nvSpPr>
        <xdr:cNvPr id="2090" name="Arrow: Down 2089">
          <a:extLst>
            <a:ext uri="{FF2B5EF4-FFF2-40B4-BE49-F238E27FC236}">
              <a16:creationId xmlns:a16="http://schemas.microsoft.com/office/drawing/2014/main" id="{3C0B4974-5B20-41C6-9C28-82D15302EED7}"/>
            </a:ext>
          </a:extLst>
        </xdr:cNvPr>
        <xdr:cNvSpPr/>
      </xdr:nvSpPr>
      <xdr:spPr>
        <a:xfrm rot="10800000">
          <a:off x="11521440" y="5039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275</xdr:row>
      <xdr:rowOff>0</xdr:rowOff>
    </xdr:from>
    <xdr:to>
      <xdr:col>39</xdr:col>
      <xdr:colOff>83820</xdr:colOff>
      <xdr:row>275</xdr:row>
      <xdr:rowOff>114300</xdr:rowOff>
    </xdr:to>
    <xdr:sp macro="" textlink="">
      <xdr:nvSpPr>
        <xdr:cNvPr id="2091" name="Arrow: Down 2090">
          <a:extLst>
            <a:ext uri="{FF2B5EF4-FFF2-40B4-BE49-F238E27FC236}">
              <a16:creationId xmlns:a16="http://schemas.microsoft.com/office/drawing/2014/main" id="{9E9BE1F0-53AB-4D3E-BD34-40508D47B298}"/>
            </a:ext>
          </a:extLst>
        </xdr:cNvPr>
        <xdr:cNvSpPr/>
      </xdr:nvSpPr>
      <xdr:spPr>
        <a:xfrm rot="10800000">
          <a:off x="9715500" y="5039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276</xdr:row>
      <xdr:rowOff>0</xdr:rowOff>
    </xdr:from>
    <xdr:to>
      <xdr:col>71</xdr:col>
      <xdr:colOff>83820</xdr:colOff>
      <xdr:row>276</xdr:row>
      <xdr:rowOff>114300</xdr:rowOff>
    </xdr:to>
    <xdr:sp macro="" textlink="">
      <xdr:nvSpPr>
        <xdr:cNvPr id="2092" name="Arrow: Down 2091">
          <a:extLst>
            <a:ext uri="{FF2B5EF4-FFF2-40B4-BE49-F238E27FC236}">
              <a16:creationId xmlns:a16="http://schemas.microsoft.com/office/drawing/2014/main" id="{3033C595-A0CB-4BC6-BE87-0B7D37814F3A}"/>
            </a:ext>
          </a:extLst>
        </xdr:cNvPr>
        <xdr:cNvSpPr/>
      </xdr:nvSpPr>
      <xdr:spPr>
        <a:xfrm rot="10800000">
          <a:off x="19507200" y="5039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276</xdr:row>
      <xdr:rowOff>0</xdr:rowOff>
    </xdr:from>
    <xdr:to>
      <xdr:col>24</xdr:col>
      <xdr:colOff>83820</xdr:colOff>
      <xdr:row>276</xdr:row>
      <xdr:rowOff>114300</xdr:rowOff>
    </xdr:to>
    <xdr:sp macro="" textlink="">
      <xdr:nvSpPr>
        <xdr:cNvPr id="2094" name="Arrow: Down 2093">
          <a:extLst>
            <a:ext uri="{FF2B5EF4-FFF2-40B4-BE49-F238E27FC236}">
              <a16:creationId xmlns:a16="http://schemas.microsoft.com/office/drawing/2014/main" id="{240DC794-F2B7-42A5-942D-F43570231AC9}"/>
            </a:ext>
          </a:extLst>
        </xdr:cNvPr>
        <xdr:cNvSpPr/>
      </xdr:nvSpPr>
      <xdr:spPr>
        <a:xfrm>
          <a:off x="6553200" y="5039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276</xdr:row>
      <xdr:rowOff>0</xdr:rowOff>
    </xdr:from>
    <xdr:to>
      <xdr:col>45</xdr:col>
      <xdr:colOff>83820</xdr:colOff>
      <xdr:row>276</xdr:row>
      <xdr:rowOff>114300</xdr:rowOff>
    </xdr:to>
    <xdr:sp macro="" textlink="">
      <xdr:nvSpPr>
        <xdr:cNvPr id="2097" name="Arrow: Down 2096">
          <a:extLst>
            <a:ext uri="{FF2B5EF4-FFF2-40B4-BE49-F238E27FC236}">
              <a16:creationId xmlns:a16="http://schemas.microsoft.com/office/drawing/2014/main" id="{8B56F44A-5A14-49A1-8D6E-07C6D1BF0107}"/>
            </a:ext>
          </a:extLst>
        </xdr:cNvPr>
        <xdr:cNvSpPr/>
      </xdr:nvSpPr>
      <xdr:spPr>
        <a:xfrm rot="10800000">
          <a:off x="11521440" y="5039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276</xdr:row>
      <xdr:rowOff>0</xdr:rowOff>
    </xdr:from>
    <xdr:to>
      <xdr:col>60</xdr:col>
      <xdr:colOff>83820</xdr:colOff>
      <xdr:row>276</xdr:row>
      <xdr:rowOff>114300</xdr:rowOff>
    </xdr:to>
    <xdr:sp macro="" textlink="">
      <xdr:nvSpPr>
        <xdr:cNvPr id="2100" name="Arrow: Down 2099">
          <a:extLst>
            <a:ext uri="{FF2B5EF4-FFF2-40B4-BE49-F238E27FC236}">
              <a16:creationId xmlns:a16="http://schemas.microsoft.com/office/drawing/2014/main" id="{6E791A8A-B80C-44CA-940A-BE4132613ACA}"/>
            </a:ext>
          </a:extLst>
        </xdr:cNvPr>
        <xdr:cNvSpPr/>
      </xdr:nvSpPr>
      <xdr:spPr>
        <a:xfrm>
          <a:off x="1707642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276</xdr:row>
      <xdr:rowOff>0</xdr:rowOff>
    </xdr:from>
    <xdr:to>
      <xdr:col>11</xdr:col>
      <xdr:colOff>83820</xdr:colOff>
      <xdr:row>276</xdr:row>
      <xdr:rowOff>114300</xdr:rowOff>
    </xdr:to>
    <xdr:sp macro="" textlink="">
      <xdr:nvSpPr>
        <xdr:cNvPr id="2102" name="Arrow: Down 2101">
          <a:extLst>
            <a:ext uri="{FF2B5EF4-FFF2-40B4-BE49-F238E27FC236}">
              <a16:creationId xmlns:a16="http://schemas.microsoft.com/office/drawing/2014/main" id="{3EFC8675-8A59-4925-9657-BE218BB1C41D}"/>
            </a:ext>
          </a:extLst>
        </xdr:cNvPr>
        <xdr:cNvSpPr/>
      </xdr:nvSpPr>
      <xdr:spPr>
        <a:xfrm>
          <a:off x="369570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276</xdr:row>
      <xdr:rowOff>0</xdr:rowOff>
    </xdr:from>
    <xdr:to>
      <xdr:col>5</xdr:col>
      <xdr:colOff>83820</xdr:colOff>
      <xdr:row>276</xdr:row>
      <xdr:rowOff>114300</xdr:rowOff>
    </xdr:to>
    <xdr:sp macro="" textlink="">
      <xdr:nvSpPr>
        <xdr:cNvPr id="2103" name="Arrow: Down 2102">
          <a:extLst>
            <a:ext uri="{FF2B5EF4-FFF2-40B4-BE49-F238E27FC236}">
              <a16:creationId xmlns:a16="http://schemas.microsoft.com/office/drawing/2014/main" id="{4889138C-0818-492D-91E7-00F6B84D3F46}"/>
            </a:ext>
          </a:extLst>
        </xdr:cNvPr>
        <xdr:cNvSpPr/>
      </xdr:nvSpPr>
      <xdr:spPr>
        <a:xfrm>
          <a:off x="192786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276</xdr:row>
      <xdr:rowOff>0</xdr:rowOff>
    </xdr:from>
    <xdr:to>
      <xdr:col>39</xdr:col>
      <xdr:colOff>83820</xdr:colOff>
      <xdr:row>276</xdr:row>
      <xdr:rowOff>114300</xdr:rowOff>
    </xdr:to>
    <xdr:sp macro="" textlink="">
      <xdr:nvSpPr>
        <xdr:cNvPr id="2104" name="Arrow: Down 2103">
          <a:extLst>
            <a:ext uri="{FF2B5EF4-FFF2-40B4-BE49-F238E27FC236}">
              <a16:creationId xmlns:a16="http://schemas.microsoft.com/office/drawing/2014/main" id="{3EA19CB6-D708-4D3B-8FE7-159883F02B4D}"/>
            </a:ext>
          </a:extLst>
        </xdr:cNvPr>
        <xdr:cNvSpPr/>
      </xdr:nvSpPr>
      <xdr:spPr>
        <a:xfrm>
          <a:off x="9715500" y="50573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277</xdr:row>
      <xdr:rowOff>0</xdr:rowOff>
    </xdr:from>
    <xdr:to>
      <xdr:col>71</xdr:col>
      <xdr:colOff>83820</xdr:colOff>
      <xdr:row>277</xdr:row>
      <xdr:rowOff>114300</xdr:rowOff>
    </xdr:to>
    <xdr:sp macro="" textlink="">
      <xdr:nvSpPr>
        <xdr:cNvPr id="2105" name="Arrow: Down 2104">
          <a:extLst>
            <a:ext uri="{FF2B5EF4-FFF2-40B4-BE49-F238E27FC236}">
              <a16:creationId xmlns:a16="http://schemas.microsoft.com/office/drawing/2014/main" id="{63574F84-038D-40C2-8B9C-7AF0A51CA427}"/>
            </a:ext>
          </a:extLst>
        </xdr:cNvPr>
        <xdr:cNvSpPr/>
      </xdr:nvSpPr>
      <xdr:spPr>
        <a:xfrm rot="10800000">
          <a:off x="19507200" y="50573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277</xdr:row>
      <xdr:rowOff>0</xdr:rowOff>
    </xdr:from>
    <xdr:to>
      <xdr:col>24</xdr:col>
      <xdr:colOff>83820</xdr:colOff>
      <xdr:row>277</xdr:row>
      <xdr:rowOff>114300</xdr:rowOff>
    </xdr:to>
    <xdr:sp macro="" textlink="">
      <xdr:nvSpPr>
        <xdr:cNvPr id="2106" name="Arrow: Down 2105">
          <a:extLst>
            <a:ext uri="{FF2B5EF4-FFF2-40B4-BE49-F238E27FC236}">
              <a16:creationId xmlns:a16="http://schemas.microsoft.com/office/drawing/2014/main" id="{18B54BB2-0E6C-493A-9FCB-A554134E64A0}"/>
            </a:ext>
          </a:extLst>
        </xdr:cNvPr>
        <xdr:cNvSpPr/>
      </xdr:nvSpPr>
      <xdr:spPr>
        <a:xfrm>
          <a:off x="655320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83820</xdr:colOff>
      <xdr:row>277</xdr:row>
      <xdr:rowOff>114300</xdr:rowOff>
    </xdr:to>
    <xdr:sp macro="" textlink="">
      <xdr:nvSpPr>
        <xdr:cNvPr id="2109" name="Arrow: Down 2108">
          <a:extLst>
            <a:ext uri="{FF2B5EF4-FFF2-40B4-BE49-F238E27FC236}">
              <a16:creationId xmlns:a16="http://schemas.microsoft.com/office/drawing/2014/main" id="{9A8CEB58-03B5-4274-8D66-89FD7DD2088D}"/>
            </a:ext>
          </a:extLst>
        </xdr:cNvPr>
        <xdr:cNvSpPr/>
      </xdr:nvSpPr>
      <xdr:spPr>
        <a:xfrm>
          <a:off x="369570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277</xdr:row>
      <xdr:rowOff>0</xdr:rowOff>
    </xdr:from>
    <xdr:to>
      <xdr:col>5</xdr:col>
      <xdr:colOff>83820</xdr:colOff>
      <xdr:row>277</xdr:row>
      <xdr:rowOff>114300</xdr:rowOff>
    </xdr:to>
    <xdr:sp macro="" textlink="">
      <xdr:nvSpPr>
        <xdr:cNvPr id="2110" name="Arrow: Down 2109">
          <a:extLst>
            <a:ext uri="{FF2B5EF4-FFF2-40B4-BE49-F238E27FC236}">
              <a16:creationId xmlns:a16="http://schemas.microsoft.com/office/drawing/2014/main" id="{DAEB29FC-C1DD-4F2A-AEF4-6400325E232B}"/>
            </a:ext>
          </a:extLst>
        </xdr:cNvPr>
        <xdr:cNvSpPr/>
      </xdr:nvSpPr>
      <xdr:spPr>
        <a:xfrm>
          <a:off x="1927860" y="5057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277</xdr:row>
      <xdr:rowOff>0</xdr:rowOff>
    </xdr:from>
    <xdr:to>
      <xdr:col>39</xdr:col>
      <xdr:colOff>83820</xdr:colOff>
      <xdr:row>277</xdr:row>
      <xdr:rowOff>114300</xdr:rowOff>
    </xdr:to>
    <xdr:sp macro="" textlink="">
      <xdr:nvSpPr>
        <xdr:cNvPr id="2111" name="Arrow: Down 2110">
          <a:extLst>
            <a:ext uri="{FF2B5EF4-FFF2-40B4-BE49-F238E27FC236}">
              <a16:creationId xmlns:a16="http://schemas.microsoft.com/office/drawing/2014/main" id="{D6161650-DA57-49E6-82DC-D2ED158E3041}"/>
            </a:ext>
          </a:extLst>
        </xdr:cNvPr>
        <xdr:cNvSpPr/>
      </xdr:nvSpPr>
      <xdr:spPr>
        <a:xfrm>
          <a:off x="9715500" y="50573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277</xdr:row>
      <xdr:rowOff>0</xdr:rowOff>
    </xdr:from>
    <xdr:to>
      <xdr:col>60</xdr:col>
      <xdr:colOff>83820</xdr:colOff>
      <xdr:row>277</xdr:row>
      <xdr:rowOff>114300</xdr:rowOff>
    </xdr:to>
    <xdr:sp macro="" textlink="">
      <xdr:nvSpPr>
        <xdr:cNvPr id="2113" name="Arrow: Down 2112">
          <a:extLst>
            <a:ext uri="{FF2B5EF4-FFF2-40B4-BE49-F238E27FC236}">
              <a16:creationId xmlns:a16="http://schemas.microsoft.com/office/drawing/2014/main" id="{BA3BD789-BDEE-4F66-9474-7938D6453724}"/>
            </a:ext>
          </a:extLst>
        </xdr:cNvPr>
        <xdr:cNvSpPr/>
      </xdr:nvSpPr>
      <xdr:spPr>
        <a:xfrm rot="10800000">
          <a:off x="17076420" y="5075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277</xdr:row>
      <xdr:rowOff>0</xdr:rowOff>
    </xdr:from>
    <xdr:to>
      <xdr:col>45</xdr:col>
      <xdr:colOff>83820</xdr:colOff>
      <xdr:row>277</xdr:row>
      <xdr:rowOff>114300</xdr:rowOff>
    </xdr:to>
    <xdr:sp macro="" textlink="">
      <xdr:nvSpPr>
        <xdr:cNvPr id="2114" name="Arrow: Down 2113">
          <a:extLst>
            <a:ext uri="{FF2B5EF4-FFF2-40B4-BE49-F238E27FC236}">
              <a16:creationId xmlns:a16="http://schemas.microsoft.com/office/drawing/2014/main" id="{B4FB78DD-503D-47EE-878A-09D1DF2E4741}"/>
            </a:ext>
          </a:extLst>
        </xdr:cNvPr>
        <xdr:cNvSpPr/>
      </xdr:nvSpPr>
      <xdr:spPr>
        <a:xfrm>
          <a:off x="11521440" y="5075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278</xdr:row>
      <xdr:rowOff>0</xdr:rowOff>
    </xdr:from>
    <xdr:to>
      <xdr:col>71</xdr:col>
      <xdr:colOff>83820</xdr:colOff>
      <xdr:row>278</xdr:row>
      <xdr:rowOff>114300</xdr:rowOff>
    </xdr:to>
    <xdr:sp macro="" textlink="">
      <xdr:nvSpPr>
        <xdr:cNvPr id="2115" name="Arrow: Down 2114">
          <a:extLst>
            <a:ext uri="{FF2B5EF4-FFF2-40B4-BE49-F238E27FC236}">
              <a16:creationId xmlns:a16="http://schemas.microsoft.com/office/drawing/2014/main" id="{8F1E19B8-5FD7-4AB3-8035-A4D1D01D2FBA}"/>
            </a:ext>
          </a:extLst>
        </xdr:cNvPr>
        <xdr:cNvSpPr/>
      </xdr:nvSpPr>
      <xdr:spPr>
        <a:xfrm rot="10800000">
          <a:off x="19507200" y="5075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278</xdr:row>
      <xdr:rowOff>0</xdr:rowOff>
    </xdr:from>
    <xdr:to>
      <xdr:col>5</xdr:col>
      <xdr:colOff>83820</xdr:colOff>
      <xdr:row>278</xdr:row>
      <xdr:rowOff>114300</xdr:rowOff>
    </xdr:to>
    <xdr:sp macro="" textlink="">
      <xdr:nvSpPr>
        <xdr:cNvPr id="2122" name="Arrow: Down 2121">
          <a:extLst>
            <a:ext uri="{FF2B5EF4-FFF2-40B4-BE49-F238E27FC236}">
              <a16:creationId xmlns:a16="http://schemas.microsoft.com/office/drawing/2014/main" id="{AB66A51F-ED82-4FAE-BEEB-548FF23098F8}"/>
            </a:ext>
          </a:extLst>
        </xdr:cNvPr>
        <xdr:cNvSpPr/>
      </xdr:nvSpPr>
      <xdr:spPr>
        <a:xfrm rot="10800000">
          <a:off x="192786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278</xdr:row>
      <xdr:rowOff>0</xdr:rowOff>
    </xdr:from>
    <xdr:to>
      <xdr:col>11</xdr:col>
      <xdr:colOff>83820</xdr:colOff>
      <xdr:row>278</xdr:row>
      <xdr:rowOff>114300</xdr:rowOff>
    </xdr:to>
    <xdr:sp macro="" textlink="">
      <xdr:nvSpPr>
        <xdr:cNvPr id="2123" name="Arrow: Down 2122">
          <a:extLst>
            <a:ext uri="{FF2B5EF4-FFF2-40B4-BE49-F238E27FC236}">
              <a16:creationId xmlns:a16="http://schemas.microsoft.com/office/drawing/2014/main" id="{2DEAFD21-8C96-42FE-9242-434D28F51131}"/>
            </a:ext>
          </a:extLst>
        </xdr:cNvPr>
        <xdr:cNvSpPr/>
      </xdr:nvSpPr>
      <xdr:spPr>
        <a:xfrm rot="10800000">
          <a:off x="369570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278</xdr:row>
      <xdr:rowOff>0</xdr:rowOff>
    </xdr:from>
    <xdr:to>
      <xdr:col>24</xdr:col>
      <xdr:colOff>83820</xdr:colOff>
      <xdr:row>278</xdr:row>
      <xdr:rowOff>114300</xdr:rowOff>
    </xdr:to>
    <xdr:sp macro="" textlink="">
      <xdr:nvSpPr>
        <xdr:cNvPr id="2124" name="Arrow: Down 2123">
          <a:extLst>
            <a:ext uri="{FF2B5EF4-FFF2-40B4-BE49-F238E27FC236}">
              <a16:creationId xmlns:a16="http://schemas.microsoft.com/office/drawing/2014/main" id="{7A58309D-A764-4774-8C87-CEBF495FACB7}"/>
            </a:ext>
          </a:extLst>
        </xdr:cNvPr>
        <xdr:cNvSpPr/>
      </xdr:nvSpPr>
      <xdr:spPr>
        <a:xfrm rot="10800000">
          <a:off x="655320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278</xdr:row>
      <xdr:rowOff>0</xdr:rowOff>
    </xdr:from>
    <xdr:to>
      <xdr:col>39</xdr:col>
      <xdr:colOff>83820</xdr:colOff>
      <xdr:row>278</xdr:row>
      <xdr:rowOff>114300</xdr:rowOff>
    </xdr:to>
    <xdr:sp macro="" textlink="">
      <xdr:nvSpPr>
        <xdr:cNvPr id="2125" name="Arrow: Down 2124">
          <a:extLst>
            <a:ext uri="{FF2B5EF4-FFF2-40B4-BE49-F238E27FC236}">
              <a16:creationId xmlns:a16="http://schemas.microsoft.com/office/drawing/2014/main" id="{13C5584D-758A-4016-A304-137C249301E2}"/>
            </a:ext>
          </a:extLst>
        </xdr:cNvPr>
        <xdr:cNvSpPr/>
      </xdr:nvSpPr>
      <xdr:spPr>
        <a:xfrm rot="10800000">
          <a:off x="9715500" y="5093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278</xdr:row>
      <xdr:rowOff>0</xdr:rowOff>
    </xdr:from>
    <xdr:to>
      <xdr:col>45</xdr:col>
      <xdr:colOff>83820</xdr:colOff>
      <xdr:row>278</xdr:row>
      <xdr:rowOff>114300</xdr:rowOff>
    </xdr:to>
    <xdr:sp macro="" textlink="">
      <xdr:nvSpPr>
        <xdr:cNvPr id="2126" name="Arrow: Down 2125">
          <a:extLst>
            <a:ext uri="{FF2B5EF4-FFF2-40B4-BE49-F238E27FC236}">
              <a16:creationId xmlns:a16="http://schemas.microsoft.com/office/drawing/2014/main" id="{DFD90931-C192-4F05-82D1-675A24D83776}"/>
            </a:ext>
          </a:extLst>
        </xdr:cNvPr>
        <xdr:cNvSpPr/>
      </xdr:nvSpPr>
      <xdr:spPr>
        <a:xfrm rot="10800000">
          <a:off x="11521440" y="5093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279</xdr:row>
      <xdr:rowOff>0</xdr:rowOff>
    </xdr:from>
    <xdr:to>
      <xdr:col>71</xdr:col>
      <xdr:colOff>83820</xdr:colOff>
      <xdr:row>279</xdr:row>
      <xdr:rowOff>114300</xdr:rowOff>
    </xdr:to>
    <xdr:sp macro="" textlink="">
      <xdr:nvSpPr>
        <xdr:cNvPr id="2127" name="Arrow: Down 2126">
          <a:extLst>
            <a:ext uri="{FF2B5EF4-FFF2-40B4-BE49-F238E27FC236}">
              <a16:creationId xmlns:a16="http://schemas.microsoft.com/office/drawing/2014/main" id="{82081810-2C55-4131-AC0B-40D104898520}"/>
            </a:ext>
          </a:extLst>
        </xdr:cNvPr>
        <xdr:cNvSpPr/>
      </xdr:nvSpPr>
      <xdr:spPr>
        <a:xfrm rot="10800000">
          <a:off x="1950720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279</xdr:row>
      <xdr:rowOff>0</xdr:rowOff>
    </xdr:from>
    <xdr:to>
      <xdr:col>5</xdr:col>
      <xdr:colOff>83820</xdr:colOff>
      <xdr:row>279</xdr:row>
      <xdr:rowOff>114300</xdr:rowOff>
    </xdr:to>
    <xdr:sp macro="" textlink="">
      <xdr:nvSpPr>
        <xdr:cNvPr id="2128" name="Arrow: Down 2127">
          <a:extLst>
            <a:ext uri="{FF2B5EF4-FFF2-40B4-BE49-F238E27FC236}">
              <a16:creationId xmlns:a16="http://schemas.microsoft.com/office/drawing/2014/main" id="{B91CE9D7-5C25-4D28-B9CB-D7E74881CEB4}"/>
            </a:ext>
          </a:extLst>
        </xdr:cNvPr>
        <xdr:cNvSpPr/>
      </xdr:nvSpPr>
      <xdr:spPr>
        <a:xfrm rot="10800000">
          <a:off x="192786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279</xdr:row>
      <xdr:rowOff>0</xdr:rowOff>
    </xdr:from>
    <xdr:to>
      <xdr:col>24</xdr:col>
      <xdr:colOff>83820</xdr:colOff>
      <xdr:row>279</xdr:row>
      <xdr:rowOff>114300</xdr:rowOff>
    </xdr:to>
    <xdr:sp macro="" textlink="">
      <xdr:nvSpPr>
        <xdr:cNvPr id="2130" name="Arrow: Down 2129">
          <a:extLst>
            <a:ext uri="{FF2B5EF4-FFF2-40B4-BE49-F238E27FC236}">
              <a16:creationId xmlns:a16="http://schemas.microsoft.com/office/drawing/2014/main" id="{94E6D06C-6C8B-4E8D-89E3-60E9C67E1B31}"/>
            </a:ext>
          </a:extLst>
        </xdr:cNvPr>
        <xdr:cNvSpPr/>
      </xdr:nvSpPr>
      <xdr:spPr>
        <a:xfrm rot="10800000">
          <a:off x="6553200" y="5093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279</xdr:row>
      <xdr:rowOff>0</xdr:rowOff>
    </xdr:from>
    <xdr:to>
      <xdr:col>45</xdr:col>
      <xdr:colOff>83820</xdr:colOff>
      <xdr:row>279</xdr:row>
      <xdr:rowOff>114300</xdr:rowOff>
    </xdr:to>
    <xdr:sp macro="" textlink="">
      <xdr:nvSpPr>
        <xdr:cNvPr id="2132" name="Arrow: Down 2131">
          <a:extLst>
            <a:ext uri="{FF2B5EF4-FFF2-40B4-BE49-F238E27FC236}">
              <a16:creationId xmlns:a16="http://schemas.microsoft.com/office/drawing/2014/main" id="{EA32ECBE-EE58-462B-8B0A-5D512DA41F32}"/>
            </a:ext>
          </a:extLst>
        </xdr:cNvPr>
        <xdr:cNvSpPr/>
      </xdr:nvSpPr>
      <xdr:spPr>
        <a:xfrm rot="10800000">
          <a:off x="11521440" y="5093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278</xdr:row>
      <xdr:rowOff>0</xdr:rowOff>
    </xdr:from>
    <xdr:to>
      <xdr:col>60</xdr:col>
      <xdr:colOff>83820</xdr:colOff>
      <xdr:row>278</xdr:row>
      <xdr:rowOff>114300</xdr:rowOff>
    </xdr:to>
    <xdr:sp macro="" textlink="">
      <xdr:nvSpPr>
        <xdr:cNvPr id="2133" name="Arrow: Down 2132">
          <a:extLst>
            <a:ext uri="{FF2B5EF4-FFF2-40B4-BE49-F238E27FC236}">
              <a16:creationId xmlns:a16="http://schemas.microsoft.com/office/drawing/2014/main" id="{803FD0BF-4AF5-4CBE-8CD8-FF64F63264A5}"/>
            </a:ext>
          </a:extLst>
        </xdr:cNvPr>
        <xdr:cNvSpPr/>
      </xdr:nvSpPr>
      <xdr:spPr>
        <a:xfrm>
          <a:off x="17129760" y="5093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279</xdr:row>
      <xdr:rowOff>0</xdr:rowOff>
    </xdr:from>
    <xdr:to>
      <xdr:col>11</xdr:col>
      <xdr:colOff>83820</xdr:colOff>
      <xdr:row>279</xdr:row>
      <xdr:rowOff>114300</xdr:rowOff>
    </xdr:to>
    <xdr:sp macro="" textlink="">
      <xdr:nvSpPr>
        <xdr:cNvPr id="2136" name="Arrow: Down 2135">
          <a:extLst>
            <a:ext uri="{FF2B5EF4-FFF2-40B4-BE49-F238E27FC236}">
              <a16:creationId xmlns:a16="http://schemas.microsoft.com/office/drawing/2014/main" id="{BFC85D01-DD2A-4812-A57A-D1B2589332FD}"/>
            </a:ext>
          </a:extLst>
        </xdr:cNvPr>
        <xdr:cNvSpPr/>
      </xdr:nvSpPr>
      <xdr:spPr>
        <a:xfrm>
          <a:off x="3695700" y="5112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279</xdr:row>
      <xdr:rowOff>0</xdr:rowOff>
    </xdr:from>
    <xdr:to>
      <xdr:col>39</xdr:col>
      <xdr:colOff>83820</xdr:colOff>
      <xdr:row>279</xdr:row>
      <xdr:rowOff>114300</xdr:rowOff>
    </xdr:to>
    <xdr:sp macro="" textlink="">
      <xdr:nvSpPr>
        <xdr:cNvPr id="2137" name="Arrow: Down 2136">
          <a:extLst>
            <a:ext uri="{FF2B5EF4-FFF2-40B4-BE49-F238E27FC236}">
              <a16:creationId xmlns:a16="http://schemas.microsoft.com/office/drawing/2014/main" id="{578D2AB3-E682-478E-A7C8-7C8A0CA31BD2}"/>
            </a:ext>
          </a:extLst>
        </xdr:cNvPr>
        <xdr:cNvSpPr/>
      </xdr:nvSpPr>
      <xdr:spPr>
        <a:xfrm>
          <a:off x="971550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279</xdr:row>
      <xdr:rowOff>0</xdr:rowOff>
    </xdr:from>
    <xdr:to>
      <xdr:col>60</xdr:col>
      <xdr:colOff>83820</xdr:colOff>
      <xdr:row>279</xdr:row>
      <xdr:rowOff>114300</xdr:rowOff>
    </xdr:to>
    <xdr:sp macro="" textlink="">
      <xdr:nvSpPr>
        <xdr:cNvPr id="2139" name="Arrow: Down 2138">
          <a:extLst>
            <a:ext uri="{FF2B5EF4-FFF2-40B4-BE49-F238E27FC236}">
              <a16:creationId xmlns:a16="http://schemas.microsoft.com/office/drawing/2014/main" id="{D55AF668-F5FD-473A-9FE1-F9DE40115465}"/>
            </a:ext>
          </a:extLst>
        </xdr:cNvPr>
        <xdr:cNvSpPr/>
      </xdr:nvSpPr>
      <xdr:spPr>
        <a:xfrm rot="10800000">
          <a:off x="1712976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280</xdr:row>
      <xdr:rowOff>0</xdr:rowOff>
    </xdr:from>
    <xdr:to>
      <xdr:col>71</xdr:col>
      <xdr:colOff>83820</xdr:colOff>
      <xdr:row>280</xdr:row>
      <xdr:rowOff>114300</xdr:rowOff>
    </xdr:to>
    <xdr:sp macro="" textlink="">
      <xdr:nvSpPr>
        <xdr:cNvPr id="1995" name="Arrow: Down 1994">
          <a:extLst>
            <a:ext uri="{FF2B5EF4-FFF2-40B4-BE49-F238E27FC236}">
              <a16:creationId xmlns:a16="http://schemas.microsoft.com/office/drawing/2014/main" id="{0672F9DE-B2C7-4836-802D-8ADE6AD91AAB}"/>
            </a:ext>
          </a:extLst>
        </xdr:cNvPr>
        <xdr:cNvSpPr/>
      </xdr:nvSpPr>
      <xdr:spPr>
        <a:xfrm rot="10800000">
          <a:off x="1956054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280</xdr:row>
      <xdr:rowOff>0</xdr:rowOff>
    </xdr:from>
    <xdr:to>
      <xdr:col>5</xdr:col>
      <xdr:colOff>83820</xdr:colOff>
      <xdr:row>280</xdr:row>
      <xdr:rowOff>114300</xdr:rowOff>
    </xdr:to>
    <xdr:sp macro="" textlink="">
      <xdr:nvSpPr>
        <xdr:cNvPr id="1996" name="Arrow: Down 1995">
          <a:extLst>
            <a:ext uri="{FF2B5EF4-FFF2-40B4-BE49-F238E27FC236}">
              <a16:creationId xmlns:a16="http://schemas.microsoft.com/office/drawing/2014/main" id="{CA5D0FC8-F31C-4C4C-965F-117F1EB99BDF}"/>
            </a:ext>
          </a:extLst>
        </xdr:cNvPr>
        <xdr:cNvSpPr/>
      </xdr:nvSpPr>
      <xdr:spPr>
        <a:xfrm rot="10800000">
          <a:off x="192786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280</xdr:row>
      <xdr:rowOff>0</xdr:rowOff>
    </xdr:from>
    <xdr:to>
      <xdr:col>24</xdr:col>
      <xdr:colOff>83820</xdr:colOff>
      <xdr:row>280</xdr:row>
      <xdr:rowOff>114300</xdr:rowOff>
    </xdr:to>
    <xdr:sp macro="" textlink="">
      <xdr:nvSpPr>
        <xdr:cNvPr id="2000" name="Arrow: Down 1999">
          <a:extLst>
            <a:ext uri="{FF2B5EF4-FFF2-40B4-BE49-F238E27FC236}">
              <a16:creationId xmlns:a16="http://schemas.microsoft.com/office/drawing/2014/main" id="{C1D4782F-000D-4ADB-B3BE-3F4DBE9F650D}"/>
            </a:ext>
          </a:extLst>
        </xdr:cNvPr>
        <xdr:cNvSpPr/>
      </xdr:nvSpPr>
      <xdr:spPr>
        <a:xfrm rot="10800000">
          <a:off x="655320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280</xdr:row>
      <xdr:rowOff>0</xdr:rowOff>
    </xdr:from>
    <xdr:to>
      <xdr:col>45</xdr:col>
      <xdr:colOff>83820</xdr:colOff>
      <xdr:row>280</xdr:row>
      <xdr:rowOff>114300</xdr:rowOff>
    </xdr:to>
    <xdr:sp macro="" textlink="">
      <xdr:nvSpPr>
        <xdr:cNvPr id="2007" name="Arrow: Down 2006">
          <a:extLst>
            <a:ext uri="{FF2B5EF4-FFF2-40B4-BE49-F238E27FC236}">
              <a16:creationId xmlns:a16="http://schemas.microsoft.com/office/drawing/2014/main" id="{F9E9EC3D-70D0-4C43-B929-DAD645254929}"/>
            </a:ext>
          </a:extLst>
        </xdr:cNvPr>
        <xdr:cNvSpPr/>
      </xdr:nvSpPr>
      <xdr:spPr>
        <a:xfrm rot="10800000">
          <a:off x="11574780" y="5112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280</xdr:row>
      <xdr:rowOff>0</xdr:rowOff>
    </xdr:from>
    <xdr:to>
      <xdr:col>60</xdr:col>
      <xdr:colOff>83820</xdr:colOff>
      <xdr:row>280</xdr:row>
      <xdr:rowOff>114300</xdr:rowOff>
    </xdr:to>
    <xdr:sp macro="" textlink="">
      <xdr:nvSpPr>
        <xdr:cNvPr id="2023" name="Arrow: Down 2022">
          <a:extLst>
            <a:ext uri="{FF2B5EF4-FFF2-40B4-BE49-F238E27FC236}">
              <a16:creationId xmlns:a16="http://schemas.microsoft.com/office/drawing/2014/main" id="{1DDDC586-A7A2-4178-868D-B5AF1080586F}"/>
            </a:ext>
          </a:extLst>
        </xdr:cNvPr>
        <xdr:cNvSpPr/>
      </xdr:nvSpPr>
      <xdr:spPr>
        <a:xfrm rot="10800000">
          <a:off x="17129760" y="5112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280</xdr:row>
      <xdr:rowOff>0</xdr:rowOff>
    </xdr:from>
    <xdr:to>
      <xdr:col>39</xdr:col>
      <xdr:colOff>83820</xdr:colOff>
      <xdr:row>280</xdr:row>
      <xdr:rowOff>114300</xdr:rowOff>
    </xdr:to>
    <xdr:sp macro="" textlink="">
      <xdr:nvSpPr>
        <xdr:cNvPr id="2025" name="Arrow: Down 2024">
          <a:extLst>
            <a:ext uri="{FF2B5EF4-FFF2-40B4-BE49-F238E27FC236}">
              <a16:creationId xmlns:a16="http://schemas.microsoft.com/office/drawing/2014/main" id="{0AFA28CE-44D5-4A0E-BCE8-0C60717B927B}"/>
            </a:ext>
          </a:extLst>
        </xdr:cNvPr>
        <xdr:cNvSpPr/>
      </xdr:nvSpPr>
      <xdr:spPr>
        <a:xfrm rot="10800000">
          <a:off x="9715500" y="5130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280</xdr:row>
      <xdr:rowOff>0</xdr:rowOff>
    </xdr:from>
    <xdr:to>
      <xdr:col>11</xdr:col>
      <xdr:colOff>83820</xdr:colOff>
      <xdr:row>280</xdr:row>
      <xdr:rowOff>114300</xdr:rowOff>
    </xdr:to>
    <xdr:sp macro="" textlink="">
      <xdr:nvSpPr>
        <xdr:cNvPr id="2041" name="Arrow: Down 2040">
          <a:extLst>
            <a:ext uri="{FF2B5EF4-FFF2-40B4-BE49-F238E27FC236}">
              <a16:creationId xmlns:a16="http://schemas.microsoft.com/office/drawing/2014/main" id="{CF944EE6-D627-4431-A244-40168F583481}"/>
            </a:ext>
          </a:extLst>
        </xdr:cNvPr>
        <xdr:cNvSpPr/>
      </xdr:nvSpPr>
      <xdr:spPr>
        <a:xfrm rot="10800000">
          <a:off x="3695700" y="5130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281</xdr:row>
      <xdr:rowOff>0</xdr:rowOff>
    </xdr:from>
    <xdr:to>
      <xdr:col>71</xdr:col>
      <xdr:colOff>83820</xdr:colOff>
      <xdr:row>281</xdr:row>
      <xdr:rowOff>114300</xdr:rowOff>
    </xdr:to>
    <xdr:sp macro="" textlink="">
      <xdr:nvSpPr>
        <xdr:cNvPr id="2098" name="Arrow: Down 2097">
          <a:extLst>
            <a:ext uri="{FF2B5EF4-FFF2-40B4-BE49-F238E27FC236}">
              <a16:creationId xmlns:a16="http://schemas.microsoft.com/office/drawing/2014/main" id="{AED74FFE-88C3-4E2B-92B6-FAD184D96D37}"/>
            </a:ext>
          </a:extLst>
        </xdr:cNvPr>
        <xdr:cNvSpPr/>
      </xdr:nvSpPr>
      <xdr:spPr>
        <a:xfrm rot="10800000">
          <a:off x="19560540" y="5130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281</xdr:row>
      <xdr:rowOff>0</xdr:rowOff>
    </xdr:from>
    <xdr:to>
      <xdr:col>60</xdr:col>
      <xdr:colOff>83820</xdr:colOff>
      <xdr:row>281</xdr:row>
      <xdr:rowOff>114300</xdr:rowOff>
    </xdr:to>
    <xdr:sp macro="" textlink="">
      <xdr:nvSpPr>
        <xdr:cNvPr id="2117" name="Arrow: Down 2116">
          <a:extLst>
            <a:ext uri="{FF2B5EF4-FFF2-40B4-BE49-F238E27FC236}">
              <a16:creationId xmlns:a16="http://schemas.microsoft.com/office/drawing/2014/main" id="{3EE48CD5-EEBC-4436-9655-B1BD80BE4606}"/>
            </a:ext>
          </a:extLst>
        </xdr:cNvPr>
        <xdr:cNvSpPr/>
      </xdr:nvSpPr>
      <xdr:spPr>
        <a:xfrm>
          <a:off x="1712976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281</xdr:row>
      <xdr:rowOff>0</xdr:rowOff>
    </xdr:from>
    <xdr:to>
      <xdr:col>24</xdr:col>
      <xdr:colOff>83820</xdr:colOff>
      <xdr:row>281</xdr:row>
      <xdr:rowOff>114300</xdr:rowOff>
    </xdr:to>
    <xdr:sp macro="" textlink="">
      <xdr:nvSpPr>
        <xdr:cNvPr id="2118" name="Arrow: Down 2117">
          <a:extLst>
            <a:ext uri="{FF2B5EF4-FFF2-40B4-BE49-F238E27FC236}">
              <a16:creationId xmlns:a16="http://schemas.microsoft.com/office/drawing/2014/main" id="{B46C7A82-FE53-4EC2-96E2-062157FBBA64}"/>
            </a:ext>
          </a:extLst>
        </xdr:cNvPr>
        <xdr:cNvSpPr/>
      </xdr:nvSpPr>
      <xdr:spPr>
        <a:xfrm>
          <a:off x="655320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281</xdr:row>
      <xdr:rowOff>0</xdr:rowOff>
    </xdr:from>
    <xdr:to>
      <xdr:col>5</xdr:col>
      <xdr:colOff>83820</xdr:colOff>
      <xdr:row>281</xdr:row>
      <xdr:rowOff>114300</xdr:rowOff>
    </xdr:to>
    <xdr:sp macro="" textlink="">
      <xdr:nvSpPr>
        <xdr:cNvPr id="2119" name="Arrow: Down 2118">
          <a:extLst>
            <a:ext uri="{FF2B5EF4-FFF2-40B4-BE49-F238E27FC236}">
              <a16:creationId xmlns:a16="http://schemas.microsoft.com/office/drawing/2014/main" id="{73B4BF1D-4C9F-4818-8539-DAD71C42B909}"/>
            </a:ext>
          </a:extLst>
        </xdr:cNvPr>
        <xdr:cNvSpPr/>
      </xdr:nvSpPr>
      <xdr:spPr>
        <a:xfrm>
          <a:off x="192786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281</xdr:row>
      <xdr:rowOff>0</xdr:rowOff>
    </xdr:from>
    <xdr:to>
      <xdr:col>11</xdr:col>
      <xdr:colOff>83820</xdr:colOff>
      <xdr:row>281</xdr:row>
      <xdr:rowOff>114300</xdr:rowOff>
    </xdr:to>
    <xdr:sp macro="" textlink="">
      <xdr:nvSpPr>
        <xdr:cNvPr id="2121" name="Arrow: Down 2120">
          <a:extLst>
            <a:ext uri="{FF2B5EF4-FFF2-40B4-BE49-F238E27FC236}">
              <a16:creationId xmlns:a16="http://schemas.microsoft.com/office/drawing/2014/main" id="{9D4067DF-B0B4-4186-91C5-C15C301457C9}"/>
            </a:ext>
          </a:extLst>
        </xdr:cNvPr>
        <xdr:cNvSpPr/>
      </xdr:nvSpPr>
      <xdr:spPr>
        <a:xfrm>
          <a:off x="369570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281</xdr:row>
      <xdr:rowOff>0</xdr:rowOff>
    </xdr:from>
    <xdr:to>
      <xdr:col>45</xdr:col>
      <xdr:colOff>83820</xdr:colOff>
      <xdr:row>281</xdr:row>
      <xdr:rowOff>114300</xdr:rowOff>
    </xdr:to>
    <xdr:sp macro="" textlink="">
      <xdr:nvSpPr>
        <xdr:cNvPr id="2131" name="Arrow: Down 2130">
          <a:extLst>
            <a:ext uri="{FF2B5EF4-FFF2-40B4-BE49-F238E27FC236}">
              <a16:creationId xmlns:a16="http://schemas.microsoft.com/office/drawing/2014/main" id="{BD014597-68CA-4F56-84D0-D8F01040F5C4}"/>
            </a:ext>
          </a:extLst>
        </xdr:cNvPr>
        <xdr:cNvSpPr/>
      </xdr:nvSpPr>
      <xdr:spPr>
        <a:xfrm rot="10800000">
          <a:off x="1157478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281</xdr:row>
      <xdr:rowOff>0</xdr:rowOff>
    </xdr:from>
    <xdr:to>
      <xdr:col>39</xdr:col>
      <xdr:colOff>83820</xdr:colOff>
      <xdr:row>281</xdr:row>
      <xdr:rowOff>114300</xdr:rowOff>
    </xdr:to>
    <xdr:sp macro="" textlink="">
      <xdr:nvSpPr>
        <xdr:cNvPr id="2134" name="Arrow: Down 2133">
          <a:extLst>
            <a:ext uri="{FF2B5EF4-FFF2-40B4-BE49-F238E27FC236}">
              <a16:creationId xmlns:a16="http://schemas.microsoft.com/office/drawing/2014/main" id="{3A0FFCCF-C1E0-465E-BCC5-49DC1BB0DDDE}"/>
            </a:ext>
          </a:extLst>
        </xdr:cNvPr>
        <xdr:cNvSpPr/>
      </xdr:nvSpPr>
      <xdr:spPr>
        <a:xfrm rot="10800000">
          <a:off x="971550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282</xdr:row>
      <xdr:rowOff>0</xdr:rowOff>
    </xdr:from>
    <xdr:to>
      <xdr:col>71</xdr:col>
      <xdr:colOff>83820</xdr:colOff>
      <xdr:row>282</xdr:row>
      <xdr:rowOff>114300</xdr:rowOff>
    </xdr:to>
    <xdr:sp macro="" textlink="">
      <xdr:nvSpPr>
        <xdr:cNvPr id="2011" name="Arrow: Down 2010">
          <a:extLst>
            <a:ext uri="{FF2B5EF4-FFF2-40B4-BE49-F238E27FC236}">
              <a16:creationId xmlns:a16="http://schemas.microsoft.com/office/drawing/2014/main" id="{B90B9F98-002D-46FF-A5ED-459FE238269B}"/>
            </a:ext>
          </a:extLst>
        </xdr:cNvPr>
        <xdr:cNvSpPr/>
      </xdr:nvSpPr>
      <xdr:spPr>
        <a:xfrm rot="10800000">
          <a:off x="19560540" y="5148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282</xdr:row>
      <xdr:rowOff>0</xdr:rowOff>
    </xdr:from>
    <xdr:to>
      <xdr:col>60</xdr:col>
      <xdr:colOff>83820</xdr:colOff>
      <xdr:row>282</xdr:row>
      <xdr:rowOff>114300</xdr:rowOff>
    </xdr:to>
    <xdr:sp macro="" textlink="">
      <xdr:nvSpPr>
        <xdr:cNvPr id="2014" name="Arrow: Down 2013">
          <a:extLst>
            <a:ext uri="{FF2B5EF4-FFF2-40B4-BE49-F238E27FC236}">
              <a16:creationId xmlns:a16="http://schemas.microsoft.com/office/drawing/2014/main" id="{2BF865BA-8217-4B97-848C-569E7280A71C}"/>
            </a:ext>
          </a:extLst>
        </xdr:cNvPr>
        <xdr:cNvSpPr/>
      </xdr:nvSpPr>
      <xdr:spPr>
        <a:xfrm>
          <a:off x="1712976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282</xdr:row>
      <xdr:rowOff>0</xdr:rowOff>
    </xdr:from>
    <xdr:to>
      <xdr:col>24</xdr:col>
      <xdr:colOff>83820</xdr:colOff>
      <xdr:row>282</xdr:row>
      <xdr:rowOff>114300</xdr:rowOff>
    </xdr:to>
    <xdr:sp macro="" textlink="">
      <xdr:nvSpPr>
        <xdr:cNvPr id="2027" name="Arrow: Down 2026">
          <a:extLst>
            <a:ext uri="{FF2B5EF4-FFF2-40B4-BE49-F238E27FC236}">
              <a16:creationId xmlns:a16="http://schemas.microsoft.com/office/drawing/2014/main" id="{722B66C6-5066-441A-A695-CE7EA4872697}"/>
            </a:ext>
          </a:extLst>
        </xdr:cNvPr>
        <xdr:cNvSpPr/>
      </xdr:nvSpPr>
      <xdr:spPr>
        <a:xfrm>
          <a:off x="6553200" y="5148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282</xdr:row>
      <xdr:rowOff>0</xdr:rowOff>
    </xdr:from>
    <xdr:to>
      <xdr:col>11</xdr:col>
      <xdr:colOff>83820</xdr:colOff>
      <xdr:row>282</xdr:row>
      <xdr:rowOff>114300</xdr:rowOff>
    </xdr:to>
    <xdr:sp macro="" textlink="">
      <xdr:nvSpPr>
        <xdr:cNvPr id="2093" name="Arrow: Down 2092">
          <a:extLst>
            <a:ext uri="{FF2B5EF4-FFF2-40B4-BE49-F238E27FC236}">
              <a16:creationId xmlns:a16="http://schemas.microsoft.com/office/drawing/2014/main" id="{EA8FE41D-8C33-4077-9B2B-8C0D0F0C6915}"/>
            </a:ext>
          </a:extLst>
        </xdr:cNvPr>
        <xdr:cNvSpPr/>
      </xdr:nvSpPr>
      <xdr:spPr>
        <a:xfrm rot="10800000">
          <a:off x="3695700" y="5167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282</xdr:row>
      <xdr:rowOff>0</xdr:rowOff>
    </xdr:from>
    <xdr:to>
      <xdr:col>5</xdr:col>
      <xdr:colOff>83820</xdr:colOff>
      <xdr:row>282</xdr:row>
      <xdr:rowOff>114300</xdr:rowOff>
    </xdr:to>
    <xdr:sp macro="" textlink="">
      <xdr:nvSpPr>
        <xdr:cNvPr id="2095" name="Arrow: Down 2094">
          <a:extLst>
            <a:ext uri="{FF2B5EF4-FFF2-40B4-BE49-F238E27FC236}">
              <a16:creationId xmlns:a16="http://schemas.microsoft.com/office/drawing/2014/main" id="{8F4D8CB6-39D9-4EEE-9DCE-68F367CE84DA}"/>
            </a:ext>
          </a:extLst>
        </xdr:cNvPr>
        <xdr:cNvSpPr/>
      </xdr:nvSpPr>
      <xdr:spPr>
        <a:xfrm rot="10800000">
          <a:off x="1927860" y="5167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282</xdr:row>
      <xdr:rowOff>0</xdr:rowOff>
    </xdr:from>
    <xdr:to>
      <xdr:col>39</xdr:col>
      <xdr:colOff>83820</xdr:colOff>
      <xdr:row>282</xdr:row>
      <xdr:rowOff>114300</xdr:rowOff>
    </xdr:to>
    <xdr:sp macro="" textlink="">
      <xdr:nvSpPr>
        <xdr:cNvPr id="2096" name="Arrow: Down 2095">
          <a:extLst>
            <a:ext uri="{FF2B5EF4-FFF2-40B4-BE49-F238E27FC236}">
              <a16:creationId xmlns:a16="http://schemas.microsoft.com/office/drawing/2014/main" id="{3A954CCC-E20F-4475-A4A5-FFC374B87346}"/>
            </a:ext>
          </a:extLst>
        </xdr:cNvPr>
        <xdr:cNvSpPr/>
      </xdr:nvSpPr>
      <xdr:spPr>
        <a:xfrm>
          <a:off x="9715500" y="5167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283</xdr:row>
      <xdr:rowOff>0</xdr:rowOff>
    </xdr:from>
    <xdr:to>
      <xdr:col>71</xdr:col>
      <xdr:colOff>83820</xdr:colOff>
      <xdr:row>283</xdr:row>
      <xdr:rowOff>114300</xdr:rowOff>
    </xdr:to>
    <xdr:sp macro="" textlink="">
      <xdr:nvSpPr>
        <xdr:cNvPr id="2099" name="Arrow: Down 2098">
          <a:extLst>
            <a:ext uri="{FF2B5EF4-FFF2-40B4-BE49-F238E27FC236}">
              <a16:creationId xmlns:a16="http://schemas.microsoft.com/office/drawing/2014/main" id="{17A645AD-155E-40B9-BC32-AC0DED788440}"/>
            </a:ext>
          </a:extLst>
        </xdr:cNvPr>
        <xdr:cNvSpPr/>
      </xdr:nvSpPr>
      <xdr:spPr>
        <a:xfrm rot="10800000">
          <a:off x="19560540" y="5167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283</xdr:row>
      <xdr:rowOff>0</xdr:rowOff>
    </xdr:from>
    <xdr:to>
      <xdr:col>60</xdr:col>
      <xdr:colOff>83820</xdr:colOff>
      <xdr:row>283</xdr:row>
      <xdr:rowOff>114300</xdr:rowOff>
    </xdr:to>
    <xdr:sp macro="" textlink="">
      <xdr:nvSpPr>
        <xdr:cNvPr id="2101" name="Arrow: Down 2100">
          <a:extLst>
            <a:ext uri="{FF2B5EF4-FFF2-40B4-BE49-F238E27FC236}">
              <a16:creationId xmlns:a16="http://schemas.microsoft.com/office/drawing/2014/main" id="{80BB0C64-7BAF-4C81-BE1E-CBFF6F4D8D84}"/>
            </a:ext>
          </a:extLst>
        </xdr:cNvPr>
        <xdr:cNvSpPr/>
      </xdr:nvSpPr>
      <xdr:spPr>
        <a:xfrm>
          <a:off x="17129760" y="5167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283</xdr:row>
      <xdr:rowOff>0</xdr:rowOff>
    </xdr:from>
    <xdr:to>
      <xdr:col>24</xdr:col>
      <xdr:colOff>83820</xdr:colOff>
      <xdr:row>283</xdr:row>
      <xdr:rowOff>114300</xdr:rowOff>
    </xdr:to>
    <xdr:sp macro="" textlink="">
      <xdr:nvSpPr>
        <xdr:cNvPr id="2107" name="Arrow: Down 2106">
          <a:extLst>
            <a:ext uri="{FF2B5EF4-FFF2-40B4-BE49-F238E27FC236}">
              <a16:creationId xmlns:a16="http://schemas.microsoft.com/office/drawing/2014/main" id="{F241999B-2F5D-4F15-A18C-B330ED0C9DEF}"/>
            </a:ext>
          </a:extLst>
        </xdr:cNvPr>
        <xdr:cNvSpPr/>
      </xdr:nvSpPr>
      <xdr:spPr>
        <a:xfrm>
          <a:off x="6553200" y="5167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282</xdr:row>
      <xdr:rowOff>0</xdr:rowOff>
    </xdr:from>
    <xdr:to>
      <xdr:col>45</xdr:col>
      <xdr:colOff>83820</xdr:colOff>
      <xdr:row>282</xdr:row>
      <xdr:rowOff>114300</xdr:rowOff>
    </xdr:to>
    <xdr:sp macro="" textlink="">
      <xdr:nvSpPr>
        <xdr:cNvPr id="2120" name="Arrow: Down 2119">
          <a:extLst>
            <a:ext uri="{FF2B5EF4-FFF2-40B4-BE49-F238E27FC236}">
              <a16:creationId xmlns:a16="http://schemas.microsoft.com/office/drawing/2014/main" id="{6D8663CA-A189-4B98-9184-924C55663BEC}"/>
            </a:ext>
          </a:extLst>
        </xdr:cNvPr>
        <xdr:cNvSpPr/>
      </xdr:nvSpPr>
      <xdr:spPr>
        <a:xfrm>
          <a:off x="11574780" y="5167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283</xdr:row>
      <xdr:rowOff>0</xdr:rowOff>
    </xdr:from>
    <xdr:to>
      <xdr:col>5</xdr:col>
      <xdr:colOff>83820</xdr:colOff>
      <xdr:row>283</xdr:row>
      <xdr:rowOff>114300</xdr:rowOff>
    </xdr:to>
    <xdr:sp macro="" textlink="">
      <xdr:nvSpPr>
        <xdr:cNvPr id="2129" name="Arrow: Down 2128">
          <a:extLst>
            <a:ext uri="{FF2B5EF4-FFF2-40B4-BE49-F238E27FC236}">
              <a16:creationId xmlns:a16="http://schemas.microsoft.com/office/drawing/2014/main" id="{B48C2243-1481-4950-98F1-F39EC44D4293}"/>
            </a:ext>
          </a:extLst>
        </xdr:cNvPr>
        <xdr:cNvSpPr/>
      </xdr:nvSpPr>
      <xdr:spPr>
        <a:xfrm>
          <a:off x="192786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283</xdr:row>
      <xdr:rowOff>0</xdr:rowOff>
    </xdr:from>
    <xdr:to>
      <xdr:col>11</xdr:col>
      <xdr:colOff>83820</xdr:colOff>
      <xdr:row>283</xdr:row>
      <xdr:rowOff>114300</xdr:rowOff>
    </xdr:to>
    <xdr:sp macro="" textlink="">
      <xdr:nvSpPr>
        <xdr:cNvPr id="2135" name="Arrow: Down 2134">
          <a:extLst>
            <a:ext uri="{FF2B5EF4-FFF2-40B4-BE49-F238E27FC236}">
              <a16:creationId xmlns:a16="http://schemas.microsoft.com/office/drawing/2014/main" id="{4FA06EDE-09BD-4F4F-B652-FB2A7F47C661}"/>
            </a:ext>
          </a:extLst>
        </xdr:cNvPr>
        <xdr:cNvSpPr/>
      </xdr:nvSpPr>
      <xdr:spPr>
        <a:xfrm>
          <a:off x="369570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283</xdr:row>
      <xdr:rowOff>0</xdr:rowOff>
    </xdr:from>
    <xdr:to>
      <xdr:col>39</xdr:col>
      <xdr:colOff>83820</xdr:colOff>
      <xdr:row>283</xdr:row>
      <xdr:rowOff>114300</xdr:rowOff>
    </xdr:to>
    <xdr:sp macro="" textlink="">
      <xdr:nvSpPr>
        <xdr:cNvPr id="2138" name="Arrow: Down 2137">
          <a:extLst>
            <a:ext uri="{FF2B5EF4-FFF2-40B4-BE49-F238E27FC236}">
              <a16:creationId xmlns:a16="http://schemas.microsoft.com/office/drawing/2014/main" id="{94539074-D6EF-4188-A229-5A1C70DFA43D}"/>
            </a:ext>
          </a:extLst>
        </xdr:cNvPr>
        <xdr:cNvSpPr/>
      </xdr:nvSpPr>
      <xdr:spPr>
        <a:xfrm rot="10800000">
          <a:off x="971550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283</xdr:row>
      <xdr:rowOff>0</xdr:rowOff>
    </xdr:from>
    <xdr:to>
      <xdr:col>45</xdr:col>
      <xdr:colOff>83820</xdr:colOff>
      <xdr:row>283</xdr:row>
      <xdr:rowOff>114300</xdr:rowOff>
    </xdr:to>
    <xdr:sp macro="" textlink="">
      <xdr:nvSpPr>
        <xdr:cNvPr id="2140" name="Arrow: Down 2139">
          <a:extLst>
            <a:ext uri="{FF2B5EF4-FFF2-40B4-BE49-F238E27FC236}">
              <a16:creationId xmlns:a16="http://schemas.microsoft.com/office/drawing/2014/main" id="{98525CA6-1BC7-4116-B5AA-2454E8FCDFF1}"/>
            </a:ext>
          </a:extLst>
        </xdr:cNvPr>
        <xdr:cNvSpPr/>
      </xdr:nvSpPr>
      <xdr:spPr>
        <a:xfrm rot="10800000">
          <a:off x="1157478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284</xdr:row>
      <xdr:rowOff>0</xdr:rowOff>
    </xdr:from>
    <xdr:to>
      <xdr:col>71</xdr:col>
      <xdr:colOff>83820</xdr:colOff>
      <xdr:row>284</xdr:row>
      <xdr:rowOff>114300</xdr:rowOff>
    </xdr:to>
    <xdr:sp macro="" textlink="">
      <xdr:nvSpPr>
        <xdr:cNvPr id="2157" name="Arrow: Down 2156">
          <a:extLst>
            <a:ext uri="{FF2B5EF4-FFF2-40B4-BE49-F238E27FC236}">
              <a16:creationId xmlns:a16="http://schemas.microsoft.com/office/drawing/2014/main" id="{4DFA4103-542E-4699-9094-A0B3DED48D00}"/>
            </a:ext>
          </a:extLst>
        </xdr:cNvPr>
        <xdr:cNvSpPr/>
      </xdr:nvSpPr>
      <xdr:spPr>
        <a:xfrm rot="10800000">
          <a:off x="19560540" y="5185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284</xdr:row>
      <xdr:rowOff>0</xdr:rowOff>
    </xdr:from>
    <xdr:to>
      <xdr:col>24</xdr:col>
      <xdr:colOff>83820</xdr:colOff>
      <xdr:row>284</xdr:row>
      <xdr:rowOff>114300</xdr:rowOff>
    </xdr:to>
    <xdr:sp macro="" textlink="">
      <xdr:nvSpPr>
        <xdr:cNvPr id="2159" name="Arrow: Down 2158">
          <a:extLst>
            <a:ext uri="{FF2B5EF4-FFF2-40B4-BE49-F238E27FC236}">
              <a16:creationId xmlns:a16="http://schemas.microsoft.com/office/drawing/2014/main" id="{0786F9BA-17E3-4FF2-905A-8CB224DA2DE6}"/>
            </a:ext>
          </a:extLst>
        </xdr:cNvPr>
        <xdr:cNvSpPr/>
      </xdr:nvSpPr>
      <xdr:spPr>
        <a:xfrm>
          <a:off x="655320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284</xdr:row>
      <xdr:rowOff>0</xdr:rowOff>
    </xdr:from>
    <xdr:to>
      <xdr:col>5</xdr:col>
      <xdr:colOff>83820</xdr:colOff>
      <xdr:row>284</xdr:row>
      <xdr:rowOff>114300</xdr:rowOff>
    </xdr:to>
    <xdr:sp macro="" textlink="">
      <xdr:nvSpPr>
        <xdr:cNvPr id="2160" name="Arrow: Down 2159">
          <a:extLst>
            <a:ext uri="{FF2B5EF4-FFF2-40B4-BE49-F238E27FC236}">
              <a16:creationId xmlns:a16="http://schemas.microsoft.com/office/drawing/2014/main" id="{9BFDADCC-3E8E-4BDB-915C-2194BEB16C47}"/>
            </a:ext>
          </a:extLst>
        </xdr:cNvPr>
        <xdr:cNvSpPr/>
      </xdr:nvSpPr>
      <xdr:spPr>
        <a:xfrm>
          <a:off x="192786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284</xdr:row>
      <xdr:rowOff>0</xdr:rowOff>
    </xdr:from>
    <xdr:to>
      <xdr:col>11</xdr:col>
      <xdr:colOff>83820</xdr:colOff>
      <xdr:row>284</xdr:row>
      <xdr:rowOff>114300</xdr:rowOff>
    </xdr:to>
    <xdr:sp macro="" textlink="">
      <xdr:nvSpPr>
        <xdr:cNvPr id="2161" name="Arrow: Down 2160">
          <a:extLst>
            <a:ext uri="{FF2B5EF4-FFF2-40B4-BE49-F238E27FC236}">
              <a16:creationId xmlns:a16="http://schemas.microsoft.com/office/drawing/2014/main" id="{8918D63B-89D7-4B3D-B370-F13C58761F89}"/>
            </a:ext>
          </a:extLst>
        </xdr:cNvPr>
        <xdr:cNvSpPr/>
      </xdr:nvSpPr>
      <xdr:spPr>
        <a:xfrm>
          <a:off x="3695700" y="5185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284</xdr:row>
      <xdr:rowOff>0</xdr:rowOff>
    </xdr:from>
    <xdr:to>
      <xdr:col>45</xdr:col>
      <xdr:colOff>83820</xdr:colOff>
      <xdr:row>284</xdr:row>
      <xdr:rowOff>114300</xdr:rowOff>
    </xdr:to>
    <xdr:sp macro="" textlink="">
      <xdr:nvSpPr>
        <xdr:cNvPr id="2164" name="Arrow: Down 2163">
          <a:extLst>
            <a:ext uri="{FF2B5EF4-FFF2-40B4-BE49-F238E27FC236}">
              <a16:creationId xmlns:a16="http://schemas.microsoft.com/office/drawing/2014/main" id="{D536792E-2CE0-449B-B17A-D7921BA76533}"/>
            </a:ext>
          </a:extLst>
        </xdr:cNvPr>
        <xdr:cNvSpPr/>
      </xdr:nvSpPr>
      <xdr:spPr>
        <a:xfrm>
          <a:off x="11574780" y="5203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284</xdr:row>
      <xdr:rowOff>0</xdr:rowOff>
    </xdr:from>
    <xdr:to>
      <xdr:col>39</xdr:col>
      <xdr:colOff>83820</xdr:colOff>
      <xdr:row>284</xdr:row>
      <xdr:rowOff>114300</xdr:rowOff>
    </xdr:to>
    <xdr:sp macro="" textlink="">
      <xdr:nvSpPr>
        <xdr:cNvPr id="2165" name="Arrow: Down 2164">
          <a:extLst>
            <a:ext uri="{FF2B5EF4-FFF2-40B4-BE49-F238E27FC236}">
              <a16:creationId xmlns:a16="http://schemas.microsoft.com/office/drawing/2014/main" id="{42B623CA-A4DD-4AD8-8248-E6081CB65BA5}"/>
            </a:ext>
          </a:extLst>
        </xdr:cNvPr>
        <xdr:cNvSpPr/>
      </xdr:nvSpPr>
      <xdr:spPr>
        <a:xfrm>
          <a:off x="9715500" y="5203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284</xdr:row>
      <xdr:rowOff>0</xdr:rowOff>
    </xdr:from>
    <xdr:to>
      <xdr:col>60</xdr:col>
      <xdr:colOff>83820</xdr:colOff>
      <xdr:row>284</xdr:row>
      <xdr:rowOff>114300</xdr:rowOff>
    </xdr:to>
    <xdr:sp macro="" textlink="">
      <xdr:nvSpPr>
        <xdr:cNvPr id="2166" name="Arrow: Down 2165">
          <a:extLst>
            <a:ext uri="{FF2B5EF4-FFF2-40B4-BE49-F238E27FC236}">
              <a16:creationId xmlns:a16="http://schemas.microsoft.com/office/drawing/2014/main" id="{E968260F-1F0C-4085-955D-14ED20BAB4A0}"/>
            </a:ext>
          </a:extLst>
        </xdr:cNvPr>
        <xdr:cNvSpPr/>
      </xdr:nvSpPr>
      <xdr:spPr>
        <a:xfrm rot="10800000">
          <a:off x="17129760" y="5203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285</xdr:row>
      <xdr:rowOff>0</xdr:rowOff>
    </xdr:from>
    <xdr:to>
      <xdr:col>71</xdr:col>
      <xdr:colOff>83820</xdr:colOff>
      <xdr:row>285</xdr:row>
      <xdr:rowOff>114300</xdr:rowOff>
    </xdr:to>
    <xdr:sp macro="" textlink="">
      <xdr:nvSpPr>
        <xdr:cNvPr id="2167" name="Arrow: Down 2166">
          <a:extLst>
            <a:ext uri="{FF2B5EF4-FFF2-40B4-BE49-F238E27FC236}">
              <a16:creationId xmlns:a16="http://schemas.microsoft.com/office/drawing/2014/main" id="{D2CE3F67-034D-4F76-B2FF-607018BDB311}"/>
            </a:ext>
          </a:extLst>
        </xdr:cNvPr>
        <xdr:cNvSpPr/>
      </xdr:nvSpPr>
      <xdr:spPr>
        <a:xfrm rot="10800000">
          <a:off x="19560540" y="5203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285</xdr:row>
      <xdr:rowOff>0</xdr:rowOff>
    </xdr:from>
    <xdr:to>
      <xdr:col>11</xdr:col>
      <xdr:colOff>83820</xdr:colOff>
      <xdr:row>285</xdr:row>
      <xdr:rowOff>114300</xdr:rowOff>
    </xdr:to>
    <xdr:sp macro="" textlink="">
      <xdr:nvSpPr>
        <xdr:cNvPr id="2174" name="Arrow: Down 2173">
          <a:extLst>
            <a:ext uri="{FF2B5EF4-FFF2-40B4-BE49-F238E27FC236}">
              <a16:creationId xmlns:a16="http://schemas.microsoft.com/office/drawing/2014/main" id="{21D647E0-21E4-4E3D-8721-D62C2390C89F}"/>
            </a:ext>
          </a:extLst>
        </xdr:cNvPr>
        <xdr:cNvSpPr/>
      </xdr:nvSpPr>
      <xdr:spPr>
        <a:xfrm rot="10800000">
          <a:off x="3695700" y="5221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285</xdr:row>
      <xdr:rowOff>0</xdr:rowOff>
    </xdr:from>
    <xdr:to>
      <xdr:col>5</xdr:col>
      <xdr:colOff>83820</xdr:colOff>
      <xdr:row>285</xdr:row>
      <xdr:rowOff>114300</xdr:rowOff>
    </xdr:to>
    <xdr:sp macro="" textlink="">
      <xdr:nvSpPr>
        <xdr:cNvPr id="2175" name="Arrow: Down 2174">
          <a:extLst>
            <a:ext uri="{FF2B5EF4-FFF2-40B4-BE49-F238E27FC236}">
              <a16:creationId xmlns:a16="http://schemas.microsoft.com/office/drawing/2014/main" id="{59611B12-EAFB-435D-A91F-25F17EE2AE6C}"/>
            </a:ext>
          </a:extLst>
        </xdr:cNvPr>
        <xdr:cNvSpPr/>
      </xdr:nvSpPr>
      <xdr:spPr>
        <a:xfrm rot="10800000">
          <a:off x="1927860" y="5221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285</xdr:row>
      <xdr:rowOff>0</xdr:rowOff>
    </xdr:from>
    <xdr:to>
      <xdr:col>24</xdr:col>
      <xdr:colOff>83820</xdr:colOff>
      <xdr:row>285</xdr:row>
      <xdr:rowOff>114300</xdr:rowOff>
    </xdr:to>
    <xdr:sp macro="" textlink="">
      <xdr:nvSpPr>
        <xdr:cNvPr id="2177" name="Arrow: Down 2176">
          <a:extLst>
            <a:ext uri="{FF2B5EF4-FFF2-40B4-BE49-F238E27FC236}">
              <a16:creationId xmlns:a16="http://schemas.microsoft.com/office/drawing/2014/main" id="{90175877-6E0E-4F0C-9B58-6C3B3D6F7C71}"/>
            </a:ext>
          </a:extLst>
        </xdr:cNvPr>
        <xdr:cNvSpPr/>
      </xdr:nvSpPr>
      <xdr:spPr>
        <a:xfrm rot="10800000">
          <a:off x="6553200" y="5221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285</xdr:row>
      <xdr:rowOff>0</xdr:rowOff>
    </xdr:from>
    <xdr:to>
      <xdr:col>45</xdr:col>
      <xdr:colOff>83820</xdr:colOff>
      <xdr:row>285</xdr:row>
      <xdr:rowOff>114300</xdr:rowOff>
    </xdr:to>
    <xdr:sp macro="" textlink="">
      <xdr:nvSpPr>
        <xdr:cNvPr id="2178" name="Arrow: Down 2177">
          <a:extLst>
            <a:ext uri="{FF2B5EF4-FFF2-40B4-BE49-F238E27FC236}">
              <a16:creationId xmlns:a16="http://schemas.microsoft.com/office/drawing/2014/main" id="{AC49A5DC-95D6-4A51-81CF-F667A476C4AE}"/>
            </a:ext>
          </a:extLst>
        </xdr:cNvPr>
        <xdr:cNvSpPr/>
      </xdr:nvSpPr>
      <xdr:spPr>
        <a:xfrm rot="10800000">
          <a:off x="11574780" y="5221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285</xdr:row>
      <xdr:rowOff>0</xdr:rowOff>
    </xdr:from>
    <xdr:to>
      <xdr:col>39</xdr:col>
      <xdr:colOff>83820</xdr:colOff>
      <xdr:row>285</xdr:row>
      <xdr:rowOff>114300</xdr:rowOff>
    </xdr:to>
    <xdr:sp macro="" textlink="">
      <xdr:nvSpPr>
        <xdr:cNvPr id="2179" name="Arrow: Down 2178">
          <a:extLst>
            <a:ext uri="{FF2B5EF4-FFF2-40B4-BE49-F238E27FC236}">
              <a16:creationId xmlns:a16="http://schemas.microsoft.com/office/drawing/2014/main" id="{00106525-AA6C-4C2D-AF53-1CD692999906}"/>
            </a:ext>
          </a:extLst>
        </xdr:cNvPr>
        <xdr:cNvSpPr/>
      </xdr:nvSpPr>
      <xdr:spPr>
        <a:xfrm rot="10800000">
          <a:off x="9715500" y="5221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285</xdr:row>
      <xdr:rowOff>0</xdr:rowOff>
    </xdr:from>
    <xdr:to>
      <xdr:col>60</xdr:col>
      <xdr:colOff>83820</xdr:colOff>
      <xdr:row>285</xdr:row>
      <xdr:rowOff>114300</xdr:rowOff>
    </xdr:to>
    <xdr:sp macro="" textlink="">
      <xdr:nvSpPr>
        <xdr:cNvPr id="2180" name="Arrow: Down 2179">
          <a:extLst>
            <a:ext uri="{FF2B5EF4-FFF2-40B4-BE49-F238E27FC236}">
              <a16:creationId xmlns:a16="http://schemas.microsoft.com/office/drawing/2014/main" id="{08EFA290-3607-46CD-93A7-543CEB64A917}"/>
            </a:ext>
          </a:extLst>
        </xdr:cNvPr>
        <xdr:cNvSpPr/>
      </xdr:nvSpPr>
      <xdr:spPr>
        <a:xfrm>
          <a:off x="17129760" y="5221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286</xdr:row>
      <xdr:rowOff>0</xdr:rowOff>
    </xdr:from>
    <xdr:to>
      <xdr:col>71</xdr:col>
      <xdr:colOff>83820</xdr:colOff>
      <xdr:row>286</xdr:row>
      <xdr:rowOff>114300</xdr:rowOff>
    </xdr:to>
    <xdr:sp macro="" textlink="">
      <xdr:nvSpPr>
        <xdr:cNvPr id="2181" name="Arrow: Down 2180">
          <a:extLst>
            <a:ext uri="{FF2B5EF4-FFF2-40B4-BE49-F238E27FC236}">
              <a16:creationId xmlns:a16="http://schemas.microsoft.com/office/drawing/2014/main" id="{9D54E433-02FE-4E17-8216-3D4FBFE091D2}"/>
            </a:ext>
          </a:extLst>
        </xdr:cNvPr>
        <xdr:cNvSpPr/>
      </xdr:nvSpPr>
      <xdr:spPr>
        <a:xfrm rot="10800000">
          <a:off x="19560540" y="5221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286</xdr:row>
      <xdr:rowOff>0</xdr:rowOff>
    </xdr:from>
    <xdr:to>
      <xdr:col>24</xdr:col>
      <xdr:colOff>83820</xdr:colOff>
      <xdr:row>286</xdr:row>
      <xdr:rowOff>114300</xdr:rowOff>
    </xdr:to>
    <xdr:sp macro="" textlink="">
      <xdr:nvSpPr>
        <xdr:cNvPr id="2184" name="Arrow: Down 2183">
          <a:extLst>
            <a:ext uri="{FF2B5EF4-FFF2-40B4-BE49-F238E27FC236}">
              <a16:creationId xmlns:a16="http://schemas.microsoft.com/office/drawing/2014/main" id="{DF360C5A-B805-4A52-B138-B1DCE31689AA}"/>
            </a:ext>
          </a:extLst>
        </xdr:cNvPr>
        <xdr:cNvSpPr/>
      </xdr:nvSpPr>
      <xdr:spPr>
        <a:xfrm rot="10800000">
          <a:off x="6553200" y="5221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286</xdr:row>
      <xdr:rowOff>0</xdr:rowOff>
    </xdr:from>
    <xdr:to>
      <xdr:col>45</xdr:col>
      <xdr:colOff>83820</xdr:colOff>
      <xdr:row>286</xdr:row>
      <xdr:rowOff>114300</xdr:rowOff>
    </xdr:to>
    <xdr:sp macro="" textlink="">
      <xdr:nvSpPr>
        <xdr:cNvPr id="2185" name="Arrow: Down 2184">
          <a:extLst>
            <a:ext uri="{FF2B5EF4-FFF2-40B4-BE49-F238E27FC236}">
              <a16:creationId xmlns:a16="http://schemas.microsoft.com/office/drawing/2014/main" id="{F21C0468-D5DA-4FF3-AB86-0683940D40D4}"/>
            </a:ext>
          </a:extLst>
        </xdr:cNvPr>
        <xdr:cNvSpPr/>
      </xdr:nvSpPr>
      <xdr:spPr>
        <a:xfrm rot="10800000">
          <a:off x="11574780" y="5221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286</xdr:row>
      <xdr:rowOff>0</xdr:rowOff>
    </xdr:from>
    <xdr:to>
      <xdr:col>60</xdr:col>
      <xdr:colOff>83820</xdr:colOff>
      <xdr:row>286</xdr:row>
      <xdr:rowOff>114300</xdr:rowOff>
    </xdr:to>
    <xdr:sp macro="" textlink="">
      <xdr:nvSpPr>
        <xdr:cNvPr id="2189" name="Arrow: Down 2188">
          <a:extLst>
            <a:ext uri="{FF2B5EF4-FFF2-40B4-BE49-F238E27FC236}">
              <a16:creationId xmlns:a16="http://schemas.microsoft.com/office/drawing/2014/main" id="{C3F4CD66-A699-477C-8A3E-6F084134B896}"/>
            </a:ext>
          </a:extLst>
        </xdr:cNvPr>
        <xdr:cNvSpPr/>
      </xdr:nvSpPr>
      <xdr:spPr>
        <a:xfrm rot="10800000">
          <a:off x="17129760" y="5240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286</xdr:row>
      <xdr:rowOff>0</xdr:rowOff>
    </xdr:from>
    <xdr:to>
      <xdr:col>39</xdr:col>
      <xdr:colOff>83820</xdr:colOff>
      <xdr:row>286</xdr:row>
      <xdr:rowOff>114300</xdr:rowOff>
    </xdr:to>
    <xdr:sp macro="" textlink="">
      <xdr:nvSpPr>
        <xdr:cNvPr id="2191" name="Arrow: Down 2190">
          <a:extLst>
            <a:ext uri="{FF2B5EF4-FFF2-40B4-BE49-F238E27FC236}">
              <a16:creationId xmlns:a16="http://schemas.microsoft.com/office/drawing/2014/main" id="{F33C7C7D-B338-42B2-9B63-9740254639FB}"/>
            </a:ext>
          </a:extLst>
        </xdr:cNvPr>
        <xdr:cNvSpPr/>
      </xdr:nvSpPr>
      <xdr:spPr>
        <a:xfrm>
          <a:off x="9715500" y="5240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286</xdr:row>
      <xdr:rowOff>0</xdr:rowOff>
    </xdr:from>
    <xdr:to>
      <xdr:col>5</xdr:col>
      <xdr:colOff>83820</xdr:colOff>
      <xdr:row>286</xdr:row>
      <xdr:rowOff>114300</xdr:rowOff>
    </xdr:to>
    <xdr:sp macro="" textlink="">
      <xdr:nvSpPr>
        <xdr:cNvPr id="2192" name="Arrow: Down 2191">
          <a:extLst>
            <a:ext uri="{FF2B5EF4-FFF2-40B4-BE49-F238E27FC236}">
              <a16:creationId xmlns:a16="http://schemas.microsoft.com/office/drawing/2014/main" id="{088A1E15-A59A-4767-AE0D-F141B7E845ED}"/>
            </a:ext>
          </a:extLst>
        </xdr:cNvPr>
        <xdr:cNvSpPr/>
      </xdr:nvSpPr>
      <xdr:spPr>
        <a:xfrm>
          <a:off x="1927860" y="5240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286</xdr:row>
      <xdr:rowOff>0</xdr:rowOff>
    </xdr:from>
    <xdr:to>
      <xdr:col>11</xdr:col>
      <xdr:colOff>83820</xdr:colOff>
      <xdr:row>286</xdr:row>
      <xdr:rowOff>114300</xdr:rowOff>
    </xdr:to>
    <xdr:sp macro="" textlink="">
      <xdr:nvSpPr>
        <xdr:cNvPr id="2194" name="Arrow: Down 2193">
          <a:extLst>
            <a:ext uri="{FF2B5EF4-FFF2-40B4-BE49-F238E27FC236}">
              <a16:creationId xmlns:a16="http://schemas.microsoft.com/office/drawing/2014/main" id="{821BB29F-84CE-4A0E-A88D-AD6238852954}"/>
            </a:ext>
          </a:extLst>
        </xdr:cNvPr>
        <xdr:cNvSpPr/>
      </xdr:nvSpPr>
      <xdr:spPr>
        <a:xfrm>
          <a:off x="3695700" y="5240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287</xdr:row>
      <xdr:rowOff>0</xdr:rowOff>
    </xdr:from>
    <xdr:to>
      <xdr:col>71</xdr:col>
      <xdr:colOff>83820</xdr:colOff>
      <xdr:row>287</xdr:row>
      <xdr:rowOff>114300</xdr:rowOff>
    </xdr:to>
    <xdr:sp macro="" textlink="">
      <xdr:nvSpPr>
        <xdr:cNvPr id="2195" name="Arrow: Down 2194">
          <a:extLst>
            <a:ext uri="{FF2B5EF4-FFF2-40B4-BE49-F238E27FC236}">
              <a16:creationId xmlns:a16="http://schemas.microsoft.com/office/drawing/2014/main" id="{B0F6E3DD-684B-4E72-A6AB-E145E86988E8}"/>
            </a:ext>
          </a:extLst>
        </xdr:cNvPr>
        <xdr:cNvSpPr/>
      </xdr:nvSpPr>
      <xdr:spPr>
        <a:xfrm rot="10800000">
          <a:off x="19560540" y="5240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287</xdr:row>
      <xdr:rowOff>0</xdr:rowOff>
    </xdr:from>
    <xdr:to>
      <xdr:col>24</xdr:col>
      <xdr:colOff>83820</xdr:colOff>
      <xdr:row>287</xdr:row>
      <xdr:rowOff>114300</xdr:rowOff>
    </xdr:to>
    <xdr:sp macro="" textlink="">
      <xdr:nvSpPr>
        <xdr:cNvPr id="2196" name="Arrow: Down 2195">
          <a:extLst>
            <a:ext uri="{FF2B5EF4-FFF2-40B4-BE49-F238E27FC236}">
              <a16:creationId xmlns:a16="http://schemas.microsoft.com/office/drawing/2014/main" id="{955FE57E-4AF0-4116-B098-6D0432F0EE2F}"/>
            </a:ext>
          </a:extLst>
        </xdr:cNvPr>
        <xdr:cNvSpPr/>
      </xdr:nvSpPr>
      <xdr:spPr>
        <a:xfrm rot="10800000">
          <a:off x="6553200" y="5240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287</xdr:row>
      <xdr:rowOff>0</xdr:rowOff>
    </xdr:from>
    <xdr:to>
      <xdr:col>45</xdr:col>
      <xdr:colOff>83820</xdr:colOff>
      <xdr:row>287</xdr:row>
      <xdr:rowOff>114300</xdr:rowOff>
    </xdr:to>
    <xdr:sp macro="" textlink="">
      <xdr:nvSpPr>
        <xdr:cNvPr id="2197" name="Arrow: Down 2196">
          <a:extLst>
            <a:ext uri="{FF2B5EF4-FFF2-40B4-BE49-F238E27FC236}">
              <a16:creationId xmlns:a16="http://schemas.microsoft.com/office/drawing/2014/main" id="{34205BE3-6486-4190-9C67-6CDAEC4A781B}"/>
            </a:ext>
          </a:extLst>
        </xdr:cNvPr>
        <xdr:cNvSpPr/>
      </xdr:nvSpPr>
      <xdr:spPr>
        <a:xfrm rot="10800000">
          <a:off x="11574780" y="5240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287</xdr:row>
      <xdr:rowOff>0</xdr:rowOff>
    </xdr:from>
    <xdr:to>
      <xdr:col>60</xdr:col>
      <xdr:colOff>83820</xdr:colOff>
      <xdr:row>287</xdr:row>
      <xdr:rowOff>114300</xdr:rowOff>
    </xdr:to>
    <xdr:sp macro="" textlink="">
      <xdr:nvSpPr>
        <xdr:cNvPr id="2198" name="Arrow: Down 2197">
          <a:extLst>
            <a:ext uri="{FF2B5EF4-FFF2-40B4-BE49-F238E27FC236}">
              <a16:creationId xmlns:a16="http://schemas.microsoft.com/office/drawing/2014/main" id="{FC3B1608-877C-4DFC-AA50-C5669D0D0D32}"/>
            </a:ext>
          </a:extLst>
        </xdr:cNvPr>
        <xdr:cNvSpPr/>
      </xdr:nvSpPr>
      <xdr:spPr>
        <a:xfrm rot="10800000">
          <a:off x="17129760" y="5240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287</xdr:row>
      <xdr:rowOff>0</xdr:rowOff>
    </xdr:from>
    <xdr:to>
      <xdr:col>11</xdr:col>
      <xdr:colOff>83820</xdr:colOff>
      <xdr:row>287</xdr:row>
      <xdr:rowOff>114300</xdr:rowOff>
    </xdr:to>
    <xdr:sp macro="" textlink="">
      <xdr:nvSpPr>
        <xdr:cNvPr id="2202" name="Arrow: Down 2201">
          <a:extLst>
            <a:ext uri="{FF2B5EF4-FFF2-40B4-BE49-F238E27FC236}">
              <a16:creationId xmlns:a16="http://schemas.microsoft.com/office/drawing/2014/main" id="{53812F0D-C511-42A5-BA1E-DB5BE32B658B}"/>
            </a:ext>
          </a:extLst>
        </xdr:cNvPr>
        <xdr:cNvSpPr/>
      </xdr:nvSpPr>
      <xdr:spPr>
        <a:xfrm rot="10800000">
          <a:off x="3695700" y="5258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287</xdr:row>
      <xdr:rowOff>0</xdr:rowOff>
    </xdr:from>
    <xdr:to>
      <xdr:col>5</xdr:col>
      <xdr:colOff>83820</xdr:colOff>
      <xdr:row>287</xdr:row>
      <xdr:rowOff>114300</xdr:rowOff>
    </xdr:to>
    <xdr:sp macro="" textlink="">
      <xdr:nvSpPr>
        <xdr:cNvPr id="2204" name="Arrow: Down 2203">
          <a:extLst>
            <a:ext uri="{FF2B5EF4-FFF2-40B4-BE49-F238E27FC236}">
              <a16:creationId xmlns:a16="http://schemas.microsoft.com/office/drawing/2014/main" id="{8987A1F4-020A-4862-822F-6DA62A9B8CA5}"/>
            </a:ext>
          </a:extLst>
        </xdr:cNvPr>
        <xdr:cNvSpPr/>
      </xdr:nvSpPr>
      <xdr:spPr>
        <a:xfrm rot="10800000">
          <a:off x="1927860" y="5258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287</xdr:row>
      <xdr:rowOff>0</xdr:rowOff>
    </xdr:from>
    <xdr:to>
      <xdr:col>39</xdr:col>
      <xdr:colOff>83820</xdr:colOff>
      <xdr:row>287</xdr:row>
      <xdr:rowOff>114300</xdr:rowOff>
    </xdr:to>
    <xdr:sp macro="" textlink="">
      <xdr:nvSpPr>
        <xdr:cNvPr id="2205" name="Arrow: Down 2204">
          <a:extLst>
            <a:ext uri="{FF2B5EF4-FFF2-40B4-BE49-F238E27FC236}">
              <a16:creationId xmlns:a16="http://schemas.microsoft.com/office/drawing/2014/main" id="{9D2BDB8A-D00A-4062-8400-ACF56CDAC13B}"/>
            </a:ext>
          </a:extLst>
        </xdr:cNvPr>
        <xdr:cNvSpPr/>
      </xdr:nvSpPr>
      <xdr:spPr>
        <a:xfrm rot="10800000">
          <a:off x="9715500" y="5258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288</xdr:row>
      <xdr:rowOff>0</xdr:rowOff>
    </xdr:from>
    <xdr:to>
      <xdr:col>71</xdr:col>
      <xdr:colOff>83820</xdr:colOff>
      <xdr:row>288</xdr:row>
      <xdr:rowOff>114300</xdr:rowOff>
    </xdr:to>
    <xdr:sp macro="" textlink="">
      <xdr:nvSpPr>
        <xdr:cNvPr id="2206" name="Arrow: Down 2205">
          <a:extLst>
            <a:ext uri="{FF2B5EF4-FFF2-40B4-BE49-F238E27FC236}">
              <a16:creationId xmlns:a16="http://schemas.microsoft.com/office/drawing/2014/main" id="{19C4EB1E-07A0-4AF9-ABE9-9E5105558C84}"/>
            </a:ext>
          </a:extLst>
        </xdr:cNvPr>
        <xdr:cNvSpPr/>
      </xdr:nvSpPr>
      <xdr:spPr>
        <a:xfrm rot="10800000">
          <a:off x="19560540" y="5258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288</xdr:row>
      <xdr:rowOff>0</xdr:rowOff>
    </xdr:from>
    <xdr:to>
      <xdr:col>45</xdr:col>
      <xdr:colOff>83820</xdr:colOff>
      <xdr:row>288</xdr:row>
      <xdr:rowOff>114300</xdr:rowOff>
    </xdr:to>
    <xdr:sp macro="" textlink="">
      <xdr:nvSpPr>
        <xdr:cNvPr id="2208" name="Arrow: Down 2207">
          <a:extLst>
            <a:ext uri="{FF2B5EF4-FFF2-40B4-BE49-F238E27FC236}">
              <a16:creationId xmlns:a16="http://schemas.microsoft.com/office/drawing/2014/main" id="{74622F58-E2EE-4798-A683-068105C7F33B}"/>
            </a:ext>
          </a:extLst>
        </xdr:cNvPr>
        <xdr:cNvSpPr/>
      </xdr:nvSpPr>
      <xdr:spPr>
        <a:xfrm rot="10800000">
          <a:off x="11574780" y="5258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288</xdr:row>
      <xdr:rowOff>0</xdr:rowOff>
    </xdr:from>
    <xdr:to>
      <xdr:col>24</xdr:col>
      <xdr:colOff>83820</xdr:colOff>
      <xdr:row>288</xdr:row>
      <xdr:rowOff>114300</xdr:rowOff>
    </xdr:to>
    <xdr:sp macro="" textlink="">
      <xdr:nvSpPr>
        <xdr:cNvPr id="2214" name="Arrow: Down 2213">
          <a:extLst>
            <a:ext uri="{FF2B5EF4-FFF2-40B4-BE49-F238E27FC236}">
              <a16:creationId xmlns:a16="http://schemas.microsoft.com/office/drawing/2014/main" id="{BA039032-C030-4CB2-BCF3-B96DE8F4F8B4}"/>
            </a:ext>
          </a:extLst>
        </xdr:cNvPr>
        <xdr:cNvSpPr/>
      </xdr:nvSpPr>
      <xdr:spPr>
        <a:xfrm>
          <a:off x="655320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288</xdr:row>
      <xdr:rowOff>0</xdr:rowOff>
    </xdr:from>
    <xdr:to>
      <xdr:col>11</xdr:col>
      <xdr:colOff>83820</xdr:colOff>
      <xdr:row>288</xdr:row>
      <xdr:rowOff>114300</xdr:rowOff>
    </xdr:to>
    <xdr:sp macro="" textlink="">
      <xdr:nvSpPr>
        <xdr:cNvPr id="2215" name="Arrow: Down 2214">
          <a:extLst>
            <a:ext uri="{FF2B5EF4-FFF2-40B4-BE49-F238E27FC236}">
              <a16:creationId xmlns:a16="http://schemas.microsoft.com/office/drawing/2014/main" id="{6000E190-2D95-476A-A977-EE8A5C127CF2}"/>
            </a:ext>
          </a:extLst>
        </xdr:cNvPr>
        <xdr:cNvSpPr/>
      </xdr:nvSpPr>
      <xdr:spPr>
        <a:xfrm>
          <a:off x="369570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288</xdr:row>
      <xdr:rowOff>0</xdr:rowOff>
    </xdr:from>
    <xdr:to>
      <xdr:col>5</xdr:col>
      <xdr:colOff>83820</xdr:colOff>
      <xdr:row>288</xdr:row>
      <xdr:rowOff>114300</xdr:rowOff>
    </xdr:to>
    <xdr:sp macro="" textlink="">
      <xdr:nvSpPr>
        <xdr:cNvPr id="2216" name="Arrow: Down 2215">
          <a:extLst>
            <a:ext uri="{FF2B5EF4-FFF2-40B4-BE49-F238E27FC236}">
              <a16:creationId xmlns:a16="http://schemas.microsoft.com/office/drawing/2014/main" id="{E3B08E26-E1D5-4515-9869-3597DAC79F64}"/>
            </a:ext>
          </a:extLst>
        </xdr:cNvPr>
        <xdr:cNvSpPr/>
      </xdr:nvSpPr>
      <xdr:spPr>
        <a:xfrm>
          <a:off x="192786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288</xdr:row>
      <xdr:rowOff>0</xdr:rowOff>
    </xdr:from>
    <xdr:to>
      <xdr:col>60</xdr:col>
      <xdr:colOff>83820</xdr:colOff>
      <xdr:row>288</xdr:row>
      <xdr:rowOff>114300</xdr:rowOff>
    </xdr:to>
    <xdr:sp macro="" textlink="">
      <xdr:nvSpPr>
        <xdr:cNvPr id="2217" name="Arrow: Down 2216">
          <a:extLst>
            <a:ext uri="{FF2B5EF4-FFF2-40B4-BE49-F238E27FC236}">
              <a16:creationId xmlns:a16="http://schemas.microsoft.com/office/drawing/2014/main" id="{145DEED2-ED91-412F-BA71-848D24D33076}"/>
            </a:ext>
          </a:extLst>
        </xdr:cNvPr>
        <xdr:cNvSpPr/>
      </xdr:nvSpPr>
      <xdr:spPr>
        <a:xfrm>
          <a:off x="1712976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289</xdr:row>
      <xdr:rowOff>0</xdr:rowOff>
    </xdr:from>
    <xdr:to>
      <xdr:col>71</xdr:col>
      <xdr:colOff>83820</xdr:colOff>
      <xdr:row>289</xdr:row>
      <xdr:rowOff>114300</xdr:rowOff>
    </xdr:to>
    <xdr:sp macro="" textlink="">
      <xdr:nvSpPr>
        <xdr:cNvPr id="2219" name="Arrow: Down 2218">
          <a:extLst>
            <a:ext uri="{FF2B5EF4-FFF2-40B4-BE49-F238E27FC236}">
              <a16:creationId xmlns:a16="http://schemas.microsoft.com/office/drawing/2014/main" id="{556465CE-5E62-47C0-B8A1-BB0B507E00D0}"/>
            </a:ext>
          </a:extLst>
        </xdr:cNvPr>
        <xdr:cNvSpPr/>
      </xdr:nvSpPr>
      <xdr:spPr>
        <a:xfrm rot="10800000">
          <a:off x="19560540" y="5276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289</xdr:row>
      <xdr:rowOff>0</xdr:rowOff>
    </xdr:from>
    <xdr:to>
      <xdr:col>45</xdr:col>
      <xdr:colOff>83820</xdr:colOff>
      <xdr:row>289</xdr:row>
      <xdr:rowOff>114300</xdr:rowOff>
    </xdr:to>
    <xdr:sp macro="" textlink="">
      <xdr:nvSpPr>
        <xdr:cNvPr id="2220" name="Arrow: Down 2219">
          <a:extLst>
            <a:ext uri="{FF2B5EF4-FFF2-40B4-BE49-F238E27FC236}">
              <a16:creationId xmlns:a16="http://schemas.microsoft.com/office/drawing/2014/main" id="{8ABC186F-7A55-48D3-9AC9-93D4E8A28DF9}"/>
            </a:ext>
          </a:extLst>
        </xdr:cNvPr>
        <xdr:cNvSpPr/>
      </xdr:nvSpPr>
      <xdr:spPr>
        <a:xfrm rot="10800000">
          <a:off x="1157478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289</xdr:row>
      <xdr:rowOff>0</xdr:rowOff>
    </xdr:from>
    <xdr:to>
      <xdr:col>24</xdr:col>
      <xdr:colOff>83820</xdr:colOff>
      <xdr:row>289</xdr:row>
      <xdr:rowOff>114300</xdr:rowOff>
    </xdr:to>
    <xdr:sp macro="" textlink="">
      <xdr:nvSpPr>
        <xdr:cNvPr id="2221" name="Arrow: Down 2220">
          <a:extLst>
            <a:ext uri="{FF2B5EF4-FFF2-40B4-BE49-F238E27FC236}">
              <a16:creationId xmlns:a16="http://schemas.microsoft.com/office/drawing/2014/main" id="{A6E35819-EC08-48BB-8390-7B31FA4CDCAE}"/>
            </a:ext>
          </a:extLst>
        </xdr:cNvPr>
        <xdr:cNvSpPr/>
      </xdr:nvSpPr>
      <xdr:spPr>
        <a:xfrm>
          <a:off x="655320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289</xdr:row>
      <xdr:rowOff>0</xdr:rowOff>
    </xdr:from>
    <xdr:to>
      <xdr:col>11</xdr:col>
      <xdr:colOff>83820</xdr:colOff>
      <xdr:row>289</xdr:row>
      <xdr:rowOff>114300</xdr:rowOff>
    </xdr:to>
    <xdr:sp macro="" textlink="">
      <xdr:nvSpPr>
        <xdr:cNvPr id="2222" name="Arrow: Down 2221">
          <a:extLst>
            <a:ext uri="{FF2B5EF4-FFF2-40B4-BE49-F238E27FC236}">
              <a16:creationId xmlns:a16="http://schemas.microsoft.com/office/drawing/2014/main" id="{E940A475-6FE5-472F-9DB9-CF1F71C6E61A}"/>
            </a:ext>
          </a:extLst>
        </xdr:cNvPr>
        <xdr:cNvSpPr/>
      </xdr:nvSpPr>
      <xdr:spPr>
        <a:xfrm>
          <a:off x="369570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289</xdr:row>
      <xdr:rowOff>0</xdr:rowOff>
    </xdr:from>
    <xdr:to>
      <xdr:col>5</xdr:col>
      <xdr:colOff>83820</xdr:colOff>
      <xdr:row>289</xdr:row>
      <xdr:rowOff>114300</xdr:rowOff>
    </xdr:to>
    <xdr:sp macro="" textlink="">
      <xdr:nvSpPr>
        <xdr:cNvPr id="2223" name="Arrow: Down 2222">
          <a:extLst>
            <a:ext uri="{FF2B5EF4-FFF2-40B4-BE49-F238E27FC236}">
              <a16:creationId xmlns:a16="http://schemas.microsoft.com/office/drawing/2014/main" id="{63C9A977-91F0-48C6-92E1-D7B15717C6F1}"/>
            </a:ext>
          </a:extLst>
        </xdr:cNvPr>
        <xdr:cNvSpPr/>
      </xdr:nvSpPr>
      <xdr:spPr>
        <a:xfrm>
          <a:off x="192786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289</xdr:row>
      <xdr:rowOff>0</xdr:rowOff>
    </xdr:from>
    <xdr:to>
      <xdr:col>60</xdr:col>
      <xdr:colOff>83820</xdr:colOff>
      <xdr:row>289</xdr:row>
      <xdr:rowOff>114300</xdr:rowOff>
    </xdr:to>
    <xdr:sp macro="" textlink="">
      <xdr:nvSpPr>
        <xdr:cNvPr id="2224" name="Arrow: Down 2223">
          <a:extLst>
            <a:ext uri="{FF2B5EF4-FFF2-40B4-BE49-F238E27FC236}">
              <a16:creationId xmlns:a16="http://schemas.microsoft.com/office/drawing/2014/main" id="{FCA36FC7-1020-4567-9543-9F4DCB18C1D3}"/>
            </a:ext>
          </a:extLst>
        </xdr:cNvPr>
        <xdr:cNvSpPr/>
      </xdr:nvSpPr>
      <xdr:spPr>
        <a:xfrm>
          <a:off x="17129760" y="5276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289</xdr:row>
      <xdr:rowOff>0</xdr:rowOff>
    </xdr:from>
    <xdr:to>
      <xdr:col>39</xdr:col>
      <xdr:colOff>83820</xdr:colOff>
      <xdr:row>289</xdr:row>
      <xdr:rowOff>114300</xdr:rowOff>
    </xdr:to>
    <xdr:sp macro="" textlink="">
      <xdr:nvSpPr>
        <xdr:cNvPr id="2227" name="Arrow: Down 2226">
          <a:extLst>
            <a:ext uri="{FF2B5EF4-FFF2-40B4-BE49-F238E27FC236}">
              <a16:creationId xmlns:a16="http://schemas.microsoft.com/office/drawing/2014/main" id="{048F0F7F-7399-4CE7-A174-303519B7A911}"/>
            </a:ext>
          </a:extLst>
        </xdr:cNvPr>
        <xdr:cNvSpPr/>
      </xdr:nvSpPr>
      <xdr:spPr>
        <a:xfrm>
          <a:off x="9715500" y="5295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288</xdr:row>
      <xdr:rowOff>0</xdr:rowOff>
    </xdr:from>
    <xdr:to>
      <xdr:col>39</xdr:col>
      <xdr:colOff>83820</xdr:colOff>
      <xdr:row>288</xdr:row>
      <xdr:rowOff>114300</xdr:rowOff>
    </xdr:to>
    <xdr:sp macro="" textlink="">
      <xdr:nvSpPr>
        <xdr:cNvPr id="2228" name="Arrow: Down 2227">
          <a:extLst>
            <a:ext uri="{FF2B5EF4-FFF2-40B4-BE49-F238E27FC236}">
              <a16:creationId xmlns:a16="http://schemas.microsoft.com/office/drawing/2014/main" id="{CDBC08D9-0DD1-4B92-BCDE-488674348625}"/>
            </a:ext>
          </a:extLst>
        </xdr:cNvPr>
        <xdr:cNvSpPr/>
      </xdr:nvSpPr>
      <xdr:spPr>
        <a:xfrm>
          <a:off x="9715500" y="5276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290</xdr:row>
      <xdr:rowOff>0</xdr:rowOff>
    </xdr:from>
    <xdr:to>
      <xdr:col>45</xdr:col>
      <xdr:colOff>83820</xdr:colOff>
      <xdr:row>290</xdr:row>
      <xdr:rowOff>114300</xdr:rowOff>
    </xdr:to>
    <xdr:sp macro="" textlink="">
      <xdr:nvSpPr>
        <xdr:cNvPr id="2066" name="Arrow: Down 2065">
          <a:extLst>
            <a:ext uri="{FF2B5EF4-FFF2-40B4-BE49-F238E27FC236}">
              <a16:creationId xmlns:a16="http://schemas.microsoft.com/office/drawing/2014/main" id="{2F4DEB2C-95BB-4A74-A88F-B84EBA6D66EF}"/>
            </a:ext>
          </a:extLst>
        </xdr:cNvPr>
        <xdr:cNvSpPr/>
      </xdr:nvSpPr>
      <xdr:spPr>
        <a:xfrm rot="10800000">
          <a:off x="11574780" y="5295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290</xdr:row>
      <xdr:rowOff>0</xdr:rowOff>
    </xdr:from>
    <xdr:to>
      <xdr:col>60</xdr:col>
      <xdr:colOff>83820</xdr:colOff>
      <xdr:row>290</xdr:row>
      <xdr:rowOff>114300</xdr:rowOff>
    </xdr:to>
    <xdr:sp macro="" textlink="">
      <xdr:nvSpPr>
        <xdr:cNvPr id="2112" name="Arrow: Down 2111">
          <a:extLst>
            <a:ext uri="{FF2B5EF4-FFF2-40B4-BE49-F238E27FC236}">
              <a16:creationId xmlns:a16="http://schemas.microsoft.com/office/drawing/2014/main" id="{6C5CA3A7-6581-41F3-97E3-B6D61A36C58B}"/>
            </a:ext>
          </a:extLst>
        </xdr:cNvPr>
        <xdr:cNvSpPr/>
      </xdr:nvSpPr>
      <xdr:spPr>
        <a:xfrm>
          <a:off x="17129760" y="5295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290</xdr:row>
      <xdr:rowOff>0</xdr:rowOff>
    </xdr:from>
    <xdr:to>
      <xdr:col>5</xdr:col>
      <xdr:colOff>83820</xdr:colOff>
      <xdr:row>290</xdr:row>
      <xdr:rowOff>114300</xdr:rowOff>
    </xdr:to>
    <xdr:sp macro="" textlink="">
      <xdr:nvSpPr>
        <xdr:cNvPr id="2141" name="Arrow: Down 2140">
          <a:extLst>
            <a:ext uri="{FF2B5EF4-FFF2-40B4-BE49-F238E27FC236}">
              <a16:creationId xmlns:a16="http://schemas.microsoft.com/office/drawing/2014/main" id="{61770223-6A67-449A-8678-B6BC287F048C}"/>
            </a:ext>
          </a:extLst>
        </xdr:cNvPr>
        <xdr:cNvSpPr/>
      </xdr:nvSpPr>
      <xdr:spPr>
        <a:xfrm rot="10800000">
          <a:off x="1927860" y="5313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290</xdr:row>
      <xdr:rowOff>0</xdr:rowOff>
    </xdr:from>
    <xdr:to>
      <xdr:col>11</xdr:col>
      <xdr:colOff>83820</xdr:colOff>
      <xdr:row>290</xdr:row>
      <xdr:rowOff>114300</xdr:rowOff>
    </xdr:to>
    <xdr:sp macro="" textlink="">
      <xdr:nvSpPr>
        <xdr:cNvPr id="2142" name="Arrow: Down 2141">
          <a:extLst>
            <a:ext uri="{FF2B5EF4-FFF2-40B4-BE49-F238E27FC236}">
              <a16:creationId xmlns:a16="http://schemas.microsoft.com/office/drawing/2014/main" id="{5B86FD29-D09C-4FBB-A349-5B6BBEA45BEB}"/>
            </a:ext>
          </a:extLst>
        </xdr:cNvPr>
        <xdr:cNvSpPr/>
      </xdr:nvSpPr>
      <xdr:spPr>
        <a:xfrm rot="10800000">
          <a:off x="3695700" y="5313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290</xdr:row>
      <xdr:rowOff>0</xdr:rowOff>
    </xdr:from>
    <xdr:to>
      <xdr:col>24</xdr:col>
      <xdr:colOff>83820</xdr:colOff>
      <xdr:row>290</xdr:row>
      <xdr:rowOff>114300</xdr:rowOff>
    </xdr:to>
    <xdr:sp macro="" textlink="">
      <xdr:nvSpPr>
        <xdr:cNvPr id="2143" name="Arrow: Down 2142">
          <a:extLst>
            <a:ext uri="{FF2B5EF4-FFF2-40B4-BE49-F238E27FC236}">
              <a16:creationId xmlns:a16="http://schemas.microsoft.com/office/drawing/2014/main" id="{F9027708-6A53-4F33-AB4A-55FE5B510431}"/>
            </a:ext>
          </a:extLst>
        </xdr:cNvPr>
        <xdr:cNvSpPr/>
      </xdr:nvSpPr>
      <xdr:spPr>
        <a:xfrm rot="10800000">
          <a:off x="6553200" y="5313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290</xdr:row>
      <xdr:rowOff>0</xdr:rowOff>
    </xdr:from>
    <xdr:to>
      <xdr:col>39</xdr:col>
      <xdr:colOff>83820</xdr:colOff>
      <xdr:row>290</xdr:row>
      <xdr:rowOff>114300</xdr:rowOff>
    </xdr:to>
    <xdr:sp macro="" textlink="">
      <xdr:nvSpPr>
        <xdr:cNvPr id="2144" name="Arrow: Down 2143">
          <a:extLst>
            <a:ext uri="{FF2B5EF4-FFF2-40B4-BE49-F238E27FC236}">
              <a16:creationId xmlns:a16="http://schemas.microsoft.com/office/drawing/2014/main" id="{532E209D-3B00-4654-9E87-389724F17096}"/>
            </a:ext>
          </a:extLst>
        </xdr:cNvPr>
        <xdr:cNvSpPr/>
      </xdr:nvSpPr>
      <xdr:spPr>
        <a:xfrm rot="10800000">
          <a:off x="9715500" y="5313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290</xdr:row>
      <xdr:rowOff>0</xdr:rowOff>
    </xdr:from>
    <xdr:to>
      <xdr:col>71</xdr:col>
      <xdr:colOff>83820</xdr:colOff>
      <xdr:row>290</xdr:row>
      <xdr:rowOff>114300</xdr:rowOff>
    </xdr:to>
    <xdr:sp macro="" textlink="">
      <xdr:nvSpPr>
        <xdr:cNvPr id="2145" name="Arrow: Down 2144">
          <a:extLst>
            <a:ext uri="{FF2B5EF4-FFF2-40B4-BE49-F238E27FC236}">
              <a16:creationId xmlns:a16="http://schemas.microsoft.com/office/drawing/2014/main" id="{9365194B-7764-4408-903F-15AC222459D1}"/>
            </a:ext>
          </a:extLst>
        </xdr:cNvPr>
        <xdr:cNvSpPr/>
      </xdr:nvSpPr>
      <xdr:spPr>
        <a:xfrm>
          <a:off x="19560540" y="5313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291</xdr:row>
      <xdr:rowOff>0</xdr:rowOff>
    </xdr:from>
    <xdr:to>
      <xdr:col>45</xdr:col>
      <xdr:colOff>83820</xdr:colOff>
      <xdr:row>291</xdr:row>
      <xdr:rowOff>114300</xdr:rowOff>
    </xdr:to>
    <xdr:sp macro="" textlink="">
      <xdr:nvSpPr>
        <xdr:cNvPr id="2146" name="Arrow: Down 2145">
          <a:extLst>
            <a:ext uri="{FF2B5EF4-FFF2-40B4-BE49-F238E27FC236}">
              <a16:creationId xmlns:a16="http://schemas.microsoft.com/office/drawing/2014/main" id="{99A972FB-2BA1-4F5C-B4B7-10EE2EBC6B02}"/>
            </a:ext>
          </a:extLst>
        </xdr:cNvPr>
        <xdr:cNvSpPr/>
      </xdr:nvSpPr>
      <xdr:spPr>
        <a:xfrm rot="10800000">
          <a:off x="11574780" y="5313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291</xdr:row>
      <xdr:rowOff>0</xdr:rowOff>
    </xdr:from>
    <xdr:to>
      <xdr:col>71</xdr:col>
      <xdr:colOff>83820</xdr:colOff>
      <xdr:row>291</xdr:row>
      <xdr:rowOff>114300</xdr:rowOff>
    </xdr:to>
    <xdr:sp macro="" textlink="">
      <xdr:nvSpPr>
        <xdr:cNvPr id="2153" name="Arrow: Down 2152">
          <a:extLst>
            <a:ext uri="{FF2B5EF4-FFF2-40B4-BE49-F238E27FC236}">
              <a16:creationId xmlns:a16="http://schemas.microsoft.com/office/drawing/2014/main" id="{7BBC54F4-AC56-4FBB-A071-6F1230EAC7DB}"/>
            </a:ext>
          </a:extLst>
        </xdr:cNvPr>
        <xdr:cNvSpPr/>
      </xdr:nvSpPr>
      <xdr:spPr>
        <a:xfrm rot="10800000">
          <a:off x="19560540" y="5331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291</xdr:row>
      <xdr:rowOff>0</xdr:rowOff>
    </xdr:from>
    <xdr:to>
      <xdr:col>60</xdr:col>
      <xdr:colOff>83820</xdr:colOff>
      <xdr:row>291</xdr:row>
      <xdr:rowOff>114300</xdr:rowOff>
    </xdr:to>
    <xdr:sp macro="" textlink="">
      <xdr:nvSpPr>
        <xdr:cNvPr id="2154" name="Arrow: Down 2153">
          <a:extLst>
            <a:ext uri="{FF2B5EF4-FFF2-40B4-BE49-F238E27FC236}">
              <a16:creationId xmlns:a16="http://schemas.microsoft.com/office/drawing/2014/main" id="{0ADF5C96-0924-42E2-ABF7-9334812D9BD6}"/>
            </a:ext>
          </a:extLst>
        </xdr:cNvPr>
        <xdr:cNvSpPr/>
      </xdr:nvSpPr>
      <xdr:spPr>
        <a:xfrm rot="10800000">
          <a:off x="17129760" y="5331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291</xdr:row>
      <xdr:rowOff>0</xdr:rowOff>
    </xdr:from>
    <xdr:to>
      <xdr:col>39</xdr:col>
      <xdr:colOff>83820</xdr:colOff>
      <xdr:row>291</xdr:row>
      <xdr:rowOff>114300</xdr:rowOff>
    </xdr:to>
    <xdr:sp macro="" textlink="">
      <xdr:nvSpPr>
        <xdr:cNvPr id="2155" name="Arrow: Down 2154">
          <a:extLst>
            <a:ext uri="{FF2B5EF4-FFF2-40B4-BE49-F238E27FC236}">
              <a16:creationId xmlns:a16="http://schemas.microsoft.com/office/drawing/2014/main" id="{CBEAEC0E-F191-4751-BAE8-49845F7D7158}"/>
            </a:ext>
          </a:extLst>
        </xdr:cNvPr>
        <xdr:cNvSpPr/>
      </xdr:nvSpPr>
      <xdr:spPr>
        <a:xfrm>
          <a:off x="9715500" y="5331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291</xdr:row>
      <xdr:rowOff>0</xdr:rowOff>
    </xdr:from>
    <xdr:to>
      <xdr:col>24</xdr:col>
      <xdr:colOff>83820</xdr:colOff>
      <xdr:row>291</xdr:row>
      <xdr:rowOff>114300</xdr:rowOff>
    </xdr:to>
    <xdr:sp macro="" textlink="">
      <xdr:nvSpPr>
        <xdr:cNvPr id="2158" name="Arrow: Down 2157">
          <a:extLst>
            <a:ext uri="{FF2B5EF4-FFF2-40B4-BE49-F238E27FC236}">
              <a16:creationId xmlns:a16="http://schemas.microsoft.com/office/drawing/2014/main" id="{1F1D1A37-3B66-4CF3-B1A1-D7E953E6A0F7}"/>
            </a:ext>
          </a:extLst>
        </xdr:cNvPr>
        <xdr:cNvSpPr/>
      </xdr:nvSpPr>
      <xdr:spPr>
        <a:xfrm>
          <a:off x="6553200" y="5331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291</xdr:row>
      <xdr:rowOff>0</xdr:rowOff>
    </xdr:from>
    <xdr:to>
      <xdr:col>5</xdr:col>
      <xdr:colOff>83820</xdr:colOff>
      <xdr:row>291</xdr:row>
      <xdr:rowOff>114300</xdr:rowOff>
    </xdr:to>
    <xdr:sp macro="" textlink="">
      <xdr:nvSpPr>
        <xdr:cNvPr id="2162" name="Arrow: Down 2161">
          <a:extLst>
            <a:ext uri="{FF2B5EF4-FFF2-40B4-BE49-F238E27FC236}">
              <a16:creationId xmlns:a16="http://schemas.microsoft.com/office/drawing/2014/main" id="{2056776E-FE99-455C-ADC8-2E21CBBD6E8E}"/>
            </a:ext>
          </a:extLst>
        </xdr:cNvPr>
        <xdr:cNvSpPr/>
      </xdr:nvSpPr>
      <xdr:spPr>
        <a:xfrm>
          <a:off x="1927860" y="5331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291</xdr:row>
      <xdr:rowOff>0</xdr:rowOff>
    </xdr:from>
    <xdr:to>
      <xdr:col>11</xdr:col>
      <xdr:colOff>83820</xdr:colOff>
      <xdr:row>291</xdr:row>
      <xdr:rowOff>114300</xdr:rowOff>
    </xdr:to>
    <xdr:sp macro="" textlink="">
      <xdr:nvSpPr>
        <xdr:cNvPr id="2163" name="Arrow: Down 2162">
          <a:extLst>
            <a:ext uri="{FF2B5EF4-FFF2-40B4-BE49-F238E27FC236}">
              <a16:creationId xmlns:a16="http://schemas.microsoft.com/office/drawing/2014/main" id="{DE28CCD9-A19D-482D-B72F-BC3E8F7E48B1}"/>
            </a:ext>
          </a:extLst>
        </xdr:cNvPr>
        <xdr:cNvSpPr/>
      </xdr:nvSpPr>
      <xdr:spPr>
        <a:xfrm>
          <a:off x="3695700" y="5331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0.22538</cdr:x>
      <cdr:y>0.21395</cdr:y>
    </cdr:from>
    <cdr:to>
      <cdr:x>0.47579</cdr:x>
      <cdr:y>0.62093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238F2D0-5CC7-44BA-808D-8EEC52658841}"/>
            </a:ext>
          </a:extLst>
        </cdr:cNvPr>
        <cdr:cNvCxnSpPr/>
      </cdr:nvCxnSpPr>
      <cdr:spPr>
        <a:xfrm xmlns:a="http://schemas.openxmlformats.org/drawingml/2006/main">
          <a:off x="1028700" y="701040"/>
          <a:ext cx="1143000" cy="133350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0.21202</cdr:x>
      <cdr:y>0.54651</cdr:y>
    </cdr:from>
    <cdr:to>
      <cdr:x>0.93322</cdr:x>
      <cdr:y>0.54884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9AECD84D-B6B4-481F-8328-4743898E587F}"/>
            </a:ext>
          </a:extLst>
        </cdr:cNvPr>
        <cdr:cNvCxnSpPr/>
      </cdr:nvCxnSpPr>
      <cdr:spPr>
        <a:xfrm xmlns:a="http://schemas.openxmlformats.org/drawingml/2006/main">
          <a:off x="967740" y="1790700"/>
          <a:ext cx="3291840" cy="7620"/>
        </a:xfrm>
        <a:prstGeom xmlns:a="http://schemas.openxmlformats.org/drawingml/2006/main" prst="straightConnector1">
          <a:avLst/>
        </a:prstGeom>
        <a:ln xmlns:a="http://schemas.openxmlformats.org/drawingml/2006/main" w="381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204</xdr:row>
      <xdr:rowOff>0</xdr:rowOff>
    </xdr:from>
    <xdr:to>
      <xdr:col>14</xdr:col>
      <xdr:colOff>83820</xdr:colOff>
      <xdr:row>204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C2267D1D-29CF-4B1B-946D-E99A408BC44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83820</xdr:colOff>
      <xdr:row>205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6196483-CD6A-4247-B4E0-D8F36381C69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14</xdr:col>
      <xdr:colOff>83820</xdr:colOff>
      <xdr:row>206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A5253AA0-B2E7-4459-A92C-81B02314A181}"/>
            </a:ext>
          </a:extLst>
        </xdr:cNvPr>
        <xdr:cNvSpPr/>
      </xdr:nvSpPr>
      <xdr:spPr>
        <a:xfrm rot="10800000">
          <a:off x="5158740" y="3768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207</xdr:row>
      <xdr:rowOff>0</xdr:rowOff>
    </xdr:from>
    <xdr:to>
      <xdr:col>14</xdr:col>
      <xdr:colOff>83820</xdr:colOff>
      <xdr:row>207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74F487D1-6B2C-40EC-BAFD-A2398CDBDA26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208</xdr:row>
      <xdr:rowOff>0</xdr:rowOff>
    </xdr:from>
    <xdr:to>
      <xdr:col>14</xdr:col>
      <xdr:colOff>83820</xdr:colOff>
      <xdr:row>208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DD8D356-D63C-497A-954D-54D7CFA9DCFD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209</xdr:row>
      <xdr:rowOff>0</xdr:rowOff>
    </xdr:from>
    <xdr:to>
      <xdr:col>14</xdr:col>
      <xdr:colOff>83820</xdr:colOff>
      <xdr:row>209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BE15D06-9ED4-458D-B8E6-89F7AC4C99F0}"/>
            </a:ext>
          </a:extLst>
        </xdr:cNvPr>
        <xdr:cNvSpPr/>
      </xdr:nvSpPr>
      <xdr:spPr>
        <a:xfrm>
          <a:off x="5158740" y="38420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210</xdr:row>
      <xdr:rowOff>0</xdr:rowOff>
    </xdr:from>
    <xdr:to>
      <xdr:col>14</xdr:col>
      <xdr:colOff>83820</xdr:colOff>
      <xdr:row>210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16ADE023-130F-446E-A2D3-FFC812356961}"/>
            </a:ext>
          </a:extLst>
        </xdr:cNvPr>
        <xdr:cNvSpPr/>
      </xdr:nvSpPr>
      <xdr:spPr>
        <a:xfrm rot="10800000">
          <a:off x="5158740" y="3860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211</xdr:row>
      <xdr:rowOff>0</xdr:rowOff>
    </xdr:from>
    <xdr:to>
      <xdr:col>14</xdr:col>
      <xdr:colOff>83820</xdr:colOff>
      <xdr:row>211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37C51709-245A-4485-A2E2-8B145AAB9212}"/>
            </a:ext>
          </a:extLst>
        </xdr:cNvPr>
        <xdr:cNvSpPr/>
      </xdr:nvSpPr>
      <xdr:spPr>
        <a:xfrm>
          <a:off x="5158740" y="3878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212</xdr:row>
      <xdr:rowOff>0</xdr:rowOff>
    </xdr:from>
    <xdr:to>
      <xdr:col>14</xdr:col>
      <xdr:colOff>83820</xdr:colOff>
      <xdr:row>212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9B4E6632-65E7-4BB8-A523-75A71C719CDF}"/>
            </a:ext>
          </a:extLst>
        </xdr:cNvPr>
        <xdr:cNvSpPr/>
      </xdr:nvSpPr>
      <xdr:spPr>
        <a:xfrm rot="10800000">
          <a:off x="5158740" y="389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213</xdr:row>
      <xdr:rowOff>0</xdr:rowOff>
    </xdr:from>
    <xdr:to>
      <xdr:col>14</xdr:col>
      <xdr:colOff>83820</xdr:colOff>
      <xdr:row>213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F360C447-9969-4AB2-B2E5-10B0EF20E9E2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214</xdr:row>
      <xdr:rowOff>0</xdr:rowOff>
    </xdr:from>
    <xdr:to>
      <xdr:col>14</xdr:col>
      <xdr:colOff>83820</xdr:colOff>
      <xdr:row>214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131BC8CC-7722-4CAC-A266-683C1F1AC160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215</xdr:row>
      <xdr:rowOff>0</xdr:rowOff>
    </xdr:from>
    <xdr:to>
      <xdr:col>14</xdr:col>
      <xdr:colOff>83820</xdr:colOff>
      <xdr:row>215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0EE1B940-FE09-4B5F-808C-D91D33EB89F6}"/>
            </a:ext>
          </a:extLst>
        </xdr:cNvPr>
        <xdr:cNvSpPr/>
      </xdr:nvSpPr>
      <xdr:spPr>
        <a:xfrm rot="10800000">
          <a:off x="5158740" y="39517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216</xdr:row>
      <xdr:rowOff>0</xdr:rowOff>
    </xdr:from>
    <xdr:to>
      <xdr:col>14</xdr:col>
      <xdr:colOff>83820</xdr:colOff>
      <xdr:row>216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918C598B-9B56-4AFE-9D77-C94D01A65E39}"/>
            </a:ext>
          </a:extLst>
        </xdr:cNvPr>
        <xdr:cNvSpPr/>
      </xdr:nvSpPr>
      <xdr:spPr>
        <a:xfrm>
          <a:off x="5158740" y="39700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217</xdr:row>
      <xdr:rowOff>0</xdr:rowOff>
    </xdr:from>
    <xdr:to>
      <xdr:col>14</xdr:col>
      <xdr:colOff>83820</xdr:colOff>
      <xdr:row>217</xdr:row>
      <xdr:rowOff>114300</xdr:rowOff>
    </xdr:to>
    <xdr:sp macro="" textlink="">
      <xdr:nvSpPr>
        <xdr:cNvPr id="208" name="Arrow: Down 207">
          <a:extLst>
            <a:ext uri="{FF2B5EF4-FFF2-40B4-BE49-F238E27FC236}">
              <a16:creationId xmlns:a16="http://schemas.microsoft.com/office/drawing/2014/main" id="{4668D227-8C34-4F34-AC6C-40C16A56EB1C}"/>
            </a:ext>
          </a:extLst>
        </xdr:cNvPr>
        <xdr:cNvSpPr/>
      </xdr:nvSpPr>
      <xdr:spPr>
        <a:xfrm rot="10800000">
          <a:off x="5158740" y="3988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218</xdr:row>
      <xdr:rowOff>0</xdr:rowOff>
    </xdr:from>
    <xdr:to>
      <xdr:col>14</xdr:col>
      <xdr:colOff>83820</xdr:colOff>
      <xdr:row>218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6D25796C-E475-4635-B03D-0C4FDE26F93F}"/>
            </a:ext>
          </a:extLst>
        </xdr:cNvPr>
        <xdr:cNvSpPr/>
      </xdr:nvSpPr>
      <xdr:spPr>
        <a:xfrm>
          <a:off x="5158740" y="4006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219</xdr:row>
      <xdr:rowOff>0</xdr:rowOff>
    </xdr:from>
    <xdr:to>
      <xdr:col>14</xdr:col>
      <xdr:colOff>83820</xdr:colOff>
      <xdr:row>219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2CBB21F6-F786-4057-B51F-8129D5B5FB16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220</xdr:row>
      <xdr:rowOff>0</xdr:rowOff>
    </xdr:from>
    <xdr:to>
      <xdr:col>14</xdr:col>
      <xdr:colOff>83820</xdr:colOff>
      <xdr:row>220</xdr:row>
      <xdr:rowOff>114300</xdr:rowOff>
    </xdr:to>
    <xdr:sp macro="" textlink="">
      <xdr:nvSpPr>
        <xdr:cNvPr id="199" name="Arrow: Down 198">
          <a:extLst>
            <a:ext uri="{FF2B5EF4-FFF2-40B4-BE49-F238E27FC236}">
              <a16:creationId xmlns:a16="http://schemas.microsoft.com/office/drawing/2014/main" id="{3B583773-ED1D-4A76-AA38-18423ACB9E39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221</xdr:row>
      <xdr:rowOff>0</xdr:rowOff>
    </xdr:from>
    <xdr:to>
      <xdr:col>14</xdr:col>
      <xdr:colOff>83820</xdr:colOff>
      <xdr:row>221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2AA1A6AD-E233-46B3-9AD1-FE632D2D6F6B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222</xdr:row>
      <xdr:rowOff>0</xdr:rowOff>
    </xdr:from>
    <xdr:to>
      <xdr:col>14</xdr:col>
      <xdr:colOff>83820</xdr:colOff>
      <xdr:row>222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2D7C9EB-FA1A-448C-BA13-AC2EB066BF29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224</xdr:row>
      <xdr:rowOff>0</xdr:rowOff>
    </xdr:from>
    <xdr:to>
      <xdr:col>14</xdr:col>
      <xdr:colOff>83820</xdr:colOff>
      <xdr:row>224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0B7A3115-BF82-4F7A-9FD8-AD3697562216}"/>
            </a:ext>
          </a:extLst>
        </xdr:cNvPr>
        <xdr:cNvSpPr/>
      </xdr:nvSpPr>
      <xdr:spPr>
        <a:xfrm>
          <a:off x="5158740" y="1263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223</xdr:row>
      <xdr:rowOff>0</xdr:rowOff>
    </xdr:from>
    <xdr:to>
      <xdr:col>14</xdr:col>
      <xdr:colOff>83820</xdr:colOff>
      <xdr:row>223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BBA7A157-9A9C-4122-86FE-66F4FF5C76E4}"/>
            </a:ext>
          </a:extLst>
        </xdr:cNvPr>
        <xdr:cNvSpPr/>
      </xdr:nvSpPr>
      <xdr:spPr>
        <a:xfrm rot="10800000">
          <a:off x="51587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225</xdr:row>
      <xdr:rowOff>0</xdr:rowOff>
    </xdr:from>
    <xdr:to>
      <xdr:col>14</xdr:col>
      <xdr:colOff>83820</xdr:colOff>
      <xdr:row>225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AC4CA495-A0FC-46E5-A272-D962C93CB00A}"/>
            </a:ext>
          </a:extLst>
        </xdr:cNvPr>
        <xdr:cNvSpPr/>
      </xdr:nvSpPr>
      <xdr:spPr>
        <a:xfrm rot="10800000">
          <a:off x="5158740" y="1299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226</xdr:row>
      <xdr:rowOff>0</xdr:rowOff>
    </xdr:from>
    <xdr:to>
      <xdr:col>14</xdr:col>
      <xdr:colOff>83820</xdr:colOff>
      <xdr:row>226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0DD39BF2-9EDE-4503-9588-1D967E4F83F1}"/>
            </a:ext>
          </a:extLst>
        </xdr:cNvPr>
        <xdr:cNvSpPr/>
      </xdr:nvSpPr>
      <xdr:spPr>
        <a:xfrm>
          <a:off x="5158740" y="1318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227</xdr:row>
      <xdr:rowOff>0</xdr:rowOff>
    </xdr:from>
    <xdr:to>
      <xdr:col>14</xdr:col>
      <xdr:colOff>83820</xdr:colOff>
      <xdr:row>227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A7D2479F-DA08-4B21-B46B-27804ADB10BF}"/>
            </a:ext>
          </a:extLst>
        </xdr:cNvPr>
        <xdr:cNvSpPr/>
      </xdr:nvSpPr>
      <xdr:spPr>
        <a:xfrm rot="10800000">
          <a:off x="5158740" y="13365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228</xdr:row>
      <xdr:rowOff>0</xdr:rowOff>
    </xdr:from>
    <xdr:to>
      <xdr:col>14</xdr:col>
      <xdr:colOff>83820</xdr:colOff>
      <xdr:row>228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AD8AD310-C54C-41B9-9338-AB34DEFA2B5B}"/>
            </a:ext>
          </a:extLst>
        </xdr:cNvPr>
        <xdr:cNvSpPr/>
      </xdr:nvSpPr>
      <xdr:spPr>
        <a:xfrm rot="10800000">
          <a:off x="5158740" y="13365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229</xdr:row>
      <xdr:rowOff>0</xdr:rowOff>
    </xdr:from>
    <xdr:to>
      <xdr:col>14</xdr:col>
      <xdr:colOff>83820</xdr:colOff>
      <xdr:row>229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C9CCE925-35C6-456E-A3D9-A0CF1151D050}"/>
            </a:ext>
          </a:extLst>
        </xdr:cNvPr>
        <xdr:cNvSpPr/>
      </xdr:nvSpPr>
      <xdr:spPr>
        <a:xfrm>
          <a:off x="51587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230</xdr:row>
      <xdr:rowOff>0</xdr:rowOff>
    </xdr:from>
    <xdr:to>
      <xdr:col>14</xdr:col>
      <xdr:colOff>83820</xdr:colOff>
      <xdr:row>230</xdr:row>
      <xdr:rowOff>114300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EC2E0C68-F549-4F36-9109-7E75D3F44067}"/>
            </a:ext>
          </a:extLst>
        </xdr:cNvPr>
        <xdr:cNvSpPr/>
      </xdr:nvSpPr>
      <xdr:spPr>
        <a:xfrm rot="10800000">
          <a:off x="51587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231</xdr:row>
      <xdr:rowOff>0</xdr:rowOff>
    </xdr:from>
    <xdr:to>
      <xdr:col>14</xdr:col>
      <xdr:colOff>83820</xdr:colOff>
      <xdr:row>231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486B0B57-2B87-4118-992B-28082A241118}"/>
            </a:ext>
          </a:extLst>
        </xdr:cNvPr>
        <xdr:cNvSpPr/>
      </xdr:nvSpPr>
      <xdr:spPr>
        <a:xfrm>
          <a:off x="51587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232</xdr:row>
      <xdr:rowOff>0</xdr:rowOff>
    </xdr:from>
    <xdr:to>
      <xdr:col>14</xdr:col>
      <xdr:colOff>83820</xdr:colOff>
      <xdr:row>232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2D740A28-4412-41EC-8A4B-A18509FF7B3B}"/>
            </a:ext>
          </a:extLst>
        </xdr:cNvPr>
        <xdr:cNvSpPr/>
      </xdr:nvSpPr>
      <xdr:spPr>
        <a:xfrm>
          <a:off x="51587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233</xdr:row>
      <xdr:rowOff>0</xdr:rowOff>
    </xdr:from>
    <xdr:to>
      <xdr:col>14</xdr:col>
      <xdr:colOff>83820</xdr:colOff>
      <xdr:row>233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BB2C3F65-8B00-4AD7-B621-4D30DDFD9A40}"/>
            </a:ext>
          </a:extLst>
        </xdr:cNvPr>
        <xdr:cNvSpPr/>
      </xdr:nvSpPr>
      <xdr:spPr>
        <a:xfrm rot="10800000">
          <a:off x="5158740" y="14462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234</xdr:row>
      <xdr:rowOff>0</xdr:rowOff>
    </xdr:from>
    <xdr:to>
      <xdr:col>14</xdr:col>
      <xdr:colOff>83820</xdr:colOff>
      <xdr:row>234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7E3839FB-8BB4-4309-81D2-319C4A8C95BA}"/>
            </a:ext>
          </a:extLst>
        </xdr:cNvPr>
        <xdr:cNvSpPr/>
      </xdr:nvSpPr>
      <xdr:spPr>
        <a:xfrm>
          <a:off x="5158740" y="14645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235</xdr:row>
      <xdr:rowOff>0</xdr:rowOff>
    </xdr:from>
    <xdr:to>
      <xdr:col>14</xdr:col>
      <xdr:colOff>83820</xdr:colOff>
      <xdr:row>235</xdr:row>
      <xdr:rowOff>114300</xdr:rowOff>
    </xdr:to>
    <xdr:sp macro="" textlink="">
      <xdr:nvSpPr>
        <xdr:cNvPr id="236" name="Arrow: Down 235">
          <a:extLst>
            <a:ext uri="{FF2B5EF4-FFF2-40B4-BE49-F238E27FC236}">
              <a16:creationId xmlns:a16="http://schemas.microsoft.com/office/drawing/2014/main" id="{84D656F6-3A6C-4D84-A20A-386E61F7ACA9}"/>
            </a:ext>
          </a:extLst>
        </xdr:cNvPr>
        <xdr:cNvSpPr/>
      </xdr:nvSpPr>
      <xdr:spPr>
        <a:xfrm>
          <a:off x="5158740" y="14645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236</xdr:row>
      <xdr:rowOff>0</xdr:rowOff>
    </xdr:from>
    <xdr:to>
      <xdr:col>14</xdr:col>
      <xdr:colOff>83820</xdr:colOff>
      <xdr:row>236</xdr:row>
      <xdr:rowOff>114300</xdr:rowOff>
    </xdr:to>
    <xdr:sp macro="" textlink="">
      <xdr:nvSpPr>
        <xdr:cNvPr id="239" name="Arrow: Down 238">
          <a:extLst>
            <a:ext uri="{FF2B5EF4-FFF2-40B4-BE49-F238E27FC236}">
              <a16:creationId xmlns:a16="http://schemas.microsoft.com/office/drawing/2014/main" id="{14A2F36A-D9E0-4A97-8038-B4D42AF2B781}"/>
            </a:ext>
          </a:extLst>
        </xdr:cNvPr>
        <xdr:cNvSpPr/>
      </xdr:nvSpPr>
      <xdr:spPr>
        <a:xfrm rot="10800000">
          <a:off x="5158740" y="15011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237</xdr:row>
      <xdr:rowOff>0</xdr:rowOff>
    </xdr:from>
    <xdr:to>
      <xdr:col>14</xdr:col>
      <xdr:colOff>83820</xdr:colOff>
      <xdr:row>237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BBECCA2C-4A65-4D8F-AA24-AA3E2F201875}"/>
            </a:ext>
          </a:extLst>
        </xdr:cNvPr>
        <xdr:cNvSpPr/>
      </xdr:nvSpPr>
      <xdr:spPr>
        <a:xfrm rot="10800000">
          <a:off x="5158740" y="15194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238</xdr:row>
      <xdr:rowOff>0</xdr:rowOff>
    </xdr:from>
    <xdr:to>
      <xdr:col>14</xdr:col>
      <xdr:colOff>83820</xdr:colOff>
      <xdr:row>238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4DD3378D-F4D1-4AA2-967D-0285C3828E62}"/>
            </a:ext>
          </a:extLst>
        </xdr:cNvPr>
        <xdr:cNvSpPr/>
      </xdr:nvSpPr>
      <xdr:spPr>
        <a:xfrm>
          <a:off x="5158740" y="15377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239</xdr:row>
      <xdr:rowOff>0</xdr:rowOff>
    </xdr:from>
    <xdr:to>
      <xdr:col>14</xdr:col>
      <xdr:colOff>83820</xdr:colOff>
      <xdr:row>239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C938FA95-B465-44FE-B080-8749AEA49CF1}"/>
            </a:ext>
          </a:extLst>
        </xdr:cNvPr>
        <xdr:cNvSpPr/>
      </xdr:nvSpPr>
      <xdr:spPr>
        <a:xfrm>
          <a:off x="5158740" y="15377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240</xdr:row>
      <xdr:rowOff>0</xdr:rowOff>
    </xdr:from>
    <xdr:to>
      <xdr:col>14</xdr:col>
      <xdr:colOff>83820</xdr:colOff>
      <xdr:row>240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59C86C7A-3D9E-4E24-9175-D67EF25A45C6}"/>
            </a:ext>
          </a:extLst>
        </xdr:cNvPr>
        <xdr:cNvSpPr/>
      </xdr:nvSpPr>
      <xdr:spPr>
        <a:xfrm rot="10800000">
          <a:off x="5158740" y="1574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241</xdr:row>
      <xdr:rowOff>0</xdr:rowOff>
    </xdr:from>
    <xdr:to>
      <xdr:col>14</xdr:col>
      <xdr:colOff>83820</xdr:colOff>
      <xdr:row>241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F4EBA6B0-C51E-464D-ACB1-7DAB2B398275}"/>
            </a:ext>
          </a:extLst>
        </xdr:cNvPr>
        <xdr:cNvSpPr/>
      </xdr:nvSpPr>
      <xdr:spPr>
        <a:xfrm>
          <a:off x="5158740" y="1592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242</xdr:row>
      <xdr:rowOff>0</xdr:rowOff>
    </xdr:from>
    <xdr:to>
      <xdr:col>14</xdr:col>
      <xdr:colOff>83820</xdr:colOff>
      <xdr:row>242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595FF982-1417-4D1D-8010-5FB0E71330F2}"/>
            </a:ext>
          </a:extLst>
        </xdr:cNvPr>
        <xdr:cNvSpPr/>
      </xdr:nvSpPr>
      <xdr:spPr>
        <a:xfrm rot="10800000">
          <a:off x="51587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243</xdr:row>
      <xdr:rowOff>0</xdr:rowOff>
    </xdr:from>
    <xdr:to>
      <xdr:col>14</xdr:col>
      <xdr:colOff>83820</xdr:colOff>
      <xdr:row>243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6C5686D2-7E81-4759-B0A7-6959DC5F135C}"/>
            </a:ext>
          </a:extLst>
        </xdr:cNvPr>
        <xdr:cNvSpPr/>
      </xdr:nvSpPr>
      <xdr:spPr>
        <a:xfrm>
          <a:off x="51587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244</xdr:row>
      <xdr:rowOff>0</xdr:rowOff>
    </xdr:from>
    <xdr:to>
      <xdr:col>14</xdr:col>
      <xdr:colOff>83820</xdr:colOff>
      <xdr:row>244</xdr:row>
      <xdr:rowOff>114300</xdr:rowOff>
    </xdr:to>
    <xdr:sp macro="" textlink="">
      <xdr:nvSpPr>
        <xdr:cNvPr id="240" name="Arrow: Down 239">
          <a:extLst>
            <a:ext uri="{FF2B5EF4-FFF2-40B4-BE49-F238E27FC236}">
              <a16:creationId xmlns:a16="http://schemas.microsoft.com/office/drawing/2014/main" id="{4C82DCE6-2F68-4F6A-9BF9-AA9ECC2552F0}"/>
            </a:ext>
          </a:extLst>
        </xdr:cNvPr>
        <xdr:cNvSpPr/>
      </xdr:nvSpPr>
      <xdr:spPr>
        <a:xfrm rot="10800000">
          <a:off x="5158740" y="16474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245</xdr:row>
      <xdr:rowOff>0</xdr:rowOff>
    </xdr:from>
    <xdr:to>
      <xdr:col>14</xdr:col>
      <xdr:colOff>83820</xdr:colOff>
      <xdr:row>245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4960A03-EA76-48EF-A271-6917774111B1}"/>
            </a:ext>
          </a:extLst>
        </xdr:cNvPr>
        <xdr:cNvSpPr/>
      </xdr:nvSpPr>
      <xdr:spPr>
        <a:xfrm>
          <a:off x="51587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246</xdr:row>
      <xdr:rowOff>0</xdr:rowOff>
    </xdr:from>
    <xdr:to>
      <xdr:col>14</xdr:col>
      <xdr:colOff>83820</xdr:colOff>
      <xdr:row>246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20F63F9B-E91D-43EF-9AF3-43A7EFDFC986}"/>
            </a:ext>
          </a:extLst>
        </xdr:cNvPr>
        <xdr:cNvSpPr/>
      </xdr:nvSpPr>
      <xdr:spPr>
        <a:xfrm rot="10800000">
          <a:off x="5158740" y="1684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247</xdr:row>
      <xdr:rowOff>0</xdr:rowOff>
    </xdr:from>
    <xdr:to>
      <xdr:col>14</xdr:col>
      <xdr:colOff>83820</xdr:colOff>
      <xdr:row>247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CA66440F-A316-4697-86CF-FE15B9E08E3D}"/>
            </a:ext>
          </a:extLst>
        </xdr:cNvPr>
        <xdr:cNvSpPr/>
      </xdr:nvSpPr>
      <xdr:spPr>
        <a:xfrm>
          <a:off x="5158740" y="17023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248</xdr:row>
      <xdr:rowOff>0</xdr:rowOff>
    </xdr:from>
    <xdr:to>
      <xdr:col>14</xdr:col>
      <xdr:colOff>83820</xdr:colOff>
      <xdr:row>248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29D158B-8FEB-4F45-9731-6DD6559DE0FA}"/>
            </a:ext>
          </a:extLst>
        </xdr:cNvPr>
        <xdr:cNvSpPr/>
      </xdr:nvSpPr>
      <xdr:spPr>
        <a:xfrm>
          <a:off x="5158740" y="17023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249</xdr:row>
      <xdr:rowOff>0</xdr:rowOff>
    </xdr:from>
    <xdr:to>
      <xdr:col>14</xdr:col>
      <xdr:colOff>83820</xdr:colOff>
      <xdr:row>249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08C22A9F-B1D2-438C-8CAF-A91A90F899A6}"/>
            </a:ext>
          </a:extLst>
        </xdr:cNvPr>
        <xdr:cNvSpPr/>
      </xdr:nvSpPr>
      <xdr:spPr>
        <a:xfrm rot="10800000">
          <a:off x="5158740" y="1738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250</xdr:row>
      <xdr:rowOff>0</xdr:rowOff>
    </xdr:from>
    <xdr:to>
      <xdr:col>14</xdr:col>
      <xdr:colOff>83820</xdr:colOff>
      <xdr:row>250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3A821F7E-E1D0-4D17-8331-A362BAB3708C}"/>
            </a:ext>
          </a:extLst>
        </xdr:cNvPr>
        <xdr:cNvSpPr/>
      </xdr:nvSpPr>
      <xdr:spPr>
        <a:xfrm rot="10800000">
          <a:off x="51587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251</xdr:row>
      <xdr:rowOff>0</xdr:rowOff>
    </xdr:from>
    <xdr:to>
      <xdr:col>14</xdr:col>
      <xdr:colOff>83820</xdr:colOff>
      <xdr:row>251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163015CA-0C59-436B-A5E1-B8B6740E6712}"/>
            </a:ext>
          </a:extLst>
        </xdr:cNvPr>
        <xdr:cNvSpPr/>
      </xdr:nvSpPr>
      <xdr:spPr>
        <a:xfrm>
          <a:off x="51587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83820</xdr:colOff>
      <xdr:row>252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67971776-05D6-4FCA-9229-F64952F91434}"/>
            </a:ext>
          </a:extLst>
        </xdr:cNvPr>
        <xdr:cNvSpPr/>
      </xdr:nvSpPr>
      <xdr:spPr>
        <a:xfrm rot="10800000">
          <a:off x="5158740" y="17937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253</xdr:row>
      <xdr:rowOff>0</xdr:rowOff>
    </xdr:from>
    <xdr:to>
      <xdr:col>14</xdr:col>
      <xdr:colOff>83820</xdr:colOff>
      <xdr:row>253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3CBB1CBB-8048-4898-A4A6-EAA83884ADB1}"/>
            </a:ext>
          </a:extLst>
        </xdr:cNvPr>
        <xdr:cNvSpPr/>
      </xdr:nvSpPr>
      <xdr:spPr>
        <a:xfrm rot="10800000">
          <a:off x="5158740" y="17937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254</xdr:row>
      <xdr:rowOff>0</xdr:rowOff>
    </xdr:from>
    <xdr:to>
      <xdr:col>14</xdr:col>
      <xdr:colOff>83820</xdr:colOff>
      <xdr:row>254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18A92DA2-80B4-4B82-A9D4-A926E44450E3}"/>
            </a:ext>
          </a:extLst>
        </xdr:cNvPr>
        <xdr:cNvSpPr/>
      </xdr:nvSpPr>
      <xdr:spPr>
        <a:xfrm rot="10800000">
          <a:off x="5158740" y="18120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255</xdr:row>
      <xdr:rowOff>0</xdr:rowOff>
    </xdr:from>
    <xdr:to>
      <xdr:col>14</xdr:col>
      <xdr:colOff>83820</xdr:colOff>
      <xdr:row>255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9E04CB1C-9D29-4E13-8DBE-970E88B59389}"/>
            </a:ext>
          </a:extLst>
        </xdr:cNvPr>
        <xdr:cNvSpPr/>
      </xdr:nvSpPr>
      <xdr:spPr>
        <a:xfrm>
          <a:off x="5158740" y="18486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256</xdr:row>
      <xdr:rowOff>0</xdr:rowOff>
    </xdr:from>
    <xdr:to>
      <xdr:col>14</xdr:col>
      <xdr:colOff>83820</xdr:colOff>
      <xdr:row>256</xdr:row>
      <xdr:rowOff>114300</xdr:rowOff>
    </xdr:to>
    <xdr:sp macro="" textlink="">
      <xdr:nvSpPr>
        <xdr:cNvPr id="257" name="Arrow: Down 256">
          <a:extLst>
            <a:ext uri="{FF2B5EF4-FFF2-40B4-BE49-F238E27FC236}">
              <a16:creationId xmlns:a16="http://schemas.microsoft.com/office/drawing/2014/main" id="{87984016-C93F-4C07-A7FD-BAA2164D75C6}"/>
            </a:ext>
          </a:extLst>
        </xdr:cNvPr>
        <xdr:cNvSpPr/>
      </xdr:nvSpPr>
      <xdr:spPr>
        <a:xfrm>
          <a:off x="5158740" y="18486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257</xdr:row>
      <xdr:rowOff>0</xdr:rowOff>
    </xdr:from>
    <xdr:to>
      <xdr:col>14</xdr:col>
      <xdr:colOff>83820</xdr:colOff>
      <xdr:row>257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283EBDA9-0AC0-4B2B-B206-0B987F6158B6}"/>
            </a:ext>
          </a:extLst>
        </xdr:cNvPr>
        <xdr:cNvSpPr/>
      </xdr:nvSpPr>
      <xdr:spPr>
        <a:xfrm rot="10800000">
          <a:off x="5158740" y="1885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259</xdr:row>
      <xdr:rowOff>0</xdr:rowOff>
    </xdr:from>
    <xdr:to>
      <xdr:col>14</xdr:col>
      <xdr:colOff>83820</xdr:colOff>
      <xdr:row>259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D67C80D4-F6EE-4615-865D-8E0CEBF13F1E}"/>
            </a:ext>
          </a:extLst>
        </xdr:cNvPr>
        <xdr:cNvSpPr/>
      </xdr:nvSpPr>
      <xdr:spPr>
        <a:xfrm rot="10800000">
          <a:off x="5158740" y="19034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258</xdr:row>
      <xdr:rowOff>0</xdr:rowOff>
    </xdr:from>
    <xdr:to>
      <xdr:col>14</xdr:col>
      <xdr:colOff>83820</xdr:colOff>
      <xdr:row>258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5E343A88-8C79-48C0-B1DD-E02D4A2198B2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260</xdr:row>
      <xdr:rowOff>0</xdr:rowOff>
    </xdr:from>
    <xdr:to>
      <xdr:col>14</xdr:col>
      <xdr:colOff>83820</xdr:colOff>
      <xdr:row>260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95594E6E-4F5C-4237-B38C-F743A7C5930E}"/>
            </a:ext>
          </a:extLst>
        </xdr:cNvPr>
        <xdr:cNvSpPr/>
      </xdr:nvSpPr>
      <xdr:spPr>
        <a:xfrm rot="10800000">
          <a:off x="5158740" y="19217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261</xdr:row>
      <xdr:rowOff>0</xdr:rowOff>
    </xdr:from>
    <xdr:to>
      <xdr:col>14</xdr:col>
      <xdr:colOff>83820</xdr:colOff>
      <xdr:row>261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D879E70B-23B9-4C16-A9E8-7A4E06D6374F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262</xdr:row>
      <xdr:rowOff>0</xdr:rowOff>
    </xdr:from>
    <xdr:to>
      <xdr:col>14</xdr:col>
      <xdr:colOff>83820</xdr:colOff>
      <xdr:row>262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2DA36B81-26DC-493F-BE79-00AEDACDAA58}"/>
            </a:ext>
          </a:extLst>
        </xdr:cNvPr>
        <xdr:cNvSpPr/>
      </xdr:nvSpPr>
      <xdr:spPr>
        <a:xfrm rot="10800000">
          <a:off x="5158740" y="19766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263</xdr:row>
      <xdr:rowOff>0</xdr:rowOff>
    </xdr:from>
    <xdr:to>
      <xdr:col>14</xdr:col>
      <xdr:colOff>83820</xdr:colOff>
      <xdr:row>263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8005D620-7E66-4DD0-A2ED-49B16CC92609}"/>
            </a:ext>
          </a:extLst>
        </xdr:cNvPr>
        <xdr:cNvSpPr/>
      </xdr:nvSpPr>
      <xdr:spPr>
        <a:xfrm>
          <a:off x="5158740" y="19949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264</xdr:row>
      <xdr:rowOff>0</xdr:rowOff>
    </xdr:from>
    <xdr:to>
      <xdr:col>14</xdr:col>
      <xdr:colOff>83820</xdr:colOff>
      <xdr:row>264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B118F39E-F3CB-4D08-BD59-67C76E915D6D}"/>
            </a:ext>
          </a:extLst>
        </xdr:cNvPr>
        <xdr:cNvSpPr/>
      </xdr:nvSpPr>
      <xdr:spPr>
        <a:xfrm rot="10800000">
          <a:off x="5158740" y="20132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265</xdr:row>
      <xdr:rowOff>0</xdr:rowOff>
    </xdr:from>
    <xdr:to>
      <xdr:col>14</xdr:col>
      <xdr:colOff>83820</xdr:colOff>
      <xdr:row>265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A239D655-A50B-40A8-95F3-DB2E36C12B58}"/>
            </a:ext>
          </a:extLst>
        </xdr:cNvPr>
        <xdr:cNvSpPr/>
      </xdr:nvSpPr>
      <xdr:spPr>
        <a:xfrm rot="10800000">
          <a:off x="5158740" y="20132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266</xdr:row>
      <xdr:rowOff>0</xdr:rowOff>
    </xdr:from>
    <xdr:to>
      <xdr:col>14</xdr:col>
      <xdr:colOff>83820</xdr:colOff>
      <xdr:row>266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A5120203-4282-449B-985C-B14A5D599AB8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267</xdr:row>
      <xdr:rowOff>0</xdr:rowOff>
    </xdr:from>
    <xdr:to>
      <xdr:col>14</xdr:col>
      <xdr:colOff>83820</xdr:colOff>
      <xdr:row>267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8622CE1D-553B-48E4-A919-940FBCE877E8}"/>
            </a:ext>
          </a:extLst>
        </xdr:cNvPr>
        <xdr:cNvSpPr/>
      </xdr:nvSpPr>
      <xdr:spPr>
        <a:xfrm rot="10800000">
          <a:off x="5158740" y="2068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268</xdr:row>
      <xdr:rowOff>0</xdr:rowOff>
    </xdr:from>
    <xdr:to>
      <xdr:col>14</xdr:col>
      <xdr:colOff>83820</xdr:colOff>
      <xdr:row>268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7C8DE8CF-78A1-4B19-BBFB-5299C42AF254}"/>
            </a:ext>
          </a:extLst>
        </xdr:cNvPr>
        <xdr:cNvSpPr/>
      </xdr:nvSpPr>
      <xdr:spPr>
        <a:xfrm rot="10800000">
          <a:off x="5158740" y="2068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269</xdr:row>
      <xdr:rowOff>0</xdr:rowOff>
    </xdr:from>
    <xdr:to>
      <xdr:col>14</xdr:col>
      <xdr:colOff>83820</xdr:colOff>
      <xdr:row>269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FB44B9D3-4ADA-49A4-A088-ACF1DD3481B8}"/>
            </a:ext>
          </a:extLst>
        </xdr:cNvPr>
        <xdr:cNvSpPr/>
      </xdr:nvSpPr>
      <xdr:spPr>
        <a:xfrm>
          <a:off x="5158740" y="2104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270</xdr:row>
      <xdr:rowOff>0</xdr:rowOff>
    </xdr:from>
    <xdr:to>
      <xdr:col>14</xdr:col>
      <xdr:colOff>83820</xdr:colOff>
      <xdr:row>270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77B6309F-5655-49EB-8228-B6372CC65EBA}"/>
            </a:ext>
          </a:extLst>
        </xdr:cNvPr>
        <xdr:cNvSpPr/>
      </xdr:nvSpPr>
      <xdr:spPr>
        <a:xfrm>
          <a:off x="5158740" y="2104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271</xdr:row>
      <xdr:rowOff>0</xdr:rowOff>
    </xdr:from>
    <xdr:to>
      <xdr:col>14</xdr:col>
      <xdr:colOff>83820</xdr:colOff>
      <xdr:row>271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17F3F7D3-5C97-4137-A999-0588AA0B2BED}"/>
            </a:ext>
          </a:extLst>
        </xdr:cNvPr>
        <xdr:cNvSpPr/>
      </xdr:nvSpPr>
      <xdr:spPr>
        <a:xfrm>
          <a:off x="5158740" y="2104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272</xdr:row>
      <xdr:rowOff>0</xdr:rowOff>
    </xdr:from>
    <xdr:to>
      <xdr:col>14</xdr:col>
      <xdr:colOff>83820</xdr:colOff>
      <xdr:row>272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1F5DCB41-102C-4BB4-8E66-38FF5E654FBF}"/>
            </a:ext>
          </a:extLst>
        </xdr:cNvPr>
        <xdr:cNvSpPr/>
      </xdr:nvSpPr>
      <xdr:spPr>
        <a:xfrm rot="10800000">
          <a:off x="5158740" y="21595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273</xdr:row>
      <xdr:rowOff>0</xdr:rowOff>
    </xdr:from>
    <xdr:to>
      <xdr:col>14</xdr:col>
      <xdr:colOff>83820</xdr:colOff>
      <xdr:row>273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5AAA7DED-D3ED-4878-B5DF-1BD092F9FEA1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274</xdr:row>
      <xdr:rowOff>0</xdr:rowOff>
    </xdr:from>
    <xdr:to>
      <xdr:col>14</xdr:col>
      <xdr:colOff>83820</xdr:colOff>
      <xdr:row>274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B25AAC1-8DB8-477B-A62F-A3BD2FF1731B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275</xdr:row>
      <xdr:rowOff>0</xdr:rowOff>
    </xdr:from>
    <xdr:to>
      <xdr:col>14</xdr:col>
      <xdr:colOff>83820</xdr:colOff>
      <xdr:row>275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D2722C75-AFC6-41CA-88A6-425C3C61330E}"/>
            </a:ext>
          </a:extLst>
        </xdr:cNvPr>
        <xdr:cNvSpPr/>
      </xdr:nvSpPr>
      <xdr:spPr>
        <a:xfrm rot="10800000">
          <a:off x="5158740" y="22143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276</xdr:row>
      <xdr:rowOff>0</xdr:rowOff>
    </xdr:from>
    <xdr:to>
      <xdr:col>14</xdr:col>
      <xdr:colOff>83820</xdr:colOff>
      <xdr:row>276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F611829D-EFB5-482E-A963-1432E18BDC67}"/>
            </a:ext>
          </a:extLst>
        </xdr:cNvPr>
        <xdr:cNvSpPr/>
      </xdr:nvSpPr>
      <xdr:spPr>
        <a:xfrm rot="10800000">
          <a:off x="5158740" y="22143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277</xdr:row>
      <xdr:rowOff>0</xdr:rowOff>
    </xdr:from>
    <xdr:to>
      <xdr:col>14</xdr:col>
      <xdr:colOff>83820</xdr:colOff>
      <xdr:row>277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1F9AEB1F-FCB8-4A25-A92B-E57CD2B93F06}"/>
            </a:ext>
          </a:extLst>
        </xdr:cNvPr>
        <xdr:cNvSpPr/>
      </xdr:nvSpPr>
      <xdr:spPr>
        <a:xfrm>
          <a:off x="5158740" y="22509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278</xdr:row>
      <xdr:rowOff>0</xdr:rowOff>
    </xdr:from>
    <xdr:to>
      <xdr:col>14</xdr:col>
      <xdr:colOff>83820</xdr:colOff>
      <xdr:row>278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7E00C29-39B2-460D-BE79-3C51A03CF6EF}"/>
            </a:ext>
          </a:extLst>
        </xdr:cNvPr>
        <xdr:cNvSpPr/>
      </xdr:nvSpPr>
      <xdr:spPr>
        <a:xfrm>
          <a:off x="5158740" y="22509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279</xdr:row>
      <xdr:rowOff>0</xdr:rowOff>
    </xdr:from>
    <xdr:to>
      <xdr:col>14</xdr:col>
      <xdr:colOff>83820</xdr:colOff>
      <xdr:row>279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BA2CC89D-106E-414F-9F88-13359538FB8D}"/>
            </a:ext>
          </a:extLst>
        </xdr:cNvPr>
        <xdr:cNvSpPr/>
      </xdr:nvSpPr>
      <xdr:spPr>
        <a:xfrm rot="10800000">
          <a:off x="5158740" y="22875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280</xdr:row>
      <xdr:rowOff>0</xdr:rowOff>
    </xdr:from>
    <xdr:to>
      <xdr:col>14</xdr:col>
      <xdr:colOff>83820</xdr:colOff>
      <xdr:row>280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CF9CF93B-83B2-4019-B344-822C97B4B77D}"/>
            </a:ext>
          </a:extLst>
        </xdr:cNvPr>
        <xdr:cNvSpPr/>
      </xdr:nvSpPr>
      <xdr:spPr>
        <a:xfrm rot="10800000">
          <a:off x="5158740" y="23058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281</xdr:row>
      <xdr:rowOff>0</xdr:rowOff>
    </xdr:from>
    <xdr:to>
      <xdr:col>14</xdr:col>
      <xdr:colOff>83820</xdr:colOff>
      <xdr:row>281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6C5DBCD6-64BF-4860-B0C5-115D6940CD99}"/>
            </a:ext>
          </a:extLst>
        </xdr:cNvPr>
        <xdr:cNvSpPr/>
      </xdr:nvSpPr>
      <xdr:spPr>
        <a:xfrm>
          <a:off x="5158740" y="23241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283</xdr:row>
      <xdr:rowOff>0</xdr:rowOff>
    </xdr:from>
    <xdr:to>
      <xdr:col>14</xdr:col>
      <xdr:colOff>83820</xdr:colOff>
      <xdr:row>283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28ABBACE-1513-4277-8599-C28582DA4B72}"/>
            </a:ext>
          </a:extLst>
        </xdr:cNvPr>
        <xdr:cNvSpPr/>
      </xdr:nvSpPr>
      <xdr:spPr>
        <a:xfrm rot="10800000">
          <a:off x="5158740" y="23423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284</xdr:row>
      <xdr:rowOff>0</xdr:rowOff>
    </xdr:from>
    <xdr:to>
      <xdr:col>14</xdr:col>
      <xdr:colOff>83820</xdr:colOff>
      <xdr:row>284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C5E84113-FBD5-47B3-909D-630F9AA03E1F}"/>
            </a:ext>
          </a:extLst>
        </xdr:cNvPr>
        <xdr:cNvSpPr/>
      </xdr:nvSpPr>
      <xdr:spPr>
        <a:xfrm rot="10800000">
          <a:off x="5158740" y="23606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282</xdr:row>
      <xdr:rowOff>0</xdr:rowOff>
    </xdr:from>
    <xdr:to>
      <xdr:col>14</xdr:col>
      <xdr:colOff>83820</xdr:colOff>
      <xdr:row>282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1DEA168F-D991-46F9-9B46-8D11A9E16C85}"/>
            </a:ext>
          </a:extLst>
        </xdr:cNvPr>
        <xdr:cNvSpPr/>
      </xdr:nvSpPr>
      <xdr:spPr>
        <a:xfrm>
          <a:off x="5158740" y="23423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285</xdr:row>
      <xdr:rowOff>0</xdr:rowOff>
    </xdr:from>
    <xdr:to>
      <xdr:col>14</xdr:col>
      <xdr:colOff>83820</xdr:colOff>
      <xdr:row>285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14562CD2-73B3-4AC9-A76C-09C49D6EE470}"/>
            </a:ext>
          </a:extLst>
        </xdr:cNvPr>
        <xdr:cNvSpPr/>
      </xdr:nvSpPr>
      <xdr:spPr>
        <a:xfrm>
          <a:off x="5158740" y="23972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286</xdr:row>
      <xdr:rowOff>0</xdr:rowOff>
    </xdr:from>
    <xdr:to>
      <xdr:col>14</xdr:col>
      <xdr:colOff>83820</xdr:colOff>
      <xdr:row>286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5EF0082F-D0B2-4B32-BF51-CD830AC970B7}"/>
            </a:ext>
          </a:extLst>
        </xdr:cNvPr>
        <xdr:cNvSpPr/>
      </xdr:nvSpPr>
      <xdr:spPr>
        <a:xfrm rot="10800000">
          <a:off x="5158740" y="24155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287</xdr:row>
      <xdr:rowOff>0</xdr:rowOff>
    </xdr:from>
    <xdr:to>
      <xdr:col>14</xdr:col>
      <xdr:colOff>83820</xdr:colOff>
      <xdr:row>287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07A04605-17BF-4BE8-BD44-5A8001EEF9BD}"/>
            </a:ext>
          </a:extLst>
        </xdr:cNvPr>
        <xdr:cNvSpPr/>
      </xdr:nvSpPr>
      <xdr:spPr>
        <a:xfrm>
          <a:off x="5158740" y="24338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288</xdr:row>
      <xdr:rowOff>0</xdr:rowOff>
    </xdr:from>
    <xdr:to>
      <xdr:col>14</xdr:col>
      <xdr:colOff>83820</xdr:colOff>
      <xdr:row>288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DAE098F1-0D7B-44CA-9A5D-E6E250AE0026}"/>
            </a:ext>
          </a:extLst>
        </xdr:cNvPr>
        <xdr:cNvSpPr/>
      </xdr:nvSpPr>
      <xdr:spPr>
        <a:xfrm rot="10800000">
          <a:off x="5158740" y="24521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289</xdr:row>
      <xdr:rowOff>0</xdr:rowOff>
    </xdr:from>
    <xdr:to>
      <xdr:col>14</xdr:col>
      <xdr:colOff>83820</xdr:colOff>
      <xdr:row>289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16123F5E-E6AA-47DF-94C6-5B11470AD23C}"/>
            </a:ext>
          </a:extLst>
        </xdr:cNvPr>
        <xdr:cNvSpPr/>
      </xdr:nvSpPr>
      <xdr:spPr>
        <a:xfrm rot="10800000">
          <a:off x="5158740" y="24521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290</xdr:row>
      <xdr:rowOff>0</xdr:rowOff>
    </xdr:from>
    <xdr:to>
      <xdr:col>14</xdr:col>
      <xdr:colOff>83820</xdr:colOff>
      <xdr:row>290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5CB5F371-4C4E-45EE-80C7-B07B24747C23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291</xdr:row>
      <xdr:rowOff>0</xdr:rowOff>
    </xdr:from>
    <xdr:to>
      <xdr:col>14</xdr:col>
      <xdr:colOff>83820</xdr:colOff>
      <xdr:row>291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618F7475-FDC1-4A0B-97E4-5236AD2C8BB4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292</xdr:row>
      <xdr:rowOff>0</xdr:rowOff>
    </xdr:from>
    <xdr:to>
      <xdr:col>14</xdr:col>
      <xdr:colOff>83820</xdr:colOff>
      <xdr:row>292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B4189262-C345-4F61-A2CF-A423FB9207DB}"/>
            </a:ext>
          </a:extLst>
        </xdr:cNvPr>
        <xdr:cNvSpPr/>
      </xdr:nvSpPr>
      <xdr:spPr>
        <a:xfrm>
          <a:off x="5158740" y="25069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38100</xdr:colOff>
      <xdr:row>27</xdr:row>
      <xdr:rowOff>22860</xdr:rowOff>
    </xdr:from>
    <xdr:to>
      <xdr:col>12</xdr:col>
      <xdr:colOff>152400</xdr:colOff>
      <xdr:row>27</xdr:row>
      <xdr:rowOff>167640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2060" y="521970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114300</xdr:colOff>
      <xdr:row>30</xdr:row>
      <xdr:rowOff>91440</xdr:rowOff>
    </xdr:from>
    <xdr:to>
      <xdr:col>33</xdr:col>
      <xdr:colOff>220980</xdr:colOff>
      <xdr:row>31</xdr:row>
      <xdr:rowOff>15240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043660" y="587502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158</xdr:row>
      <xdr:rowOff>0</xdr:rowOff>
    </xdr:from>
    <xdr:to>
      <xdr:col>28</xdr:col>
      <xdr:colOff>83820</xdr:colOff>
      <xdr:row>158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84F42571-3E5A-47C5-A388-55F8C759C553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159</xdr:row>
      <xdr:rowOff>0</xdr:rowOff>
    </xdr:from>
    <xdr:to>
      <xdr:col>28</xdr:col>
      <xdr:colOff>83820</xdr:colOff>
      <xdr:row>159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1D2919D2-D6DB-4AFF-A642-916D4DFDCF26}"/>
            </a:ext>
          </a:extLst>
        </xdr:cNvPr>
        <xdr:cNvSpPr/>
      </xdr:nvSpPr>
      <xdr:spPr>
        <a:xfrm rot="10800000">
          <a:off x="11803380" y="2945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160</xdr:row>
      <xdr:rowOff>0</xdr:rowOff>
    </xdr:from>
    <xdr:to>
      <xdr:col>28</xdr:col>
      <xdr:colOff>83820</xdr:colOff>
      <xdr:row>160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9307F5B5-2799-458D-B3A9-92CC190A6735}"/>
            </a:ext>
          </a:extLst>
        </xdr:cNvPr>
        <xdr:cNvSpPr/>
      </xdr:nvSpPr>
      <xdr:spPr>
        <a:xfrm rot="10800000">
          <a:off x="11803380" y="2963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161</xdr:row>
      <xdr:rowOff>0</xdr:rowOff>
    </xdr:from>
    <xdr:to>
      <xdr:col>28</xdr:col>
      <xdr:colOff>83820</xdr:colOff>
      <xdr:row>161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5C66E21-F383-41E1-938A-9C173B5B311B}"/>
            </a:ext>
          </a:extLst>
        </xdr:cNvPr>
        <xdr:cNvSpPr/>
      </xdr:nvSpPr>
      <xdr:spPr>
        <a:xfrm rot="10800000">
          <a:off x="11803380" y="2981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162</xdr:row>
      <xdr:rowOff>0</xdr:rowOff>
    </xdr:from>
    <xdr:to>
      <xdr:col>28</xdr:col>
      <xdr:colOff>83820</xdr:colOff>
      <xdr:row>162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44DF6A42-4D23-4023-9C7A-4B4189E480F3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163</xdr:row>
      <xdr:rowOff>0</xdr:rowOff>
    </xdr:from>
    <xdr:to>
      <xdr:col>28</xdr:col>
      <xdr:colOff>83820</xdr:colOff>
      <xdr:row>163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3DB92C4F-40AC-49CE-93F8-3227D2E8E6A2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164</xdr:row>
      <xdr:rowOff>0</xdr:rowOff>
    </xdr:from>
    <xdr:to>
      <xdr:col>28</xdr:col>
      <xdr:colOff>83820</xdr:colOff>
      <xdr:row>164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6634F015-3F6A-4B15-A235-D381FC2A00E6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165</xdr:row>
      <xdr:rowOff>0</xdr:rowOff>
    </xdr:from>
    <xdr:to>
      <xdr:col>28</xdr:col>
      <xdr:colOff>83820</xdr:colOff>
      <xdr:row>165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24BECBD3-EC78-470D-8F25-A76BBB646A21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166</xdr:row>
      <xdr:rowOff>0</xdr:rowOff>
    </xdr:from>
    <xdr:to>
      <xdr:col>28</xdr:col>
      <xdr:colOff>83820</xdr:colOff>
      <xdr:row>166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360416-8DC6-4693-9DBE-49A3711109B2}"/>
            </a:ext>
          </a:extLst>
        </xdr:cNvPr>
        <xdr:cNvSpPr/>
      </xdr:nvSpPr>
      <xdr:spPr>
        <a:xfrm rot="10800000">
          <a:off x="11803380" y="3073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167</xdr:row>
      <xdr:rowOff>0</xdr:rowOff>
    </xdr:from>
    <xdr:to>
      <xdr:col>28</xdr:col>
      <xdr:colOff>83820</xdr:colOff>
      <xdr:row>167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298D79C9-882F-4E04-BB19-08055E82800B}"/>
            </a:ext>
          </a:extLst>
        </xdr:cNvPr>
        <xdr:cNvSpPr/>
      </xdr:nvSpPr>
      <xdr:spPr>
        <a:xfrm rot="10800000">
          <a:off x="11803380" y="3091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168</xdr:row>
      <xdr:rowOff>0</xdr:rowOff>
    </xdr:from>
    <xdr:to>
      <xdr:col>28</xdr:col>
      <xdr:colOff>83820</xdr:colOff>
      <xdr:row>168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F66E442-4B4C-4D76-BCA1-F6851F610760}"/>
            </a:ext>
          </a:extLst>
        </xdr:cNvPr>
        <xdr:cNvSpPr/>
      </xdr:nvSpPr>
      <xdr:spPr>
        <a:xfrm rot="10800000">
          <a:off x="11803380" y="3109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169</xdr:row>
      <xdr:rowOff>0</xdr:rowOff>
    </xdr:from>
    <xdr:to>
      <xdr:col>28</xdr:col>
      <xdr:colOff>83820</xdr:colOff>
      <xdr:row>169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268ABF79-0B72-4FBF-AD11-C25215DB7268}"/>
            </a:ext>
          </a:extLst>
        </xdr:cNvPr>
        <xdr:cNvSpPr/>
      </xdr:nvSpPr>
      <xdr:spPr>
        <a:xfrm>
          <a:off x="11803380" y="3146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170</xdr:row>
      <xdr:rowOff>0</xdr:rowOff>
    </xdr:from>
    <xdr:to>
      <xdr:col>28</xdr:col>
      <xdr:colOff>83820</xdr:colOff>
      <xdr:row>170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5D3BDA3B-0D5C-4D41-819B-1191BE6B0D38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171</xdr:row>
      <xdr:rowOff>0</xdr:rowOff>
    </xdr:from>
    <xdr:to>
      <xdr:col>28</xdr:col>
      <xdr:colOff>83820</xdr:colOff>
      <xdr:row>171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1A319BCE-CF85-4403-B68C-F7EDFB8C1CE1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172</xdr:row>
      <xdr:rowOff>0</xdr:rowOff>
    </xdr:from>
    <xdr:to>
      <xdr:col>28</xdr:col>
      <xdr:colOff>83820</xdr:colOff>
      <xdr:row>172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CF6923B1-7D77-40F3-A3C0-7937D80CF5E8}"/>
            </a:ext>
          </a:extLst>
        </xdr:cNvPr>
        <xdr:cNvSpPr/>
      </xdr:nvSpPr>
      <xdr:spPr>
        <a:xfrm rot="10800000">
          <a:off x="11803380" y="3182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173</xdr:row>
      <xdr:rowOff>0</xdr:rowOff>
    </xdr:from>
    <xdr:to>
      <xdr:col>28</xdr:col>
      <xdr:colOff>83820</xdr:colOff>
      <xdr:row>173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C8BC37AD-C434-4BB7-B7AE-FE6AB56B94E7}"/>
            </a:ext>
          </a:extLst>
        </xdr:cNvPr>
        <xdr:cNvSpPr/>
      </xdr:nvSpPr>
      <xdr:spPr>
        <a:xfrm rot="10800000">
          <a:off x="11803380" y="3201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174</xdr:row>
      <xdr:rowOff>0</xdr:rowOff>
    </xdr:from>
    <xdr:to>
      <xdr:col>28</xdr:col>
      <xdr:colOff>83820</xdr:colOff>
      <xdr:row>174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A58CF172-F2D8-4DA6-89FD-68F2FAE04DA4}"/>
            </a:ext>
          </a:extLst>
        </xdr:cNvPr>
        <xdr:cNvSpPr/>
      </xdr:nvSpPr>
      <xdr:spPr>
        <a:xfrm rot="10800000">
          <a:off x="11803380" y="3219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175</xdr:row>
      <xdr:rowOff>0</xdr:rowOff>
    </xdr:from>
    <xdr:to>
      <xdr:col>28</xdr:col>
      <xdr:colOff>83820</xdr:colOff>
      <xdr:row>175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53DD8C40-6BD9-44A7-BCB0-97456593428A}"/>
            </a:ext>
          </a:extLst>
        </xdr:cNvPr>
        <xdr:cNvSpPr/>
      </xdr:nvSpPr>
      <xdr:spPr>
        <a:xfrm rot="10800000">
          <a:off x="11803380" y="3237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176</xdr:row>
      <xdr:rowOff>0</xdr:rowOff>
    </xdr:from>
    <xdr:to>
      <xdr:col>28</xdr:col>
      <xdr:colOff>83820</xdr:colOff>
      <xdr:row>176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0F74C8C0-CE54-4AFB-A003-33D376E0019D}"/>
            </a:ext>
          </a:extLst>
        </xdr:cNvPr>
        <xdr:cNvSpPr/>
      </xdr:nvSpPr>
      <xdr:spPr>
        <a:xfrm>
          <a:off x="11803380" y="3274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177</xdr:row>
      <xdr:rowOff>0</xdr:rowOff>
    </xdr:from>
    <xdr:to>
      <xdr:col>28</xdr:col>
      <xdr:colOff>83820</xdr:colOff>
      <xdr:row>177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E96CFBC7-8616-4707-A16C-B71CFDDA4F2F}"/>
            </a:ext>
          </a:extLst>
        </xdr:cNvPr>
        <xdr:cNvSpPr/>
      </xdr:nvSpPr>
      <xdr:spPr>
        <a:xfrm>
          <a:off x="11803380" y="3274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178</xdr:row>
      <xdr:rowOff>0</xdr:rowOff>
    </xdr:from>
    <xdr:to>
      <xdr:col>28</xdr:col>
      <xdr:colOff>83820</xdr:colOff>
      <xdr:row>178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08012365-0C69-45EE-9334-CC31E7675C87}"/>
            </a:ext>
          </a:extLst>
        </xdr:cNvPr>
        <xdr:cNvSpPr/>
      </xdr:nvSpPr>
      <xdr:spPr>
        <a:xfrm rot="10800000">
          <a:off x="118033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179</xdr:row>
      <xdr:rowOff>0</xdr:rowOff>
    </xdr:from>
    <xdr:to>
      <xdr:col>28</xdr:col>
      <xdr:colOff>83820</xdr:colOff>
      <xdr:row>179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AA52A398-B49A-4B52-B020-D6F9ABAF16D4}"/>
            </a:ext>
          </a:extLst>
        </xdr:cNvPr>
        <xdr:cNvSpPr/>
      </xdr:nvSpPr>
      <xdr:spPr>
        <a:xfrm rot="10800000">
          <a:off x="118033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180</xdr:row>
      <xdr:rowOff>0</xdr:rowOff>
    </xdr:from>
    <xdr:to>
      <xdr:col>28</xdr:col>
      <xdr:colOff>83820</xdr:colOff>
      <xdr:row>180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23B770F7-35C3-43C2-9EC9-C3DFAC1C9450}"/>
            </a:ext>
          </a:extLst>
        </xdr:cNvPr>
        <xdr:cNvSpPr/>
      </xdr:nvSpPr>
      <xdr:spPr>
        <a:xfrm rot="10800000">
          <a:off x="11803380" y="1719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181</xdr:row>
      <xdr:rowOff>0</xdr:rowOff>
    </xdr:from>
    <xdr:to>
      <xdr:col>28</xdr:col>
      <xdr:colOff>83820</xdr:colOff>
      <xdr:row>181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F583438B-E3EF-41ED-885C-E5119576DD5B}"/>
            </a:ext>
          </a:extLst>
        </xdr:cNvPr>
        <xdr:cNvSpPr/>
      </xdr:nvSpPr>
      <xdr:spPr>
        <a:xfrm rot="10800000">
          <a:off x="11803380" y="1738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182</xdr:row>
      <xdr:rowOff>0</xdr:rowOff>
    </xdr:from>
    <xdr:to>
      <xdr:col>28</xdr:col>
      <xdr:colOff>83820</xdr:colOff>
      <xdr:row>182</xdr:row>
      <xdr:rowOff>114300</xdr:rowOff>
    </xdr:to>
    <xdr:sp macro="" textlink="">
      <xdr:nvSpPr>
        <xdr:cNvPr id="199" name="Arrow: Down 198">
          <a:extLst>
            <a:ext uri="{FF2B5EF4-FFF2-40B4-BE49-F238E27FC236}">
              <a16:creationId xmlns:a16="http://schemas.microsoft.com/office/drawing/2014/main" id="{18CA8307-8F3E-494A-8DE8-952AE58A6289}"/>
            </a:ext>
          </a:extLst>
        </xdr:cNvPr>
        <xdr:cNvSpPr/>
      </xdr:nvSpPr>
      <xdr:spPr>
        <a:xfrm rot="10800000">
          <a:off x="11803380" y="1756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183</xdr:row>
      <xdr:rowOff>0</xdr:rowOff>
    </xdr:from>
    <xdr:to>
      <xdr:col>28</xdr:col>
      <xdr:colOff>83820</xdr:colOff>
      <xdr:row>183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6D62601D-38C8-4F20-B593-6367C895B4F8}"/>
            </a:ext>
          </a:extLst>
        </xdr:cNvPr>
        <xdr:cNvSpPr/>
      </xdr:nvSpPr>
      <xdr:spPr>
        <a:xfrm>
          <a:off x="11803380" y="1792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184</xdr:row>
      <xdr:rowOff>0</xdr:rowOff>
    </xdr:from>
    <xdr:to>
      <xdr:col>28</xdr:col>
      <xdr:colOff>83820</xdr:colOff>
      <xdr:row>184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08530636-69EE-455D-9F1B-7844F917E039}"/>
            </a:ext>
          </a:extLst>
        </xdr:cNvPr>
        <xdr:cNvSpPr/>
      </xdr:nvSpPr>
      <xdr:spPr>
        <a:xfrm>
          <a:off x="11803380" y="1792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185</xdr:row>
      <xdr:rowOff>0</xdr:rowOff>
    </xdr:from>
    <xdr:to>
      <xdr:col>28</xdr:col>
      <xdr:colOff>83820</xdr:colOff>
      <xdr:row>185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513B6CE0-1F7C-4C97-B7DD-AD9189684A47}"/>
            </a:ext>
          </a:extLst>
        </xdr:cNvPr>
        <xdr:cNvSpPr/>
      </xdr:nvSpPr>
      <xdr:spPr>
        <a:xfrm rot="10800000">
          <a:off x="11803380" y="1829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186</xdr:row>
      <xdr:rowOff>0</xdr:rowOff>
    </xdr:from>
    <xdr:to>
      <xdr:col>28</xdr:col>
      <xdr:colOff>83820</xdr:colOff>
      <xdr:row>186</xdr:row>
      <xdr:rowOff>114300</xdr:rowOff>
    </xdr:to>
    <xdr:sp macro="" textlink="">
      <xdr:nvSpPr>
        <xdr:cNvPr id="208" name="Arrow: Down 207">
          <a:extLst>
            <a:ext uri="{FF2B5EF4-FFF2-40B4-BE49-F238E27FC236}">
              <a16:creationId xmlns:a16="http://schemas.microsoft.com/office/drawing/2014/main" id="{4D3B4CC8-D5DF-4C89-BDCC-C7FA6CE9FDD1}"/>
            </a:ext>
          </a:extLst>
        </xdr:cNvPr>
        <xdr:cNvSpPr/>
      </xdr:nvSpPr>
      <xdr:spPr>
        <a:xfrm rot="10800000">
          <a:off x="11803380" y="1847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187</xdr:row>
      <xdr:rowOff>0</xdr:rowOff>
    </xdr:from>
    <xdr:to>
      <xdr:col>28</xdr:col>
      <xdr:colOff>83820</xdr:colOff>
      <xdr:row>187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44115B54-3134-4F3E-9591-C1AFC5424484}"/>
            </a:ext>
          </a:extLst>
        </xdr:cNvPr>
        <xdr:cNvSpPr/>
      </xdr:nvSpPr>
      <xdr:spPr>
        <a:xfrm rot="10800000">
          <a:off x="11803380" y="1847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188</xdr:row>
      <xdr:rowOff>0</xdr:rowOff>
    </xdr:from>
    <xdr:to>
      <xdr:col>28</xdr:col>
      <xdr:colOff>83820</xdr:colOff>
      <xdr:row>188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580D1142-E65B-44E4-B567-DAAB4680C334}"/>
            </a:ext>
          </a:extLst>
        </xdr:cNvPr>
        <xdr:cNvSpPr/>
      </xdr:nvSpPr>
      <xdr:spPr>
        <a:xfrm rot="10800000">
          <a:off x="11803380" y="1866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189</xdr:row>
      <xdr:rowOff>0</xdr:rowOff>
    </xdr:from>
    <xdr:to>
      <xdr:col>28</xdr:col>
      <xdr:colOff>83820</xdr:colOff>
      <xdr:row>189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446DFEC4-436F-47E4-96B2-299D7E071042}"/>
            </a:ext>
          </a:extLst>
        </xdr:cNvPr>
        <xdr:cNvSpPr/>
      </xdr:nvSpPr>
      <xdr:spPr>
        <a:xfrm rot="10800000">
          <a:off x="11803380" y="1884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190</xdr:row>
      <xdr:rowOff>0</xdr:rowOff>
    </xdr:from>
    <xdr:to>
      <xdr:col>28</xdr:col>
      <xdr:colOff>83820</xdr:colOff>
      <xdr:row>190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81A60978-18EE-4056-B3B7-AB06A61D7335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191</xdr:row>
      <xdr:rowOff>0</xdr:rowOff>
    </xdr:from>
    <xdr:to>
      <xdr:col>28</xdr:col>
      <xdr:colOff>83820</xdr:colOff>
      <xdr:row>191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3FE31784-AE56-4E34-8B46-2303A54D8355}"/>
            </a:ext>
          </a:extLst>
        </xdr:cNvPr>
        <xdr:cNvSpPr/>
      </xdr:nvSpPr>
      <xdr:spPr>
        <a:xfrm rot="10800000">
          <a:off x="11803380" y="1939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192</xdr:row>
      <xdr:rowOff>0</xdr:rowOff>
    </xdr:from>
    <xdr:to>
      <xdr:col>28</xdr:col>
      <xdr:colOff>83820</xdr:colOff>
      <xdr:row>192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ADD74F4-B58A-4A6C-8E44-0E7B12B1E889}"/>
            </a:ext>
          </a:extLst>
        </xdr:cNvPr>
        <xdr:cNvSpPr/>
      </xdr:nvSpPr>
      <xdr:spPr>
        <a:xfrm rot="10800000">
          <a:off x="11803380" y="1939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193</xdr:row>
      <xdr:rowOff>0</xdr:rowOff>
    </xdr:from>
    <xdr:to>
      <xdr:col>28</xdr:col>
      <xdr:colOff>83820</xdr:colOff>
      <xdr:row>193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C1A01DF-D83B-470B-89AA-4D4FB4EB5C92}"/>
            </a:ext>
          </a:extLst>
        </xdr:cNvPr>
        <xdr:cNvSpPr/>
      </xdr:nvSpPr>
      <xdr:spPr>
        <a:xfrm rot="10800000">
          <a:off x="11803380" y="1957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194</xdr:row>
      <xdr:rowOff>0</xdr:rowOff>
    </xdr:from>
    <xdr:to>
      <xdr:col>28</xdr:col>
      <xdr:colOff>83820</xdr:colOff>
      <xdr:row>194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2D42E5D5-361D-4BEB-A81C-B1B61272BD54}"/>
            </a:ext>
          </a:extLst>
        </xdr:cNvPr>
        <xdr:cNvSpPr/>
      </xdr:nvSpPr>
      <xdr:spPr>
        <a:xfrm rot="10800000">
          <a:off x="11803380" y="1975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195</xdr:row>
      <xdr:rowOff>0</xdr:rowOff>
    </xdr:from>
    <xdr:to>
      <xdr:col>28</xdr:col>
      <xdr:colOff>83820</xdr:colOff>
      <xdr:row>195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F22F32FF-53B7-4414-905E-02E0693F432C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196</xdr:row>
      <xdr:rowOff>0</xdr:rowOff>
    </xdr:from>
    <xdr:to>
      <xdr:col>28</xdr:col>
      <xdr:colOff>83820</xdr:colOff>
      <xdr:row>196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C99A61E9-8C50-47EA-8D01-7A28F80B6576}"/>
            </a:ext>
          </a:extLst>
        </xdr:cNvPr>
        <xdr:cNvSpPr/>
      </xdr:nvSpPr>
      <xdr:spPr>
        <a:xfrm>
          <a:off x="11803380" y="2030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197</xdr:row>
      <xdr:rowOff>0</xdr:rowOff>
    </xdr:from>
    <xdr:to>
      <xdr:col>28</xdr:col>
      <xdr:colOff>83820</xdr:colOff>
      <xdr:row>197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41EFB0A0-3487-4392-B0DC-2E76C19DFFA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198</xdr:row>
      <xdr:rowOff>0</xdr:rowOff>
    </xdr:from>
    <xdr:to>
      <xdr:col>28</xdr:col>
      <xdr:colOff>83820</xdr:colOff>
      <xdr:row>198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9114FD1-806E-4732-8477-6C3667C52CCA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199</xdr:row>
      <xdr:rowOff>0</xdr:rowOff>
    </xdr:from>
    <xdr:to>
      <xdr:col>28</xdr:col>
      <xdr:colOff>83820</xdr:colOff>
      <xdr:row>199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E0E015DA-076F-408E-831A-B7DA9B50FF66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200</xdr:row>
      <xdr:rowOff>0</xdr:rowOff>
    </xdr:from>
    <xdr:to>
      <xdr:col>28</xdr:col>
      <xdr:colOff>83820</xdr:colOff>
      <xdr:row>200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00CE59F9-3A2D-45B5-B9A0-1A4FC9990E7B}"/>
            </a:ext>
          </a:extLst>
        </xdr:cNvPr>
        <xdr:cNvSpPr/>
      </xdr:nvSpPr>
      <xdr:spPr>
        <a:xfrm rot="10800000">
          <a:off x="11803380" y="2085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201</xdr:row>
      <xdr:rowOff>0</xdr:rowOff>
    </xdr:from>
    <xdr:to>
      <xdr:col>28</xdr:col>
      <xdr:colOff>83820</xdr:colOff>
      <xdr:row>201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EBD1D496-63F1-450D-92D6-8C7887FA3E3D}"/>
            </a:ext>
          </a:extLst>
        </xdr:cNvPr>
        <xdr:cNvSpPr/>
      </xdr:nvSpPr>
      <xdr:spPr>
        <a:xfrm rot="10800000">
          <a:off x="11803380" y="2103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202</xdr:row>
      <xdr:rowOff>0</xdr:rowOff>
    </xdr:from>
    <xdr:to>
      <xdr:col>28</xdr:col>
      <xdr:colOff>83820</xdr:colOff>
      <xdr:row>202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C74A79CF-861C-49CF-8D3C-CD7C1448F4C0}"/>
            </a:ext>
          </a:extLst>
        </xdr:cNvPr>
        <xdr:cNvSpPr/>
      </xdr:nvSpPr>
      <xdr:spPr>
        <a:xfrm rot="10800000">
          <a:off x="11803380" y="2122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203</xdr:row>
      <xdr:rowOff>0</xdr:rowOff>
    </xdr:from>
    <xdr:to>
      <xdr:col>28</xdr:col>
      <xdr:colOff>83820</xdr:colOff>
      <xdr:row>203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D2198615-5E59-48BB-AA66-29E95765C0B0}"/>
            </a:ext>
          </a:extLst>
        </xdr:cNvPr>
        <xdr:cNvSpPr/>
      </xdr:nvSpPr>
      <xdr:spPr>
        <a:xfrm rot="10800000">
          <a:off x="11803380" y="2140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204</xdr:row>
      <xdr:rowOff>0</xdr:rowOff>
    </xdr:from>
    <xdr:to>
      <xdr:col>28</xdr:col>
      <xdr:colOff>83820</xdr:colOff>
      <xdr:row>204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7E0BF32D-D098-4EC4-84E8-CE26B5E1EB7C}"/>
            </a:ext>
          </a:extLst>
        </xdr:cNvPr>
        <xdr:cNvSpPr/>
      </xdr:nvSpPr>
      <xdr:spPr>
        <a:xfrm rot="10800000">
          <a:off x="11803380" y="2158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205</xdr:row>
      <xdr:rowOff>0</xdr:rowOff>
    </xdr:from>
    <xdr:to>
      <xdr:col>28</xdr:col>
      <xdr:colOff>83820</xdr:colOff>
      <xdr:row>205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96985E43-CC33-4F09-A499-76A3A99BA5BF}"/>
            </a:ext>
          </a:extLst>
        </xdr:cNvPr>
        <xdr:cNvSpPr/>
      </xdr:nvSpPr>
      <xdr:spPr>
        <a:xfrm rot="10800000">
          <a:off x="11803380" y="2177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206</xdr:row>
      <xdr:rowOff>0</xdr:rowOff>
    </xdr:from>
    <xdr:to>
      <xdr:col>28</xdr:col>
      <xdr:colOff>83820</xdr:colOff>
      <xdr:row>206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6A38A8B3-06E6-4F5C-BB41-5EA618C3B206}"/>
            </a:ext>
          </a:extLst>
        </xdr:cNvPr>
        <xdr:cNvSpPr/>
      </xdr:nvSpPr>
      <xdr:spPr>
        <a:xfrm rot="10800000">
          <a:off x="11803380" y="2195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207</xdr:row>
      <xdr:rowOff>0</xdr:rowOff>
    </xdr:from>
    <xdr:to>
      <xdr:col>28</xdr:col>
      <xdr:colOff>83820</xdr:colOff>
      <xdr:row>207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9F2ED279-07F4-4C9D-BA65-CEAD3AC89E3E}"/>
            </a:ext>
          </a:extLst>
        </xdr:cNvPr>
        <xdr:cNvSpPr/>
      </xdr:nvSpPr>
      <xdr:spPr>
        <a:xfrm rot="10800000">
          <a:off x="11803380" y="2213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208</xdr:row>
      <xdr:rowOff>0</xdr:rowOff>
    </xdr:from>
    <xdr:to>
      <xdr:col>28</xdr:col>
      <xdr:colOff>83820</xdr:colOff>
      <xdr:row>208</xdr:row>
      <xdr:rowOff>114300</xdr:rowOff>
    </xdr:to>
    <xdr:sp macro="" textlink="">
      <xdr:nvSpPr>
        <xdr:cNvPr id="225" name="Arrow: Down 224">
          <a:extLst>
            <a:ext uri="{FF2B5EF4-FFF2-40B4-BE49-F238E27FC236}">
              <a16:creationId xmlns:a16="http://schemas.microsoft.com/office/drawing/2014/main" id="{7C021097-DCE2-4A90-8C40-25FBFDC8F148}"/>
            </a:ext>
          </a:extLst>
        </xdr:cNvPr>
        <xdr:cNvSpPr/>
      </xdr:nvSpPr>
      <xdr:spPr>
        <a:xfrm rot="10800000">
          <a:off x="11803380" y="2231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209</xdr:row>
      <xdr:rowOff>0</xdr:rowOff>
    </xdr:from>
    <xdr:to>
      <xdr:col>28</xdr:col>
      <xdr:colOff>83820</xdr:colOff>
      <xdr:row>209</xdr:row>
      <xdr:rowOff>114300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67463B83-599B-499C-B69E-AE703690EBCD}"/>
            </a:ext>
          </a:extLst>
        </xdr:cNvPr>
        <xdr:cNvSpPr/>
      </xdr:nvSpPr>
      <xdr:spPr>
        <a:xfrm rot="10800000">
          <a:off x="11803380" y="2250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211</xdr:row>
      <xdr:rowOff>0</xdr:rowOff>
    </xdr:from>
    <xdr:to>
      <xdr:col>28</xdr:col>
      <xdr:colOff>83820</xdr:colOff>
      <xdr:row>211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71311B86-84D2-426D-B3DB-8DDA3BF26C17}"/>
            </a:ext>
          </a:extLst>
        </xdr:cNvPr>
        <xdr:cNvSpPr/>
      </xdr:nvSpPr>
      <xdr:spPr>
        <a:xfrm>
          <a:off x="11803380" y="2305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212</xdr:row>
      <xdr:rowOff>0</xdr:rowOff>
    </xdr:from>
    <xdr:to>
      <xdr:col>28</xdr:col>
      <xdr:colOff>83820</xdr:colOff>
      <xdr:row>212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FE02506B-2FBC-424F-BC5E-6357D42EEC5E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210</xdr:row>
      <xdr:rowOff>0</xdr:rowOff>
    </xdr:from>
    <xdr:to>
      <xdr:col>28</xdr:col>
      <xdr:colOff>83820</xdr:colOff>
      <xdr:row>210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2A8FF5F7-BA7B-4BF9-B204-5C742475E83E}"/>
            </a:ext>
          </a:extLst>
        </xdr:cNvPr>
        <xdr:cNvSpPr/>
      </xdr:nvSpPr>
      <xdr:spPr>
        <a:xfrm rot="10800000">
          <a:off x="11803380" y="2286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213</xdr:row>
      <xdr:rowOff>0</xdr:rowOff>
    </xdr:from>
    <xdr:to>
      <xdr:col>28</xdr:col>
      <xdr:colOff>83820</xdr:colOff>
      <xdr:row>213</xdr:row>
      <xdr:rowOff>114300</xdr:rowOff>
    </xdr:to>
    <xdr:sp macro="" textlink="">
      <xdr:nvSpPr>
        <xdr:cNvPr id="236" name="Arrow: Down 235">
          <a:extLst>
            <a:ext uri="{FF2B5EF4-FFF2-40B4-BE49-F238E27FC236}">
              <a16:creationId xmlns:a16="http://schemas.microsoft.com/office/drawing/2014/main" id="{8A063BB7-ABA5-43DA-A093-5CC7832253D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214</xdr:row>
      <xdr:rowOff>0</xdr:rowOff>
    </xdr:from>
    <xdr:to>
      <xdr:col>28</xdr:col>
      <xdr:colOff>83820</xdr:colOff>
      <xdr:row>214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4F0025AC-1A5C-4A2F-925E-5911FFD08858}"/>
            </a:ext>
          </a:extLst>
        </xdr:cNvPr>
        <xdr:cNvSpPr/>
      </xdr:nvSpPr>
      <xdr:spPr>
        <a:xfrm rot="10800000">
          <a:off x="11803380" y="2341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215</xdr:row>
      <xdr:rowOff>0</xdr:rowOff>
    </xdr:from>
    <xdr:to>
      <xdr:col>28</xdr:col>
      <xdr:colOff>83820</xdr:colOff>
      <xdr:row>215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07B21E86-261F-484D-83B6-A1CAF93E9178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216</xdr:row>
      <xdr:rowOff>0</xdr:rowOff>
    </xdr:from>
    <xdr:to>
      <xdr:col>28</xdr:col>
      <xdr:colOff>83820</xdr:colOff>
      <xdr:row>216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BA0C8444-6860-473A-B93B-B685B0782F5D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217</xdr:row>
      <xdr:rowOff>0</xdr:rowOff>
    </xdr:from>
    <xdr:to>
      <xdr:col>28</xdr:col>
      <xdr:colOff>83820</xdr:colOff>
      <xdr:row>217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E2FF1B70-4B2C-4177-BFDF-9D936A323617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218</xdr:row>
      <xdr:rowOff>0</xdr:rowOff>
    </xdr:from>
    <xdr:to>
      <xdr:col>28</xdr:col>
      <xdr:colOff>83820</xdr:colOff>
      <xdr:row>218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9753CFC7-7D9D-40EA-BB81-A9461F142D6F}"/>
            </a:ext>
          </a:extLst>
        </xdr:cNvPr>
        <xdr:cNvSpPr/>
      </xdr:nvSpPr>
      <xdr:spPr>
        <a:xfrm>
          <a:off x="11803380" y="2414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219</xdr:row>
      <xdr:rowOff>0</xdr:rowOff>
    </xdr:from>
    <xdr:to>
      <xdr:col>28</xdr:col>
      <xdr:colOff>83820</xdr:colOff>
      <xdr:row>219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CEABB028-6FAA-49EF-9A44-254AF9AE1F9A}"/>
            </a:ext>
          </a:extLst>
        </xdr:cNvPr>
        <xdr:cNvSpPr/>
      </xdr:nvSpPr>
      <xdr:spPr>
        <a:xfrm>
          <a:off x="11803380" y="2433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220</xdr:row>
      <xdr:rowOff>0</xdr:rowOff>
    </xdr:from>
    <xdr:to>
      <xdr:col>28</xdr:col>
      <xdr:colOff>83820</xdr:colOff>
      <xdr:row>220</xdr:row>
      <xdr:rowOff>114300</xdr:rowOff>
    </xdr:to>
    <xdr:sp macro="" textlink="">
      <xdr:nvSpPr>
        <xdr:cNvPr id="240" name="Arrow: Down 239">
          <a:extLst>
            <a:ext uri="{FF2B5EF4-FFF2-40B4-BE49-F238E27FC236}">
              <a16:creationId xmlns:a16="http://schemas.microsoft.com/office/drawing/2014/main" id="{156B74C8-113D-4177-A5C6-5A05FF771B25}"/>
            </a:ext>
          </a:extLst>
        </xdr:cNvPr>
        <xdr:cNvSpPr/>
      </xdr:nvSpPr>
      <xdr:spPr>
        <a:xfrm rot="10800000">
          <a:off x="11803380" y="2469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221</xdr:row>
      <xdr:rowOff>0</xdr:rowOff>
    </xdr:from>
    <xdr:to>
      <xdr:col>28</xdr:col>
      <xdr:colOff>83820</xdr:colOff>
      <xdr:row>221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5BE598EA-E735-4584-944A-BFEBD6958F6F}"/>
            </a:ext>
          </a:extLst>
        </xdr:cNvPr>
        <xdr:cNvSpPr/>
      </xdr:nvSpPr>
      <xdr:spPr>
        <a:xfrm rot="10800000">
          <a:off x="11803380" y="2469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222</xdr:row>
      <xdr:rowOff>0</xdr:rowOff>
    </xdr:from>
    <xdr:to>
      <xdr:col>28</xdr:col>
      <xdr:colOff>83820</xdr:colOff>
      <xdr:row>222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A8FD7F1F-7E03-458C-A49A-A36859DAFDA8}"/>
            </a:ext>
          </a:extLst>
        </xdr:cNvPr>
        <xdr:cNvSpPr/>
      </xdr:nvSpPr>
      <xdr:spPr>
        <a:xfrm rot="10800000">
          <a:off x="11803380" y="2487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223</xdr:row>
      <xdr:rowOff>0</xdr:rowOff>
    </xdr:from>
    <xdr:to>
      <xdr:col>28</xdr:col>
      <xdr:colOff>83820</xdr:colOff>
      <xdr:row>223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4312BBF1-DFFC-4455-9D27-0DBD4CF1BF17}"/>
            </a:ext>
          </a:extLst>
        </xdr:cNvPr>
        <xdr:cNvSpPr/>
      </xdr:nvSpPr>
      <xdr:spPr>
        <a:xfrm rot="10800000">
          <a:off x="11803380" y="2506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224</xdr:row>
      <xdr:rowOff>0</xdr:rowOff>
    </xdr:from>
    <xdr:to>
      <xdr:col>28</xdr:col>
      <xdr:colOff>83820</xdr:colOff>
      <xdr:row>224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DE698BA4-D42B-42D6-93F8-99DE03528795}"/>
            </a:ext>
          </a:extLst>
        </xdr:cNvPr>
        <xdr:cNvSpPr/>
      </xdr:nvSpPr>
      <xdr:spPr>
        <a:xfrm rot="10800000">
          <a:off x="11803380" y="2524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225</xdr:row>
      <xdr:rowOff>0</xdr:rowOff>
    </xdr:from>
    <xdr:to>
      <xdr:col>28</xdr:col>
      <xdr:colOff>83820</xdr:colOff>
      <xdr:row>225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DF346B1C-63F0-4908-AD11-71B13840BB33}"/>
            </a:ext>
          </a:extLst>
        </xdr:cNvPr>
        <xdr:cNvSpPr/>
      </xdr:nvSpPr>
      <xdr:spPr>
        <a:xfrm rot="10800000">
          <a:off x="11803380" y="2542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226</xdr:row>
      <xdr:rowOff>0</xdr:rowOff>
    </xdr:from>
    <xdr:to>
      <xdr:col>28</xdr:col>
      <xdr:colOff>83820</xdr:colOff>
      <xdr:row>226</xdr:row>
      <xdr:rowOff>114300</xdr:rowOff>
    </xdr:to>
    <xdr:sp macro="" textlink="">
      <xdr:nvSpPr>
        <xdr:cNvPr id="239" name="Arrow: Down 238">
          <a:extLst>
            <a:ext uri="{FF2B5EF4-FFF2-40B4-BE49-F238E27FC236}">
              <a16:creationId xmlns:a16="http://schemas.microsoft.com/office/drawing/2014/main" id="{82091613-1C56-4FA4-A8F4-D8BBD639349E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227</xdr:row>
      <xdr:rowOff>0</xdr:rowOff>
    </xdr:from>
    <xdr:to>
      <xdr:col>28</xdr:col>
      <xdr:colOff>83820</xdr:colOff>
      <xdr:row>227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F477E840-085C-453E-9A98-BCE86E636F53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228</xdr:row>
      <xdr:rowOff>0</xdr:rowOff>
    </xdr:from>
    <xdr:to>
      <xdr:col>28</xdr:col>
      <xdr:colOff>83820</xdr:colOff>
      <xdr:row>228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7F763F69-E8D1-4410-979F-BA3A021520E2}"/>
            </a:ext>
          </a:extLst>
        </xdr:cNvPr>
        <xdr:cNvSpPr/>
      </xdr:nvSpPr>
      <xdr:spPr>
        <a:xfrm rot="10800000">
          <a:off x="11803380" y="2597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229</xdr:row>
      <xdr:rowOff>0</xdr:rowOff>
    </xdr:from>
    <xdr:to>
      <xdr:col>28</xdr:col>
      <xdr:colOff>83820</xdr:colOff>
      <xdr:row>229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9B7A8375-EDAF-4AB7-B6FB-BADBDC923C63}"/>
            </a:ext>
          </a:extLst>
        </xdr:cNvPr>
        <xdr:cNvSpPr/>
      </xdr:nvSpPr>
      <xdr:spPr>
        <a:xfrm rot="10800000">
          <a:off x="11803380" y="2615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230</xdr:row>
      <xdr:rowOff>0</xdr:rowOff>
    </xdr:from>
    <xdr:to>
      <xdr:col>28</xdr:col>
      <xdr:colOff>83820</xdr:colOff>
      <xdr:row>230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F9893FDE-C1A4-4461-920C-0F6E18D86467}"/>
            </a:ext>
          </a:extLst>
        </xdr:cNvPr>
        <xdr:cNvSpPr/>
      </xdr:nvSpPr>
      <xdr:spPr>
        <a:xfrm rot="10800000">
          <a:off x="11803380" y="2634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231</xdr:row>
      <xdr:rowOff>0</xdr:rowOff>
    </xdr:from>
    <xdr:to>
      <xdr:col>28</xdr:col>
      <xdr:colOff>83820</xdr:colOff>
      <xdr:row>231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4D975FEF-09CB-4D72-8A16-C235772B6BB0}"/>
            </a:ext>
          </a:extLst>
        </xdr:cNvPr>
        <xdr:cNvSpPr/>
      </xdr:nvSpPr>
      <xdr:spPr>
        <a:xfrm rot="10800000">
          <a:off x="11803380" y="2652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232</xdr:row>
      <xdr:rowOff>0</xdr:rowOff>
    </xdr:from>
    <xdr:to>
      <xdr:col>28</xdr:col>
      <xdr:colOff>83820</xdr:colOff>
      <xdr:row>232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B975C7C6-6EF9-4E39-A4C1-714C6AAA8E90}"/>
            </a:ext>
          </a:extLst>
        </xdr:cNvPr>
        <xdr:cNvSpPr/>
      </xdr:nvSpPr>
      <xdr:spPr>
        <a:xfrm>
          <a:off x="11803380" y="2689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233</xdr:row>
      <xdr:rowOff>0</xdr:rowOff>
    </xdr:from>
    <xdr:to>
      <xdr:col>28</xdr:col>
      <xdr:colOff>83820</xdr:colOff>
      <xdr:row>233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43181CF7-6322-4C8F-8A99-FD509A46C710}"/>
            </a:ext>
          </a:extLst>
        </xdr:cNvPr>
        <xdr:cNvSpPr/>
      </xdr:nvSpPr>
      <xdr:spPr>
        <a:xfrm>
          <a:off x="11803380" y="2689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234</xdr:row>
      <xdr:rowOff>0</xdr:rowOff>
    </xdr:from>
    <xdr:to>
      <xdr:col>28</xdr:col>
      <xdr:colOff>83820</xdr:colOff>
      <xdr:row>234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860DFD3B-5BBE-40A3-B476-FBDD946CA5B8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235</xdr:row>
      <xdr:rowOff>0</xdr:rowOff>
    </xdr:from>
    <xdr:to>
      <xdr:col>28</xdr:col>
      <xdr:colOff>83820</xdr:colOff>
      <xdr:row>235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84B52F09-9232-41B4-B698-7597A14E7353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236</xdr:row>
      <xdr:rowOff>0</xdr:rowOff>
    </xdr:from>
    <xdr:to>
      <xdr:col>28</xdr:col>
      <xdr:colOff>83820</xdr:colOff>
      <xdr:row>236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59E8B501-3EC0-498F-8743-4EB76D0D5782}"/>
            </a:ext>
          </a:extLst>
        </xdr:cNvPr>
        <xdr:cNvSpPr/>
      </xdr:nvSpPr>
      <xdr:spPr>
        <a:xfrm rot="10800000">
          <a:off x="11803380" y="2743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237</xdr:row>
      <xdr:rowOff>0</xdr:rowOff>
    </xdr:from>
    <xdr:to>
      <xdr:col>28</xdr:col>
      <xdr:colOff>83820</xdr:colOff>
      <xdr:row>237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AADE358F-62C3-4286-8523-909073F83357}"/>
            </a:ext>
          </a:extLst>
        </xdr:cNvPr>
        <xdr:cNvSpPr/>
      </xdr:nvSpPr>
      <xdr:spPr>
        <a:xfrm rot="10800000">
          <a:off x="11803380" y="27622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238</xdr:row>
      <xdr:rowOff>0</xdr:rowOff>
    </xdr:from>
    <xdr:to>
      <xdr:col>28</xdr:col>
      <xdr:colOff>83820</xdr:colOff>
      <xdr:row>238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CB72055D-1889-4223-BE43-A2BEDFF7FCAA}"/>
            </a:ext>
          </a:extLst>
        </xdr:cNvPr>
        <xdr:cNvSpPr/>
      </xdr:nvSpPr>
      <xdr:spPr>
        <a:xfrm>
          <a:off x="11803380" y="2798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239</xdr:row>
      <xdr:rowOff>0</xdr:rowOff>
    </xdr:from>
    <xdr:to>
      <xdr:col>28</xdr:col>
      <xdr:colOff>83820</xdr:colOff>
      <xdr:row>239</xdr:row>
      <xdr:rowOff>114300</xdr:rowOff>
    </xdr:to>
    <xdr:sp macro="" textlink="">
      <xdr:nvSpPr>
        <xdr:cNvPr id="257" name="Arrow: Down 256">
          <a:extLst>
            <a:ext uri="{FF2B5EF4-FFF2-40B4-BE49-F238E27FC236}">
              <a16:creationId xmlns:a16="http://schemas.microsoft.com/office/drawing/2014/main" id="{D29BA4E1-B803-4343-B437-34BBBE3952B9}"/>
            </a:ext>
          </a:extLst>
        </xdr:cNvPr>
        <xdr:cNvSpPr/>
      </xdr:nvSpPr>
      <xdr:spPr>
        <a:xfrm>
          <a:off x="11803380" y="2798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240</xdr:row>
      <xdr:rowOff>0</xdr:rowOff>
    </xdr:from>
    <xdr:to>
      <xdr:col>28</xdr:col>
      <xdr:colOff>83820</xdr:colOff>
      <xdr:row>240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5A38A058-C219-4496-A38A-2124DA86484B}"/>
            </a:ext>
          </a:extLst>
        </xdr:cNvPr>
        <xdr:cNvSpPr/>
      </xdr:nvSpPr>
      <xdr:spPr>
        <a:xfrm>
          <a:off x="11803380" y="2817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241</xdr:row>
      <xdr:rowOff>0</xdr:rowOff>
    </xdr:from>
    <xdr:to>
      <xdr:col>28</xdr:col>
      <xdr:colOff>83820</xdr:colOff>
      <xdr:row>241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4864C765-88FA-4911-8103-3A5ED9E871BA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242</xdr:row>
      <xdr:rowOff>0</xdr:rowOff>
    </xdr:from>
    <xdr:to>
      <xdr:col>28</xdr:col>
      <xdr:colOff>83820</xdr:colOff>
      <xdr:row>242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01899BE2-F4E3-4116-8CC4-0F49E0643423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243</xdr:row>
      <xdr:rowOff>0</xdr:rowOff>
    </xdr:from>
    <xdr:to>
      <xdr:col>28</xdr:col>
      <xdr:colOff>83820</xdr:colOff>
      <xdr:row>243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E0924497-C9CA-4059-8B4A-56C926D1DD9B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244</xdr:row>
      <xdr:rowOff>0</xdr:rowOff>
    </xdr:from>
    <xdr:to>
      <xdr:col>28</xdr:col>
      <xdr:colOff>83820</xdr:colOff>
      <xdr:row>244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70889793-A59B-4C34-9E2F-EB2B6C576053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245</xdr:row>
      <xdr:rowOff>0</xdr:rowOff>
    </xdr:from>
    <xdr:to>
      <xdr:col>28</xdr:col>
      <xdr:colOff>83820</xdr:colOff>
      <xdr:row>245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CFB491E-8189-4DD9-A5A8-4FF778E09574}"/>
            </a:ext>
          </a:extLst>
        </xdr:cNvPr>
        <xdr:cNvSpPr/>
      </xdr:nvSpPr>
      <xdr:spPr>
        <a:xfrm>
          <a:off x="11803380" y="2908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246</xdr:row>
      <xdr:rowOff>0</xdr:rowOff>
    </xdr:from>
    <xdr:to>
      <xdr:col>28</xdr:col>
      <xdr:colOff>83820</xdr:colOff>
      <xdr:row>246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729362B5-F133-4398-BAC8-43F6F3643E91}"/>
            </a:ext>
          </a:extLst>
        </xdr:cNvPr>
        <xdr:cNvSpPr/>
      </xdr:nvSpPr>
      <xdr:spPr>
        <a:xfrm>
          <a:off x="11803380" y="2926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383"/>
  <sheetViews>
    <sheetView tabSelected="1" topLeftCell="A260" zoomScaleNormal="100" workbookViewId="0">
      <selection activeCell="BK292" sqref="BK292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1.554687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10.441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1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1.3320312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3.88671875" customWidth="1"/>
    <col min="54" max="54" width="1.109375" customWidth="1"/>
    <col min="55" max="55" width="11.77734375" customWidth="1"/>
    <col min="56" max="56" width="1.33203125" customWidth="1"/>
    <col min="57" max="57" width="12.21875" customWidth="1"/>
    <col min="58" max="58" width="1.109375" customWidth="1"/>
    <col min="59" max="59" width="11.33203125" customWidth="1"/>
    <col min="60" max="60" width="1.109375" customWidth="1"/>
    <col min="61" max="61" width="3.88671875" customWidth="1"/>
    <col min="62" max="62" width="1.44140625" customWidth="1" outlineLevel="1"/>
    <col min="63" max="63" width="15.109375" customWidth="1" outlineLevel="1"/>
    <col min="64" max="64" width="0.88671875" customWidth="1" outlineLevel="1"/>
    <col min="65" max="65" width="6.88671875" customWidth="1" outlineLevel="1"/>
    <col min="66" max="66" width="10.109375" customWidth="1"/>
    <col min="67" max="67" width="0.88671875" customWidth="1"/>
    <col min="68" max="68" width="11.554687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5" t="s">
        <v>5</v>
      </c>
      <c r="C1" s="605"/>
      <c r="D1" s="605"/>
    </row>
    <row r="2" spans="2:90" ht="15.6" x14ac:dyDescent="0.3">
      <c r="B2" s="605" t="s">
        <v>6</v>
      </c>
      <c r="C2" s="605"/>
      <c r="D2" s="605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10" t="s">
        <v>13</v>
      </c>
      <c r="C3" s="610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6" t="s">
        <v>11</v>
      </c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11"/>
      <c r="AE4" s="325"/>
      <c r="AF4" s="447"/>
      <c r="AG4" s="447"/>
      <c r="AH4" s="447"/>
      <c r="AI4" s="447"/>
      <c r="AJ4" s="12"/>
      <c r="AL4" s="621" t="s">
        <v>14</v>
      </c>
      <c r="AM4" s="622"/>
      <c r="AN4" s="622"/>
      <c r="AO4" s="622"/>
      <c r="AP4" s="622"/>
      <c r="AQ4" s="622"/>
      <c r="AR4" s="622"/>
      <c r="AS4" s="622"/>
      <c r="AT4" s="622"/>
      <c r="AU4" s="622"/>
      <c r="AV4" s="622"/>
      <c r="AW4" s="622"/>
      <c r="AX4" s="622"/>
      <c r="AY4" s="622"/>
      <c r="AZ4" s="622"/>
      <c r="BA4" s="622"/>
      <c r="BB4" s="622"/>
      <c r="BC4" s="622"/>
      <c r="BD4" s="622"/>
      <c r="BE4" s="622"/>
      <c r="BF4" s="622"/>
      <c r="BG4" s="622"/>
      <c r="BH4" s="622"/>
      <c r="BI4" s="622"/>
      <c r="BJ4" s="622"/>
      <c r="BK4" s="622"/>
      <c r="BL4" s="622"/>
      <c r="BM4" s="622"/>
      <c r="BN4" s="622"/>
      <c r="BO4" s="622"/>
      <c r="BP4" s="622"/>
      <c r="BQ4" s="622"/>
      <c r="BR4" s="622"/>
      <c r="BS4" s="622"/>
      <c r="BT4" s="622"/>
      <c r="BU4" s="623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11" t="s">
        <v>12</v>
      </c>
      <c r="G6" s="611"/>
      <c r="H6" s="611"/>
      <c r="I6" s="611"/>
      <c r="J6" s="611"/>
      <c r="K6" s="611"/>
      <c r="L6" s="611"/>
      <c r="M6" s="335"/>
      <c r="N6" s="542"/>
      <c r="O6" s="335"/>
      <c r="P6" s="336"/>
      <c r="Q6" s="617" t="s">
        <v>124</v>
      </c>
      <c r="R6" s="611"/>
      <c r="S6" s="611"/>
      <c r="T6" s="611"/>
      <c r="U6" s="618"/>
      <c r="V6" s="3"/>
      <c r="W6" s="8" t="s">
        <v>7</v>
      </c>
      <c r="X6" s="30"/>
      <c r="Y6" s="612">
        <v>1.2500000000000001E-2</v>
      </c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613"/>
      <c r="AK6" s="3"/>
      <c r="AL6" s="628" t="s">
        <v>27</v>
      </c>
      <c r="AM6" s="629"/>
      <c r="AN6" s="629"/>
      <c r="AO6" s="629"/>
      <c r="AP6" s="629"/>
      <c r="AQ6" s="629"/>
      <c r="AR6" s="629"/>
      <c r="AS6" s="629"/>
      <c r="AT6" s="629"/>
      <c r="AU6" s="629"/>
      <c r="AV6" s="629"/>
      <c r="AW6" s="629"/>
      <c r="AX6" s="629"/>
      <c r="AY6" s="630"/>
      <c r="AZ6" s="3"/>
      <c r="BA6" s="631" t="s">
        <v>7</v>
      </c>
      <c r="BB6" s="625"/>
      <c r="BC6" s="625"/>
      <c r="BD6" s="97"/>
      <c r="BE6" s="624" t="s">
        <v>26</v>
      </c>
      <c r="BF6" s="624"/>
      <c r="BG6" s="624"/>
      <c r="BH6" s="624"/>
      <c r="BI6" s="624"/>
      <c r="BJ6" s="624"/>
      <c r="BK6" s="624"/>
      <c r="BL6" s="624"/>
      <c r="BM6" s="624"/>
      <c r="BN6" s="624"/>
      <c r="BO6" s="624"/>
      <c r="BP6" s="624"/>
      <c r="BQ6" s="624"/>
      <c r="BR6" s="625"/>
      <c r="BS6" s="625"/>
      <c r="BT6" s="625"/>
      <c r="BU6" s="626"/>
      <c r="BV6" s="3"/>
    </row>
    <row r="7" spans="2:90" ht="16.2" x14ac:dyDescent="0.3">
      <c r="D7" s="608" t="s">
        <v>20</v>
      </c>
      <c r="E7" s="609"/>
      <c r="F7" s="609"/>
      <c r="G7" s="609"/>
      <c r="H7" s="609"/>
      <c r="I7" s="609"/>
      <c r="J7" s="609"/>
      <c r="K7" s="465"/>
      <c r="L7" s="465"/>
      <c r="M7" s="465"/>
      <c r="N7" s="541"/>
      <c r="O7" s="465"/>
      <c r="P7" s="466"/>
      <c r="Q7" s="448"/>
      <c r="R7" s="449"/>
      <c r="S7" s="449"/>
      <c r="T7" s="449"/>
      <c r="U7" s="337"/>
      <c r="V7" s="3"/>
      <c r="W7" s="614" t="s">
        <v>35</v>
      </c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5"/>
      <c r="AJ7" s="616"/>
      <c r="AK7" s="3"/>
      <c r="AL7" s="608" t="s">
        <v>76</v>
      </c>
      <c r="AM7" s="609"/>
      <c r="AN7" s="609"/>
      <c r="AO7" s="609"/>
      <c r="AP7" s="609"/>
      <c r="AQ7" s="609"/>
      <c r="AR7" s="609"/>
      <c r="AS7" s="609"/>
      <c r="AT7" s="609"/>
      <c r="AU7" s="609"/>
      <c r="AV7" s="609"/>
      <c r="AW7" s="609"/>
      <c r="AX7" s="609"/>
      <c r="AY7" s="627"/>
      <c r="BA7" s="608" t="s">
        <v>25</v>
      </c>
      <c r="BB7" s="609"/>
      <c r="BC7" s="609"/>
      <c r="BD7" s="609"/>
      <c r="BE7" s="609"/>
      <c r="BF7" s="609"/>
      <c r="BG7" s="609"/>
      <c r="BH7" s="609"/>
      <c r="BI7" s="609"/>
      <c r="BJ7" s="609"/>
      <c r="BK7" s="609"/>
      <c r="BL7" s="609"/>
      <c r="BM7" s="609"/>
      <c r="BN7" s="609"/>
      <c r="BO7" s="609"/>
      <c r="BP7" s="609"/>
      <c r="BQ7" s="609"/>
      <c r="BR7" s="609"/>
      <c r="BS7" s="609"/>
      <c r="BT7" s="609"/>
      <c r="BU7" s="627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619" t="s">
        <v>1</v>
      </c>
      <c r="BB8" s="620"/>
      <c r="BC8" s="620"/>
      <c r="BD8" s="64"/>
      <c r="BE8" s="620" t="s">
        <v>24</v>
      </c>
      <c r="BF8" s="620"/>
      <c r="BG8" s="620"/>
      <c r="BH8" s="620"/>
      <c r="BI8" s="632"/>
      <c r="BJ8" s="633" t="s">
        <v>124</v>
      </c>
      <c r="BK8" s="634"/>
      <c r="BL8" s="634"/>
      <c r="BM8" s="635"/>
      <c r="BN8" s="619" t="s">
        <v>24</v>
      </c>
      <c r="BO8" s="620"/>
      <c r="BP8" s="620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>
        <f>+BK82+BK75+BK68+BK61</f>
        <v>10475827</v>
      </c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>
        <f>+BK84/4</f>
        <v>2618956.75</v>
      </c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469">
        <f>SUM(D83:D112)</f>
        <v>869627</v>
      </c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>
        <f>SUM(BA83:BA112)</f>
        <v>16525460</v>
      </c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149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3" t="s">
        <v>149</v>
      </c>
      <c r="AA114" s="33">
        <f>+AA113+W114+670+642-57-19+91</f>
        <v>132756</v>
      </c>
      <c r="AB114" s="33"/>
      <c r="AC114" s="46">
        <f t="shared" si="73"/>
        <v>4.6098458384435784E-2</v>
      </c>
      <c r="AD114" s="33"/>
      <c r="AE114" s="33">
        <f t="shared" si="74"/>
        <v>1264.3428571428572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149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133372</v>
      </c>
      <c r="AB115" s="33"/>
      <c r="AC115" s="46">
        <f t="shared" si="73"/>
        <v>4.5396635110402678E-2</v>
      </c>
      <c r="AD115" s="33"/>
      <c r="AE115" s="33">
        <f t="shared" si="74"/>
        <v>1258.2264150943397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+H115+D116+2919+25339</f>
        <v>3012769</v>
      </c>
      <c r="I116" s="505" t="s">
        <v>149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28156.719626168226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133626</v>
      </c>
      <c r="AB116" s="33"/>
      <c r="AC116" s="46">
        <f t="shared" si="73"/>
        <v>4.4353217920125969E-2</v>
      </c>
      <c r="AD116" s="33"/>
      <c r="AE116" s="33">
        <f t="shared" si="74"/>
        <v>1248.8411214953271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0.41835434445853631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3057299</v>
      </c>
      <c r="I117" s="16"/>
      <c r="J117" s="38">
        <f t="shared" si="70"/>
        <v>1.4780422926550293E-2</v>
      </c>
      <c r="K117" s="16"/>
      <c r="L117" s="16"/>
      <c r="M117" s="16"/>
      <c r="N117" s="16">
        <f>SUM(D111:D117)</f>
        <v>350953</v>
      </c>
      <c r="O117" s="16">
        <f t="shared" si="71"/>
        <v>28308.324074074073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133877</v>
      </c>
      <c r="AB117" s="33"/>
      <c r="AC117" s="46">
        <f t="shared" si="73"/>
        <v>4.3789305527526093E-2</v>
      </c>
      <c r="AD117" s="33"/>
      <c r="AE117" s="33">
        <f t="shared" si="74"/>
        <v>1239.601851851852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0.42048847692031432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3110911</v>
      </c>
      <c r="I118" s="16"/>
      <c r="J118" s="38">
        <f t="shared" si="70"/>
        <v>1.7535739880201445E-2</v>
      </c>
      <c r="K118" s="16"/>
      <c r="L118" s="16"/>
      <c r="M118" s="16"/>
      <c r="N118" s="16"/>
      <c r="O118" s="16">
        <f t="shared" si="71"/>
        <v>28540.467889908257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134255</v>
      </c>
      <c r="AB118" s="33"/>
      <c r="AC118" s="46">
        <f t="shared" si="73"/>
        <v>4.3156168723566826E-2</v>
      </c>
      <c r="AD118" s="33"/>
      <c r="AE118" s="33">
        <f t="shared" si="74"/>
        <v>1231.6972477064221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0.42590321613186621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3166353</v>
      </c>
      <c r="I119" s="16"/>
      <c r="J119" s="38">
        <f t="shared" si="70"/>
        <v>1.782178918008262E-2</v>
      </c>
      <c r="K119" s="16"/>
      <c r="L119" s="16"/>
      <c r="M119" s="16"/>
      <c r="N119" s="16"/>
      <c r="O119" s="16">
        <f t="shared" si="71"/>
        <v>28785.027272727271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135248</v>
      </c>
      <c r="AB119" s="33"/>
      <c r="AC119" s="46">
        <f t="shared" si="73"/>
        <v>4.2714125683396637E-2</v>
      </c>
      <c r="AD119" s="33"/>
      <c r="AE119" s="33">
        <f t="shared" si="74"/>
        <v>1229.5272727272727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0.42789385769685184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3228201</v>
      </c>
      <c r="I120" s="16"/>
      <c r="J120" s="38">
        <f t="shared" si="70"/>
        <v>1.9532882151800511E-2</v>
      </c>
      <c r="K120" s="16"/>
      <c r="L120" s="16"/>
      <c r="M120" s="16"/>
      <c r="N120" s="16"/>
      <c r="O120" s="16">
        <f t="shared" si="71"/>
        <v>29082.891891891893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136138</v>
      </c>
      <c r="AB120" s="33"/>
      <c r="AC120" s="46">
        <f t="shared" si="73"/>
        <v>4.2171475691879158E-2</v>
      </c>
      <c r="AD120" s="33"/>
      <c r="AE120" s="33">
        <f t="shared" si="74"/>
        <v>1226.4684684684685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0.43141024985742832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3289268</v>
      </c>
      <c r="I121" s="16"/>
      <c r="J121" s="38">
        <f t="shared" si="70"/>
        <v>1.8916727923694962E-2</v>
      </c>
      <c r="K121" s="16"/>
      <c r="L121" s="16"/>
      <c r="M121" s="16"/>
      <c r="N121" s="16"/>
      <c r="O121" s="16">
        <f t="shared" si="71"/>
        <v>29368.464285714286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137098</v>
      </c>
      <c r="AB121" s="33"/>
      <c r="AC121" s="46">
        <f t="shared" si="73"/>
        <v>4.1680398191938146E-2</v>
      </c>
      <c r="AD121" s="33"/>
      <c r="AE121" s="33">
        <f t="shared" si="74"/>
        <v>1224.0892857142858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0.43366122796926249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3361055</v>
      </c>
      <c r="I122" s="16"/>
      <c r="J122" s="38">
        <f t="shared" si="70"/>
        <v>2.1824612649379741E-2</v>
      </c>
      <c r="K122" s="16"/>
      <c r="L122" s="16"/>
      <c r="M122" s="16"/>
      <c r="N122" s="16"/>
      <c r="O122" s="16">
        <f t="shared" si="71"/>
        <v>29743.849557522124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137947</v>
      </c>
      <c r="AB122" s="33"/>
      <c r="AC122" s="46">
        <f t="shared" si="73"/>
        <v>4.1042767821413216E-2</v>
      </c>
      <c r="AD122" s="33"/>
      <c r="AE122" s="33">
        <f t="shared" si="74"/>
        <v>1220.7699115044247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0.43453469223205216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3422774</v>
      </c>
      <c r="I123" s="16"/>
      <c r="J123" s="38">
        <f t="shared" si="70"/>
        <v>1.8362984241555108E-2</v>
      </c>
      <c r="K123" s="16"/>
      <c r="L123" s="16"/>
      <c r="M123" s="16"/>
      <c r="N123" s="16"/>
      <c r="O123" s="16">
        <f t="shared" si="71"/>
        <v>30024.333333333332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138678</v>
      </c>
      <c r="AB123" s="33"/>
      <c r="AC123" s="46">
        <f t="shared" si="73"/>
        <v>4.0516259618660184E-2</v>
      </c>
      <c r="AD123" s="33"/>
      <c r="AE123" s="33">
        <f t="shared" si="74"/>
        <v>1216.4736842105262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0.4354497258656283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7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3481123</v>
      </c>
      <c r="I124" s="16"/>
      <c r="J124" s="38">
        <f t="shared" si="70"/>
        <v>1.7047283869750091E-2</v>
      </c>
      <c r="K124" s="16"/>
      <c r="L124" s="16"/>
      <c r="M124" s="16"/>
      <c r="N124" s="16">
        <f>SUM(D118:D124)</f>
        <v>423824</v>
      </c>
      <c r="O124" s="16">
        <f t="shared" si="71"/>
        <v>30270.634782608697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139058</v>
      </c>
      <c r="AB124" s="33"/>
      <c r="AC124" s="46">
        <f t="shared" si="73"/>
        <v>3.9946304683862073E-2</v>
      </c>
      <c r="AD124" s="33"/>
      <c r="AE124" s="33">
        <f t="shared" si="74"/>
        <v>1209.2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0.43580304401769199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3546611</v>
      </c>
      <c r="I125" s="16"/>
      <c r="J125" s="38">
        <f t="shared" si="70"/>
        <v>1.8812320047295081E-2</v>
      </c>
      <c r="K125" s="16"/>
      <c r="L125" s="16"/>
      <c r="M125" s="16"/>
      <c r="N125" s="16"/>
      <c r="O125" s="16">
        <f t="shared" si="71"/>
        <v>30574.232758620688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5">
        <f t="shared" si="85"/>
        <v>17</v>
      </c>
      <c r="W125" s="34">
        <v>465</v>
      </c>
      <c r="X125" s="33"/>
      <c r="Y125" s="33"/>
      <c r="Z125" s="33"/>
      <c r="AA125" s="33">
        <f t="shared" si="72"/>
        <v>139523</v>
      </c>
      <c r="AB125" s="33"/>
      <c r="AC125" s="46">
        <f t="shared" si="73"/>
        <v>3.9339809186854716E-2</v>
      </c>
      <c r="AD125" s="33"/>
      <c r="AE125" s="33">
        <f t="shared" si="74"/>
        <v>1202.7844827586207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0.43688721430120192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3612659</v>
      </c>
      <c r="I126" s="16"/>
      <c r="J126" s="38">
        <f t="shared" si="70"/>
        <v>1.8622848685688958E-2</v>
      </c>
      <c r="K126" s="16"/>
      <c r="L126" s="16"/>
      <c r="M126" s="16"/>
      <c r="N126" s="16"/>
      <c r="O126" s="16">
        <f t="shared" si="71"/>
        <v>30877.427350427351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140459</v>
      </c>
      <c r="AB126" s="33"/>
      <c r="AC126" s="46">
        <f t="shared" si="73"/>
        <v>3.8879672839313095E-2</v>
      </c>
      <c r="AD126" s="33"/>
      <c r="AE126" s="33">
        <f t="shared" si="74"/>
        <v>1200.5042735042734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0.44294105809598966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3684664</v>
      </c>
      <c r="I127" s="16"/>
      <c r="J127" s="38">
        <f t="shared" ref="J127:J164" si="90">+D127/H126</f>
        <v>1.9931302677612252E-2</v>
      </c>
      <c r="K127" s="16"/>
      <c r="L127" s="16"/>
      <c r="M127" s="16"/>
      <c r="N127" s="16"/>
      <c r="O127" s="16">
        <f t="shared" ref="O127:O150" si="91">+H127/BW127</f>
        <v>31225.966101694914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141461</v>
      </c>
      <c r="AB127" s="33"/>
      <c r="AC127" s="46">
        <f t="shared" ref="AC127:AC164" si="94">+AA127/H127</f>
        <v>3.8391831656834921E-2</v>
      </c>
      <c r="AD127" s="33"/>
      <c r="AE127" s="33">
        <f t="shared" ref="AE127:AE164" si="95">+AA127/BW127</f>
        <v>1198.8220338983051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0.44670613114248681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3758052</v>
      </c>
      <c r="I128" s="16"/>
      <c r="J128" s="38">
        <f t="shared" si="90"/>
        <v>1.9917148483552367E-2</v>
      </c>
      <c r="K128" s="16"/>
      <c r="L128" s="16"/>
      <c r="M128" s="16"/>
      <c r="N128" s="16"/>
      <c r="O128" s="16">
        <f t="shared" si="91"/>
        <v>31580.268907563026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142424</v>
      </c>
      <c r="AB128" s="33"/>
      <c r="AC128" s="46">
        <f t="shared" si="94"/>
        <v>3.789835797908065E-2</v>
      </c>
      <c r="AD128" s="33"/>
      <c r="AE128" s="33">
        <f t="shared" si="95"/>
        <v>1196.8403361344538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0.44694245848647118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3833039</v>
      </c>
      <c r="I129" s="16"/>
      <c r="J129" s="38">
        <f t="shared" si="90"/>
        <v>1.9953688772800376E-2</v>
      </c>
      <c r="K129" s="16"/>
      <c r="L129" s="16"/>
      <c r="M129" s="16"/>
      <c r="N129" s="16"/>
      <c r="O129" s="16">
        <f t="shared" si="91"/>
        <v>31941.991666666665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143370</v>
      </c>
      <c r="AB129" s="33"/>
      <c r="AC129" s="46">
        <f t="shared" si="94"/>
        <v>3.7403741522066436E-2</v>
      </c>
      <c r="AD129" s="33"/>
      <c r="AE129" s="33">
        <f t="shared" si="95"/>
        <v>1194.75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0.45426957565524378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3896298</v>
      </c>
      <c r="I130" s="16"/>
      <c r="J130" s="479">
        <f t="shared" si="90"/>
        <v>1.6503615016700848E-2</v>
      </c>
      <c r="K130" s="16"/>
      <c r="L130" s="16"/>
      <c r="M130" s="16"/>
      <c r="N130" s="16"/>
      <c r="O130" s="16">
        <f t="shared" si="91"/>
        <v>32200.809917355371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144183</v>
      </c>
      <c r="AB130" s="33"/>
      <c r="AC130" s="46">
        <f t="shared" si="94"/>
        <v>3.7005126404602524E-2</v>
      </c>
      <c r="AD130" s="33"/>
      <c r="AE130" s="33">
        <f t="shared" si="95"/>
        <v>1191.595041322314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0.45558476276711896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3961577</v>
      </c>
      <c r="I131" s="16"/>
      <c r="J131" s="479">
        <f t="shared" si="90"/>
        <v>1.6754108643640707E-2</v>
      </c>
      <c r="K131" s="16"/>
      <c r="L131" s="16"/>
      <c r="M131" s="16"/>
      <c r="N131" s="16">
        <f>SUM(D125:D131)</f>
        <v>480454</v>
      </c>
      <c r="O131" s="16">
        <f t="shared" si="91"/>
        <v>32471.942622950821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144595</v>
      </c>
      <c r="AB131" s="33"/>
      <c r="AC131" s="46">
        <f t="shared" si="94"/>
        <v>3.6499353666481806E-2</v>
      </c>
      <c r="AD131" s="33"/>
      <c r="AE131" s="33">
        <f t="shared" si="95"/>
        <v>1185.204918032787</v>
      </c>
      <c r="AF131" s="50"/>
      <c r="AG131" s="33">
        <f>SUM(W125:W131)</f>
        <v>5537</v>
      </c>
      <c r="AH131" s="33">
        <f>SUM(D102:D299)</f>
        <v>16818321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0.45495468092630786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4024456</v>
      </c>
      <c r="I132" s="16"/>
      <c r="J132" s="479">
        <f t="shared" si="90"/>
        <v>1.5872214524670351E-2</v>
      </c>
      <c r="K132" s="16"/>
      <c r="L132" s="16"/>
      <c r="M132" s="16"/>
      <c r="N132" s="16"/>
      <c r="O132" s="16">
        <f t="shared" si="91"/>
        <v>32719.154471544716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145140</v>
      </c>
      <c r="AB132" s="33"/>
      <c r="AC132" s="46">
        <f t="shared" si="94"/>
        <v>3.6064501636991438E-2</v>
      </c>
      <c r="AD132" s="33"/>
      <c r="AE132" s="33">
        <f t="shared" si="95"/>
        <v>1180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0.45968672536114197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4091935</v>
      </c>
      <c r="I133" s="16"/>
      <c r="J133" s="479">
        <f t="shared" si="90"/>
        <v>1.676723512444912E-2</v>
      </c>
      <c r="K133" s="16"/>
      <c r="L133" s="16"/>
      <c r="M133" s="16"/>
      <c r="N133" s="16"/>
      <c r="O133" s="16">
        <f t="shared" si="91"/>
        <v>32999.475806451614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146305</v>
      </c>
      <c r="AB133" s="33"/>
      <c r="AC133" s="46">
        <f t="shared" si="94"/>
        <v>3.5754478015902015E-2</v>
      </c>
      <c r="AD133" s="33"/>
      <c r="AE133" s="33">
        <f t="shared" si="95"/>
        <v>1179.8790322580646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0.46104911246146385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4163902</v>
      </c>
      <c r="I134" s="16"/>
      <c r="J134" s="479">
        <f t="shared" si="90"/>
        <v>1.7587522773455589E-2</v>
      </c>
      <c r="K134" s="16"/>
      <c r="L134" s="16"/>
      <c r="M134" s="16"/>
      <c r="N134" s="16"/>
      <c r="O134" s="16">
        <f t="shared" si="91"/>
        <v>33311.216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147510</v>
      </c>
      <c r="AB134" s="33"/>
      <c r="AC134" s="46">
        <f t="shared" si="94"/>
        <v>3.5425905797014434E-2</v>
      </c>
      <c r="AD134" s="33"/>
      <c r="AE134" s="33">
        <f t="shared" si="95"/>
        <v>1180.08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0.46654244023994801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4233345</v>
      </c>
      <c r="I135" s="16"/>
      <c r="J135" s="479">
        <f t="shared" si="90"/>
        <v>1.667738577901209E-2</v>
      </c>
      <c r="K135" s="16"/>
      <c r="L135" s="16"/>
      <c r="M135" s="16"/>
      <c r="N135" s="16"/>
      <c r="O135" s="16">
        <f t="shared" si="91"/>
        <v>33597.976190476191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148676</v>
      </c>
      <c r="AB135" s="33"/>
      <c r="AC135" s="46">
        <f t="shared" si="94"/>
        <v>3.5120218172627081E-2</v>
      </c>
      <c r="AD135" s="33"/>
      <c r="AE135" s="33">
        <f t="shared" si="95"/>
        <v>1179.968253968254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0.46762477426243315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4311323</v>
      </c>
      <c r="I136" s="16"/>
      <c r="J136" s="479">
        <f t="shared" si="90"/>
        <v>1.8419949236360374E-2</v>
      </c>
      <c r="K136" s="16"/>
      <c r="L136" s="16"/>
      <c r="M136" s="16"/>
      <c r="N136" s="16"/>
      <c r="O136" s="16">
        <f t="shared" si="91"/>
        <v>33947.425196850396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149817</v>
      </c>
      <c r="AB136" s="33"/>
      <c r="AC136" s="46">
        <f t="shared" si="94"/>
        <v>3.47496580516004E-2</v>
      </c>
      <c r="AD136" s="33"/>
      <c r="AE136" s="33">
        <f t="shared" si="95"/>
        <v>1179.6614173228347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0.47036420142958435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4378736</v>
      </c>
      <c r="I137" s="16"/>
      <c r="J137" s="479">
        <f t="shared" si="90"/>
        <v>1.5636267567983191E-2</v>
      </c>
      <c r="K137" s="16"/>
      <c r="L137" s="16"/>
      <c r="M137" s="16"/>
      <c r="N137" s="16"/>
      <c r="O137" s="16">
        <f t="shared" si="91"/>
        <v>34208.875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150725</v>
      </c>
      <c r="AB137" s="33"/>
      <c r="AC137" s="46">
        <f t="shared" si="94"/>
        <v>3.4422034121262393E-2</v>
      </c>
      <c r="AD137" s="33"/>
      <c r="AE137" s="33">
        <f t="shared" si="95"/>
        <v>1177.5390625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0.47084181371062334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4434866</v>
      </c>
      <c r="I138" s="16"/>
      <c r="J138" s="479">
        <f t="shared" si="90"/>
        <v>1.2818767790522196E-2</v>
      </c>
      <c r="K138" s="16"/>
      <c r="L138" s="16"/>
      <c r="M138" s="16"/>
      <c r="N138" s="16">
        <f>SUM(D132:D138)</f>
        <v>473289</v>
      </c>
      <c r="O138" s="16">
        <f t="shared" si="91"/>
        <v>34378.806201550389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151175</v>
      </c>
      <c r="AB138" s="33"/>
      <c r="AC138" s="46">
        <f t="shared" si="94"/>
        <v>3.4087839407098211E-2</v>
      </c>
      <c r="AD138" s="33"/>
      <c r="AE138" s="33">
        <f t="shared" si="95"/>
        <v>1171.8992248062016</v>
      </c>
      <c r="AF138" s="50"/>
      <c r="AG138" s="33">
        <f>SUM(W132:W138)</f>
        <v>6580</v>
      </c>
      <c r="AH138" s="33">
        <f>SUM(D109:D306)</f>
        <v>16726009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0.47129473584996706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8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4496437</v>
      </c>
      <c r="I139" s="16"/>
      <c r="J139" s="479">
        <f t="shared" si="90"/>
        <v>1.388339580045936E-2</v>
      </c>
      <c r="K139" s="16"/>
      <c r="L139" s="16"/>
      <c r="M139" s="16"/>
      <c r="N139" s="16"/>
      <c r="O139" s="16">
        <f t="shared" si="91"/>
        <v>34587.976923076923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151771</v>
      </c>
      <c r="AB139" s="33"/>
      <c r="AC139" s="46">
        <f t="shared" si="94"/>
        <v>3.3753614250572175E-2</v>
      </c>
      <c r="AD139" s="33"/>
      <c r="AE139" s="33">
        <f t="shared" si="95"/>
        <v>1167.4692307692308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0.47517690117753236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4561166</v>
      </c>
      <c r="I140" s="16"/>
      <c r="J140" s="479">
        <f t="shared" si="90"/>
        <v>1.4395620354516254E-2</v>
      </c>
      <c r="K140" s="16"/>
      <c r="L140" s="16"/>
      <c r="M140" s="16"/>
      <c r="N140" s="16"/>
      <c r="O140" s="16">
        <f t="shared" si="91"/>
        <v>34818.061068702293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92" si="109">+V139+1</f>
        <v>32</v>
      </c>
      <c r="W140" s="34">
        <v>1245</v>
      </c>
      <c r="X140" s="33"/>
      <c r="Y140" s="33"/>
      <c r="Z140" s="33"/>
      <c r="AA140" s="33">
        <f t="shared" si="93"/>
        <v>153016</v>
      </c>
      <c r="AB140" s="33"/>
      <c r="AC140" s="46">
        <f t="shared" si="94"/>
        <v>3.3547562180372296E-2</v>
      </c>
      <c r="AD140" s="33"/>
      <c r="AE140" s="33">
        <f t="shared" si="95"/>
        <v>1168.0610687022902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0.47924017674427988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4628087</v>
      </c>
      <c r="I141" s="16"/>
      <c r="J141" s="479">
        <f t="shared" si="90"/>
        <v>1.4671906262565317E-2</v>
      </c>
      <c r="K141" s="16"/>
      <c r="L141" s="16"/>
      <c r="M141" s="16"/>
      <c r="N141" s="16"/>
      <c r="O141" s="16">
        <f t="shared" si="91"/>
        <v>35061.265151515152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154501</v>
      </c>
      <c r="AB141" s="33"/>
      <c r="AC141" s="46">
        <f t="shared" si="94"/>
        <v>3.3383339595820044E-2</v>
      </c>
      <c r="AD141" s="33"/>
      <c r="AE141" s="33">
        <f t="shared" si="95"/>
        <v>1170.4621212121212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0.48509114024865996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4696656</v>
      </c>
      <c r="I142" s="16"/>
      <c r="J142" s="479">
        <f t="shared" si="90"/>
        <v>1.4815840756666847E-2</v>
      </c>
      <c r="K142" s="16"/>
      <c r="L142" s="16"/>
      <c r="M142" s="16"/>
      <c r="N142" s="16"/>
      <c r="O142" s="16">
        <f t="shared" si="91"/>
        <v>35313.203007518794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155966</v>
      </c>
      <c r="AB142" s="33"/>
      <c r="AC142" s="46">
        <f t="shared" si="94"/>
        <v>3.3207882374182825E-2</v>
      </c>
      <c r="AD142" s="33"/>
      <c r="AE142" s="33">
        <f t="shared" si="95"/>
        <v>1172.6766917293232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0.48650891187261747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4767739</v>
      </c>
      <c r="I143" s="16"/>
      <c r="J143" s="479">
        <f t="shared" si="90"/>
        <v>1.5134810810074232E-2</v>
      </c>
      <c r="K143" s="16"/>
      <c r="L143" s="16"/>
      <c r="M143" s="16"/>
      <c r="N143" s="469">
        <f>SUM(D113:D143)</f>
        <v>1970617</v>
      </c>
      <c r="O143" s="16">
        <f t="shared" si="91"/>
        <v>35580.141791044778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157428</v>
      </c>
      <c r="AB143" s="33"/>
      <c r="AC143" s="46">
        <f t="shared" si="94"/>
        <v>3.3019424930769072E-2</v>
      </c>
      <c r="AD143" s="33"/>
      <c r="AE143" s="33">
        <f t="shared" si="95"/>
        <v>1174.8358208955224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0.48819199205325625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4826280</v>
      </c>
      <c r="I144" s="16"/>
      <c r="J144" s="479">
        <f t="shared" si="90"/>
        <v>1.2278566423203954E-2</v>
      </c>
      <c r="K144" s="16"/>
      <c r="L144" s="16"/>
      <c r="M144" s="16"/>
      <c r="N144" s="16"/>
      <c r="O144" s="16">
        <f t="shared" si="91"/>
        <v>35750.222222222219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158551</v>
      </c>
      <c r="AB144" s="33"/>
      <c r="AC144" s="46">
        <f t="shared" si="94"/>
        <v>3.2851595846076068E-2</v>
      </c>
      <c r="AD144" s="33"/>
      <c r="AE144" s="33">
        <f t="shared" si="95"/>
        <v>1174.4518518518519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0.48959094789361579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4875318</v>
      </c>
      <c r="I145" s="16"/>
      <c r="J145" s="479">
        <f t="shared" si="90"/>
        <v>1.0160620602202939E-2</v>
      </c>
      <c r="K145" s="16"/>
      <c r="L145" s="16"/>
      <c r="M145" s="16"/>
      <c r="N145" s="16">
        <f>SUM(D139:D145)</f>
        <v>440452</v>
      </c>
      <c r="O145" s="16">
        <f t="shared" si="91"/>
        <v>35847.926470588238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159018</v>
      </c>
      <c r="AB145" s="33"/>
      <c r="AC145" s="46">
        <f t="shared" si="94"/>
        <v>3.2616949294384488E-2</v>
      </c>
      <c r="AD145" s="33"/>
      <c r="AE145" s="33">
        <f t="shared" si="95"/>
        <v>1169.25</v>
      </c>
      <c r="AF145" s="50"/>
      <c r="AG145" s="33">
        <f>SUM(W139:W145)</f>
        <v>7843</v>
      </c>
      <c r="AH145" s="33">
        <f>SUM(D116:D313)</f>
        <v>16382049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0.48821779420337297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8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4923964</v>
      </c>
      <c r="I146" s="16"/>
      <c r="J146" s="479">
        <f t="shared" si="90"/>
        <v>9.9780157930210913E-3</v>
      </c>
      <c r="K146" s="16"/>
      <c r="L146" s="16"/>
      <c r="M146" s="16"/>
      <c r="N146" s="16"/>
      <c r="O146" s="16">
        <f t="shared" si="91"/>
        <v>35941.343065693429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159580</v>
      </c>
      <c r="AB146" s="33"/>
      <c r="AC146" s="46">
        <f t="shared" si="94"/>
        <v>3.2408847830731502E-2</v>
      </c>
      <c r="AD146" s="33"/>
      <c r="AE146" s="33">
        <f t="shared" si="95"/>
        <v>1164.8175182481752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0.4969163056431769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4978528</v>
      </c>
      <c r="I147" s="16"/>
      <c r="J147" s="479">
        <f t="shared" si="90"/>
        <v>1.1081315785411916E-2</v>
      </c>
      <c r="K147" s="16"/>
      <c r="L147" s="16"/>
      <c r="M147" s="16"/>
      <c r="N147" s="16"/>
      <c r="O147" s="16">
        <f t="shared" si="91"/>
        <v>36076.289855072464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160939</v>
      </c>
      <c r="AB147" s="33"/>
      <c r="AC147" s="46">
        <f t="shared" si="94"/>
        <v>3.2326623451751198E-2</v>
      </c>
      <c r="AD147" s="33"/>
      <c r="AE147" s="33">
        <f t="shared" si="95"/>
        <v>1166.2246376811595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0.49847665816080577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5033676</v>
      </c>
      <c r="I148" s="16"/>
      <c r="J148" s="479">
        <f t="shared" si="90"/>
        <v>1.1077169797980447E-2</v>
      </c>
      <c r="K148" s="16"/>
      <c r="L148" s="16"/>
      <c r="M148" s="16"/>
      <c r="N148" s="16"/>
      <c r="O148" s="16">
        <f t="shared" si="91"/>
        <v>36213.496402877696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162258</v>
      </c>
      <c r="AB148" s="33"/>
      <c r="AC148" s="46">
        <f t="shared" si="94"/>
        <v>3.2234494234432254E-2</v>
      </c>
      <c r="AD148" s="33"/>
      <c r="AE148" s="33">
        <f t="shared" si="95"/>
        <v>1167.3237410071943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0.50462862528299401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5092386</v>
      </c>
      <c r="I149" s="16"/>
      <c r="J149" s="479">
        <f t="shared" si="90"/>
        <v>1.166344436948266E-2</v>
      </c>
      <c r="K149" s="16"/>
      <c r="L149" s="16"/>
      <c r="M149" s="16"/>
      <c r="N149" s="16"/>
      <c r="O149" s="16">
        <f t="shared" si="91"/>
        <v>36374.185714285712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163461</v>
      </c>
      <c r="AB149" s="33"/>
      <c r="AC149" s="46">
        <f t="shared" si="94"/>
        <v>3.2099098536520994E-2</v>
      </c>
      <c r="AD149" s="33"/>
      <c r="AE149" s="33">
        <f t="shared" si="95"/>
        <v>1167.5785714285714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0.50387617906419502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5155632</v>
      </c>
      <c r="I150" s="16"/>
      <c r="J150" s="479">
        <f t="shared" si="90"/>
        <v>1.2419718379557245E-2</v>
      </c>
      <c r="K150" s="16"/>
      <c r="L150" s="16"/>
      <c r="M150" s="16"/>
      <c r="N150" s="16"/>
      <c r="O150" s="16">
        <f t="shared" si="91"/>
        <v>36564.765957446805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164751</v>
      </c>
      <c r="AB150" s="33"/>
      <c r="AC150" s="46">
        <f t="shared" si="94"/>
        <v>3.1955539107523578E-2</v>
      </c>
      <c r="AD150" s="33"/>
      <c r="AE150" s="33">
        <f t="shared" si="95"/>
        <v>1168.4468085106382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0.50759383136732805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5209831</v>
      </c>
      <c r="I151" s="16"/>
      <c r="J151" s="479">
        <f t="shared" si="90"/>
        <v>1.0512581192761624E-2</v>
      </c>
      <c r="K151" s="16"/>
      <c r="L151" s="16"/>
      <c r="M151" s="16"/>
      <c r="N151" s="16"/>
      <c r="O151" s="16">
        <f t="shared" ref="O151:O160" si="110">+H151/BW151</f>
        <v>36688.950704225354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165727</v>
      </c>
      <c r="AB151" s="33"/>
      <c r="AC151" s="46">
        <f t="shared" si="94"/>
        <v>3.1810436845264273E-2</v>
      </c>
      <c r="AD151" s="33"/>
      <c r="AE151" s="33">
        <f t="shared" si="95"/>
        <v>1167.0915492957747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0.50644061198914125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5257680</v>
      </c>
      <c r="I152" s="16"/>
      <c r="J152" s="479">
        <f t="shared" si="90"/>
        <v>9.1843670168955584E-3</v>
      </c>
      <c r="K152" s="16"/>
      <c r="L152" s="16"/>
      <c r="M152" s="16"/>
      <c r="N152" s="16">
        <f>SUM(D146:D152)</f>
        <v>382362</v>
      </c>
      <c r="O152" s="16">
        <f t="shared" si="110"/>
        <v>36766.993006993005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166261</v>
      </c>
      <c r="AB152" s="33"/>
      <c r="AC152" s="46">
        <f t="shared" si="94"/>
        <v>3.1622502700811003E-2</v>
      </c>
      <c r="AD152" s="33"/>
      <c r="AE152" s="33">
        <f t="shared" si="95"/>
        <v>1162.6643356643356</v>
      </c>
      <c r="AF152" s="50"/>
      <c r="AG152" s="33">
        <f t="shared" ref="AG152:AG164" si="111">SUM(W146:W152)</f>
        <v>7243</v>
      </c>
      <c r="AH152" s="33">
        <f t="shared" ref="AH152:AH183" si="112">SUM(D123:D323)</f>
        <v>346987179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0.50682068897308319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7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5307480</v>
      </c>
      <c r="I153" s="16"/>
      <c r="J153" s="479">
        <f t="shared" si="90"/>
        <v>9.4718583101291824E-3</v>
      </c>
      <c r="K153" s="16"/>
      <c r="L153" s="16"/>
      <c r="M153" s="16"/>
      <c r="N153" s="16"/>
      <c r="O153" s="16">
        <f t="shared" si="110"/>
        <v>36857.5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166830</v>
      </c>
      <c r="AB153" s="33"/>
      <c r="AC153" s="46">
        <f t="shared" si="94"/>
        <v>3.1432996450292794E-2</v>
      </c>
      <c r="AD153" s="33"/>
      <c r="AE153" s="33">
        <f t="shared" si="95"/>
        <v>1158.5416666666667</v>
      </c>
      <c r="AF153" s="50"/>
      <c r="AG153" s="33">
        <f t="shared" si="111"/>
        <v>7250</v>
      </c>
      <c r="AH153" s="33">
        <f t="shared" si="112"/>
        <v>346925460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0.51171817887208237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5361999</v>
      </c>
      <c r="I154" s="16"/>
      <c r="J154" s="479">
        <f t="shared" si="90"/>
        <v>1.027210653643537E-2</v>
      </c>
      <c r="K154" s="16"/>
      <c r="L154" s="16"/>
      <c r="M154" s="16"/>
      <c r="N154" s="16"/>
      <c r="O154" s="16">
        <f t="shared" si="110"/>
        <v>36979.303448275859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168334</v>
      </c>
      <c r="AB154" s="33"/>
      <c r="AC154" s="46">
        <f t="shared" si="94"/>
        <v>3.1393888734406704E-2</v>
      </c>
      <c r="AD154" s="33"/>
      <c r="AE154" s="33">
        <f t="shared" si="95"/>
        <v>1160.9241379310345</v>
      </c>
      <c r="AF154" s="50"/>
      <c r="AG154" s="33">
        <f t="shared" si="111"/>
        <v>7395</v>
      </c>
      <c r="AH154" s="33">
        <f t="shared" si="112"/>
        <v>346867111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0.51386581758034644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5416344</v>
      </c>
      <c r="I155" s="16"/>
      <c r="J155" s="479">
        <f t="shared" si="90"/>
        <v>1.0135212632452935E-2</v>
      </c>
      <c r="K155" s="16"/>
      <c r="L155" s="16"/>
      <c r="M155" s="16"/>
      <c r="N155" s="16"/>
      <c r="O155" s="16">
        <f t="shared" si="110"/>
        <v>37098.246575342462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169720</v>
      </c>
      <c r="AB155" s="33"/>
      <c r="AC155" s="46">
        <f t="shared" si="94"/>
        <v>3.1334789666239808E-2</v>
      </c>
      <c r="AD155" s="33"/>
      <c r="AE155" s="33">
        <f t="shared" si="95"/>
        <v>1162.4657534246576</v>
      </c>
      <c r="AF155" s="50"/>
      <c r="AG155" s="33">
        <f t="shared" si="111"/>
        <v>7462</v>
      </c>
      <c r="AH155" s="33">
        <f t="shared" si="112"/>
        <v>346801623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0.51928071776829532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5471708</v>
      </c>
      <c r="I156" s="16"/>
      <c r="J156" s="479">
        <f t="shared" si="90"/>
        <v>1.022165504997467E-2</v>
      </c>
      <c r="K156" s="16"/>
      <c r="L156" s="16"/>
      <c r="M156" s="16"/>
      <c r="N156" s="16"/>
      <c r="O156" s="16">
        <f t="shared" si="110"/>
        <v>37222.503401360547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171004</v>
      </c>
      <c r="AB156" s="33"/>
      <c r="AC156" s="46">
        <f t="shared" si="94"/>
        <v>3.1252398702562342E-2</v>
      </c>
      <c r="AD156" s="33"/>
      <c r="AE156" s="33">
        <f t="shared" si="95"/>
        <v>1163.2925170068027</v>
      </c>
      <c r="AF156" s="50"/>
      <c r="AG156" s="33">
        <f t="shared" si="111"/>
        <v>7543</v>
      </c>
      <c r="AH156" s="33">
        <f t="shared" si="112"/>
        <v>346735575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0.51961910248134591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5532308</v>
      </c>
      <c r="I157" s="16"/>
      <c r="J157" s="479">
        <f t="shared" si="90"/>
        <v>1.1075152402138418E-2</v>
      </c>
      <c r="K157" s="16"/>
      <c r="L157" s="16"/>
      <c r="M157" s="16"/>
      <c r="N157" s="16"/>
      <c r="O157" s="16">
        <f t="shared" si="110"/>
        <v>37380.45945945946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172124</v>
      </c>
      <c r="AB157" s="33"/>
      <c r="AC157" s="46">
        <f t="shared" si="94"/>
        <v>3.1112512173942595E-2</v>
      </c>
      <c r="AD157" s="33"/>
      <c r="AE157" s="33">
        <f t="shared" si="95"/>
        <v>1163</v>
      </c>
      <c r="AF157" s="50"/>
      <c r="AG157" s="33">
        <f t="shared" si="111"/>
        <v>7373</v>
      </c>
      <c r="AH157" s="33">
        <f t="shared" si="112"/>
        <v>346663580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0.51970118077301553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5585831</v>
      </c>
      <c r="I158" s="16"/>
      <c r="J158" s="479">
        <f t="shared" si="90"/>
        <v>9.6746240447928792E-3</v>
      </c>
      <c r="K158" s="16"/>
      <c r="L158" s="16"/>
      <c r="M158" s="16"/>
      <c r="N158" s="16"/>
      <c r="O158" s="16">
        <f t="shared" si="110"/>
        <v>37488.798657718122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173195</v>
      </c>
      <c r="AB158" s="33"/>
      <c r="AC158" s="46">
        <f t="shared" si="94"/>
        <v>3.1006129616166334E-2</v>
      </c>
      <c r="AD158" s="33"/>
      <c r="AE158" s="33">
        <f t="shared" si="95"/>
        <v>1162.3825503355704</v>
      </c>
      <c r="AF158" s="50"/>
      <c r="AG158" s="33">
        <f t="shared" si="111"/>
        <v>7468</v>
      </c>
      <c r="AH158" s="33">
        <f t="shared" si="112"/>
        <v>423590192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0.51995647558975555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5622674</v>
      </c>
      <c r="I159" s="16"/>
      <c r="J159" s="479">
        <f t="shared" si="90"/>
        <v>6.5957956837577074E-3</v>
      </c>
      <c r="K159" s="16"/>
      <c r="L159" s="16"/>
      <c r="M159" s="16"/>
      <c r="N159" s="16">
        <f t="shared" ref="N159:N164" si="114">SUM(D153:D159)</f>
        <v>364994</v>
      </c>
      <c r="O159" s="16">
        <f t="shared" si="110"/>
        <v>37484.493333333332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173717</v>
      </c>
      <c r="AB159" s="33"/>
      <c r="AC159" s="46">
        <f t="shared" si="94"/>
        <v>3.0895797977972757E-2</v>
      </c>
      <c r="AD159" s="33"/>
      <c r="AE159" s="33">
        <f t="shared" si="95"/>
        <v>1158.1133333333332</v>
      </c>
      <c r="AF159" s="50"/>
      <c r="AG159" s="33">
        <f t="shared" si="111"/>
        <v>7456</v>
      </c>
      <c r="AH159" s="33">
        <f t="shared" si="112"/>
        <v>423515205.23262841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0.51981032512288639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5663286</v>
      </c>
      <c r="I160" s="16"/>
      <c r="J160" s="479">
        <f t="shared" si="90"/>
        <v>7.222897859630489E-3</v>
      </c>
      <c r="K160" s="16"/>
      <c r="L160" s="16"/>
      <c r="M160" s="16"/>
      <c r="N160" s="16">
        <f t="shared" si="114"/>
        <v>355806</v>
      </c>
      <c r="O160" s="16">
        <f t="shared" si="110"/>
        <v>37505.205298013243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174306</v>
      </c>
      <c r="AB160" s="33"/>
      <c r="AC160" s="46">
        <f t="shared" si="94"/>
        <v>3.0778244291388427E-2</v>
      </c>
      <c r="AD160" s="33"/>
      <c r="AE160" s="33">
        <f t="shared" si="95"/>
        <v>1154.3443708609273</v>
      </c>
      <c r="AF160" s="50"/>
      <c r="AG160" s="33">
        <f t="shared" si="111"/>
        <v>7476</v>
      </c>
      <c r="AH160" s="33">
        <f t="shared" si="112"/>
        <v>423451946.23262841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0.52506389400076214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5707285</v>
      </c>
      <c r="I161" s="16"/>
      <c r="J161" s="479">
        <f t="shared" si="90"/>
        <v>7.7691644038461061E-3</v>
      </c>
      <c r="K161" s="16"/>
      <c r="L161" s="16"/>
      <c r="M161" s="16"/>
      <c r="N161" s="16">
        <f t="shared" si="114"/>
        <v>345286</v>
      </c>
      <c r="O161" s="16">
        <f t="shared" ref="O161:O169" si="115">+H161/BW161</f>
        <v>37547.927631578947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175664</v>
      </c>
      <c r="AB161" s="33"/>
      <c r="AC161" s="46">
        <f t="shared" si="94"/>
        <v>3.0778908009675355E-2</v>
      </c>
      <c r="AD161" s="33"/>
      <c r="AE161" s="33">
        <f t="shared" si="95"/>
        <v>1155.6842105263158</v>
      </c>
      <c r="AF161" s="50"/>
      <c r="AG161" s="33">
        <f t="shared" si="111"/>
        <v>7330</v>
      </c>
      <c r="AH161" s="33">
        <f t="shared" si="112"/>
        <v>754386667.23262835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0.52758851187561162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5752258</v>
      </c>
      <c r="I162" s="16"/>
      <c r="J162" s="479">
        <f t="shared" si="90"/>
        <v>7.8799288978910285E-3</v>
      </c>
      <c r="K162" s="16"/>
      <c r="L162" s="16"/>
      <c r="M162" s="16"/>
      <c r="N162" s="16">
        <f t="shared" si="114"/>
        <v>335914</v>
      </c>
      <c r="O162" s="16">
        <f t="shared" si="115"/>
        <v>37596.457516339869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176948</v>
      </c>
      <c r="AB162" s="33"/>
      <c r="AC162" s="46">
        <f t="shared" si="94"/>
        <v>3.0761485315853355E-2</v>
      </c>
      <c r="AD162" s="33"/>
      <c r="AE162" s="33">
        <f t="shared" si="95"/>
        <v>1156.5228758169935</v>
      </c>
      <c r="AF162" s="50"/>
      <c r="AG162" s="33">
        <f t="shared" si="111"/>
        <v>7228</v>
      </c>
      <c r="AH162" s="33">
        <f t="shared" si="112"/>
        <v>798677788.23262835</v>
      </c>
      <c r="AI162" s="231">
        <f t="shared" si="113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0.53237024486731988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5797615</v>
      </c>
      <c r="I163" s="16"/>
      <c r="J163" s="479">
        <f t="shared" si="90"/>
        <v>7.8850774774010483E-3</v>
      </c>
      <c r="K163" s="16"/>
      <c r="L163" s="16"/>
      <c r="M163" s="16"/>
      <c r="N163" s="16">
        <f t="shared" si="114"/>
        <v>325907</v>
      </c>
      <c r="O163" s="16">
        <f t="shared" si="115"/>
        <v>37646.85064935065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178045</v>
      </c>
      <c r="AB163" s="33"/>
      <c r="AC163" s="46">
        <f t="shared" si="94"/>
        <v>3.0710041974156613E-2</v>
      </c>
      <c r="AD163" s="33"/>
      <c r="AE163" s="33">
        <f t="shared" si="95"/>
        <v>1156.1363636363637</v>
      </c>
      <c r="AF163" s="50"/>
      <c r="AG163" s="33">
        <f t="shared" si="111"/>
        <v>7041</v>
      </c>
      <c r="AH163" s="33">
        <f t="shared" si="112"/>
        <v>798610309.30462837</v>
      </c>
      <c r="AI163" s="231">
        <f t="shared" si="113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0.53392369103502046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5848096</v>
      </c>
      <c r="I164" s="16"/>
      <c r="J164" s="479">
        <f t="shared" si="90"/>
        <v>8.707201150818052E-3</v>
      </c>
      <c r="K164" s="16"/>
      <c r="L164" s="16"/>
      <c r="M164" s="16"/>
      <c r="N164" s="16">
        <f t="shared" si="114"/>
        <v>315788</v>
      </c>
      <c r="O164" s="16">
        <f t="shared" si="115"/>
        <v>37729.651612903224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179215</v>
      </c>
      <c r="AB164" s="33"/>
      <c r="AC164" s="46">
        <f t="shared" si="94"/>
        <v>3.0645016771270513E-2</v>
      </c>
      <c r="AD164" s="33"/>
      <c r="AE164" s="33">
        <f t="shared" si="95"/>
        <v>1156.2258064516129</v>
      </c>
      <c r="AF164" s="50"/>
      <c r="AG164" s="33">
        <f t="shared" si="111"/>
        <v>7091</v>
      </c>
      <c r="AH164" s="33">
        <f t="shared" si="112"/>
        <v>798538342.30462837</v>
      </c>
      <c r="AI164" s="231">
        <f t="shared" si="113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0.53477542092332275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6">+H164+D165</f>
        <v>5891925</v>
      </c>
      <c r="I165" s="16"/>
      <c r="J165" s="479">
        <f t="shared" ref="J165:J182" si="117">+D165/H164</f>
        <v>7.4945760124320807E-3</v>
      </c>
      <c r="K165" s="16"/>
      <c r="L165" s="16"/>
      <c r="M165" s="16"/>
      <c r="N165" s="16">
        <f t="shared" ref="N165:N182" si="118">SUM(D159:D165)</f>
        <v>306094</v>
      </c>
      <c r="O165" s="16">
        <f t="shared" si="115"/>
        <v>37768.75</v>
      </c>
      <c r="P165" s="41"/>
      <c r="Q165" s="17">
        <f t="shared" ref="Q165:Q182" si="119">SUM(D159:D165)</f>
        <v>306094</v>
      </c>
      <c r="R165" s="16"/>
      <c r="S165" s="60">
        <f t="shared" ref="S165:S182" si="120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1">+AA164+W165</f>
        <v>180189</v>
      </c>
      <c r="AB165" s="33"/>
      <c r="AC165" s="46">
        <f t="shared" ref="AC165:AC182" si="122">+AA165/H165</f>
        <v>3.0582364846803038E-2</v>
      </c>
      <c r="AD165" s="33"/>
      <c r="AE165" s="33">
        <f t="shared" ref="AE165:AE182" si="123">+AA165/BW165</f>
        <v>1155.0576923076924</v>
      </c>
      <c r="AF165" s="50"/>
      <c r="AG165" s="33">
        <f t="shared" ref="AG165:AG182" si="124">SUM(W159:W165)</f>
        <v>6994</v>
      </c>
      <c r="AH165" s="33">
        <f t="shared" si="112"/>
        <v>798468899.34662843</v>
      </c>
      <c r="AI165" s="231">
        <f t="shared" ref="AI165:AI182" si="125">+(AG165-AG158)/AG158</f>
        <v>-6.3470808784145683E-2</v>
      </c>
      <c r="AJ165" s="50"/>
      <c r="AK165" s="10"/>
      <c r="AL165" s="23">
        <f t="shared" ref="AL165:AL182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7">+AL165/AP164</f>
        <v>6.606727978159619E-3</v>
      </c>
      <c r="AS165" s="25"/>
      <c r="AT165" s="25"/>
      <c r="AU165" s="24"/>
      <c r="AV165" s="341">
        <f t="shared" ref="AV165:AV182" si="128">+AP165/H165</f>
        <v>0.5343041535661095</v>
      </c>
      <c r="AW165" s="341"/>
      <c r="AX165" s="24">
        <f t="shared" ref="AX165:AX182" si="129">+AP165/BW165</f>
        <v>20180</v>
      </c>
      <c r="AY165" s="351"/>
      <c r="AZ165" s="10"/>
      <c r="BA165" s="66">
        <f t="shared" ref="BA165:BA182" si="130">+BC165-BC164</f>
        <v>756595</v>
      </c>
      <c r="BB165" s="67"/>
      <c r="BC165" s="67">
        <v>75475175</v>
      </c>
      <c r="BD165" s="67"/>
      <c r="BE165" s="67">
        <f t="shared" ref="BE165:BE182" si="131">+D165</f>
        <v>43829</v>
      </c>
      <c r="BF165" s="67"/>
      <c r="BG165" s="156">
        <f t="shared" ref="BG165:BG182" si="132">+BE165/BA165</f>
        <v>5.7929275239725346E-2</v>
      </c>
      <c r="BH165" s="67"/>
      <c r="BI165" s="183"/>
      <c r="BJ165" s="67"/>
      <c r="BK165" s="67">
        <f t="shared" ref="BK165:BK182" si="133">SUM(BA159:BA165)</f>
        <v>5250502</v>
      </c>
      <c r="BL165" s="67"/>
      <c r="BM165" s="156">
        <f t="shared" ref="BM165:BM182" si="134">+Q165/BK165</f>
        <v>5.8298044644112125E-2</v>
      </c>
      <c r="BN165" s="66">
        <f t="shared" ref="BN165:BN182" si="135">+BC165/BW165</f>
        <v>483815.22435897437</v>
      </c>
      <c r="BO165" s="67"/>
      <c r="BP165" s="67">
        <f t="shared" ref="BP165:BP182" si="136">+BP164+BE165</f>
        <v>5549278</v>
      </c>
      <c r="BQ165" s="67"/>
      <c r="BR165" s="478">
        <f t="shared" ref="BR165:BR182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6"/>
        <v>5924643</v>
      </c>
      <c r="I166" s="16"/>
      <c r="J166" s="479">
        <f t="shared" si="117"/>
        <v>5.5530238419531815E-3</v>
      </c>
      <c r="K166" s="16"/>
      <c r="L166" s="16"/>
      <c r="M166" s="16"/>
      <c r="N166" s="16">
        <f t="shared" si="118"/>
        <v>301969</v>
      </c>
      <c r="O166" s="16">
        <f t="shared" si="115"/>
        <v>37736.579617834395</v>
      </c>
      <c r="P166" s="41"/>
      <c r="Q166" s="17">
        <f t="shared" si="119"/>
        <v>301969</v>
      </c>
      <c r="R166" s="16"/>
      <c r="S166" s="60">
        <f t="shared" si="120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1"/>
        <v>180619</v>
      </c>
      <c r="AB166" s="33"/>
      <c r="AC166" s="46">
        <f t="shared" si="122"/>
        <v>3.0486056290649075E-2</v>
      </c>
      <c r="AD166" s="33"/>
      <c r="AE166" s="33">
        <f t="shared" si="123"/>
        <v>1150.43949044586</v>
      </c>
      <c r="AF166" s="50"/>
      <c r="AG166" s="33">
        <f t="shared" si="124"/>
        <v>6902</v>
      </c>
      <c r="AH166" s="33">
        <f t="shared" si="112"/>
        <v>799391865.34662843</v>
      </c>
      <c r="AI166" s="231">
        <f t="shared" si="125"/>
        <v>-7.430257510729614E-2</v>
      </c>
      <c r="AJ166" s="50"/>
      <c r="AK166" s="10"/>
      <c r="AL166" s="23">
        <f t="shared" si="126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7"/>
        <v>6.0300246499453633E-3</v>
      </c>
      <c r="AS166" s="25"/>
      <c r="AT166" s="25"/>
      <c r="AU166" s="24"/>
      <c r="AV166" s="341">
        <f t="shared" si="128"/>
        <v>0.53455760963150012</v>
      </c>
      <c r="AW166" s="341"/>
      <c r="AX166" s="24">
        <f t="shared" si="129"/>
        <v>20172.375796178345</v>
      </c>
      <c r="AY166" s="351"/>
      <c r="AZ166" s="391"/>
      <c r="BA166" s="66">
        <f t="shared" si="130"/>
        <v>684203</v>
      </c>
      <c r="BB166" s="67"/>
      <c r="BC166" s="67">
        <v>76159378</v>
      </c>
      <c r="BD166" s="67"/>
      <c r="BE166" s="67">
        <f t="shared" si="131"/>
        <v>32718</v>
      </c>
      <c r="BF166" s="67"/>
      <c r="BG166" s="156">
        <f t="shared" si="132"/>
        <v>4.7819141395170732E-2</v>
      </c>
      <c r="BH166" s="67"/>
      <c r="BI166" s="183"/>
      <c r="BJ166" s="67"/>
      <c r="BK166" s="67">
        <f t="shared" si="133"/>
        <v>5198748</v>
      </c>
      <c r="BL166" s="67"/>
      <c r="BM166" s="156">
        <f t="shared" si="134"/>
        <v>5.8084946606375226E-2</v>
      </c>
      <c r="BN166" s="66">
        <f t="shared" si="135"/>
        <v>485091.57961783442</v>
      </c>
      <c r="BO166" s="67"/>
      <c r="BP166" s="67">
        <f t="shared" si="136"/>
        <v>5581996</v>
      </c>
      <c r="BQ166" s="67"/>
      <c r="BR166" s="478">
        <f t="shared" si="137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6"/>
        <v>5966127</v>
      </c>
      <c r="I167" s="16"/>
      <c r="J167" s="479">
        <f t="shared" si="117"/>
        <v>7.0019408764376186E-3</v>
      </c>
      <c r="K167" s="16"/>
      <c r="L167" s="16"/>
      <c r="M167" s="16"/>
      <c r="N167" s="16">
        <f t="shared" si="118"/>
        <v>302841</v>
      </c>
      <c r="O167" s="16">
        <f t="shared" si="115"/>
        <v>37760.297468354431</v>
      </c>
      <c r="P167" s="41"/>
      <c r="Q167" s="17">
        <f t="shared" si="119"/>
        <v>302841</v>
      </c>
      <c r="R167" s="16"/>
      <c r="S167" s="60">
        <f t="shared" si="120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1"/>
        <v>181129</v>
      </c>
      <c r="AB167" s="33"/>
      <c r="AC167" s="46">
        <f t="shared" si="122"/>
        <v>3.0359561571518676E-2</v>
      </c>
      <c r="AD167" s="33"/>
      <c r="AE167" s="33">
        <f t="shared" si="123"/>
        <v>1146.3860759493671</v>
      </c>
      <c r="AF167" s="50"/>
      <c r="AG167" s="33">
        <f t="shared" si="124"/>
        <v>6823</v>
      </c>
      <c r="AH167" s="33">
        <f t="shared" si="112"/>
        <v>799324452.34662843</v>
      </c>
      <c r="AI167" s="231">
        <f t="shared" si="125"/>
        <v>-8.7346174424826103E-2</v>
      </c>
      <c r="AJ167" s="50"/>
      <c r="AK167" s="10"/>
      <c r="AL167" s="23">
        <f t="shared" si="126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7"/>
        <v>1.607735621299608E-2</v>
      </c>
      <c r="AS167" s="25"/>
      <c r="AT167" s="25"/>
      <c r="AU167" s="24"/>
      <c r="AV167" s="341">
        <f t="shared" si="128"/>
        <v>0.53937520941139871</v>
      </c>
      <c r="AW167" s="341"/>
      <c r="AX167" s="24">
        <f t="shared" si="129"/>
        <v>20366.968354430381</v>
      </c>
      <c r="AY167" s="351"/>
      <c r="AZ167" s="10"/>
      <c r="BA167" s="66">
        <f t="shared" si="130"/>
        <v>724101</v>
      </c>
      <c r="BB167" s="67"/>
      <c r="BC167" s="67">
        <v>76883479</v>
      </c>
      <c r="BD167" s="67"/>
      <c r="BE167" s="67">
        <f t="shared" si="131"/>
        <v>41484</v>
      </c>
      <c r="BF167" s="67"/>
      <c r="BG167" s="156">
        <f t="shared" si="132"/>
        <v>5.7290350379297916E-2</v>
      </c>
      <c r="BH167" s="67"/>
      <c r="BI167" s="183"/>
      <c r="BJ167" s="67"/>
      <c r="BK167" s="67">
        <f t="shared" si="133"/>
        <v>5195698</v>
      </c>
      <c r="BL167" s="67"/>
      <c r="BM167" s="156">
        <f t="shared" si="134"/>
        <v>5.8286875026223615E-2</v>
      </c>
      <c r="BN167" s="66">
        <f t="shared" si="135"/>
        <v>486604.2974683544</v>
      </c>
      <c r="BO167" s="67"/>
      <c r="BP167" s="67">
        <f t="shared" si="136"/>
        <v>5623480</v>
      </c>
      <c r="BQ167" s="67"/>
      <c r="BR167" s="478">
        <f t="shared" si="137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6"/>
        <v>6006225</v>
      </c>
      <c r="I168" s="16"/>
      <c r="J168" s="479">
        <f t="shared" si="117"/>
        <v>6.7209430841817484E-3</v>
      </c>
      <c r="K168" s="16"/>
      <c r="L168" s="16"/>
      <c r="M168" s="16"/>
      <c r="N168" s="16">
        <f t="shared" si="118"/>
        <v>298940</v>
      </c>
      <c r="O168" s="16">
        <f t="shared" si="115"/>
        <v>37775</v>
      </c>
      <c r="P168" s="41"/>
      <c r="Q168" s="17">
        <f t="shared" si="119"/>
        <v>298940</v>
      </c>
      <c r="R168" s="16"/>
      <c r="S168" s="60">
        <f t="shared" si="120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1"/>
        <v>182419</v>
      </c>
      <c r="AB168" s="33"/>
      <c r="AC168" s="46">
        <f t="shared" si="122"/>
        <v>3.0371656073490419E-2</v>
      </c>
      <c r="AD168" s="33"/>
      <c r="AE168" s="33">
        <f t="shared" si="123"/>
        <v>1147.2893081761006</v>
      </c>
      <c r="AF168" s="50"/>
      <c r="AG168" s="33">
        <f t="shared" si="124"/>
        <v>6755</v>
      </c>
      <c r="AH168" s="33">
        <f t="shared" si="112"/>
        <v>799268322.34662843</v>
      </c>
      <c r="AI168" s="231">
        <f t="shared" si="125"/>
        <v>-7.8444747612551158E-2</v>
      </c>
      <c r="AJ168" s="50"/>
      <c r="AK168" s="10"/>
      <c r="AL168" s="23">
        <f t="shared" si="126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7"/>
        <v>1.1280675678321283E-2</v>
      </c>
      <c r="AS168" s="25"/>
      <c r="AT168" s="25"/>
      <c r="AU168" s="24"/>
      <c r="AV168" s="341">
        <f t="shared" si="128"/>
        <v>0.54181819695399358</v>
      </c>
      <c r="AW168" s="341"/>
      <c r="AX168" s="24">
        <f t="shared" si="129"/>
        <v>20467.182389937108</v>
      </c>
      <c r="AY168" s="351"/>
      <c r="AZ168" s="10"/>
      <c r="BA168" s="66">
        <f t="shared" si="130"/>
        <v>1047928</v>
      </c>
      <c r="BB168" s="67"/>
      <c r="BC168" s="67">
        <v>77931407</v>
      </c>
      <c r="BD168" s="67"/>
      <c r="BE168" s="67">
        <f t="shared" si="131"/>
        <v>40098</v>
      </c>
      <c r="BF168" s="67"/>
      <c r="BG168" s="156">
        <f t="shared" si="132"/>
        <v>3.8264079211548882E-2</v>
      </c>
      <c r="BH168" s="67"/>
      <c r="BI168" s="183"/>
      <c r="BJ168" s="67"/>
      <c r="BK168" s="67">
        <f t="shared" si="133"/>
        <v>5563756</v>
      </c>
      <c r="BL168" s="67"/>
      <c r="BM168" s="156">
        <f t="shared" si="134"/>
        <v>5.3729890383402867E-2</v>
      </c>
      <c r="BN168" s="66">
        <f t="shared" si="135"/>
        <v>490134.63522012578</v>
      </c>
      <c r="BO168" s="67"/>
      <c r="BP168" s="67">
        <f t="shared" si="136"/>
        <v>5663578</v>
      </c>
      <c r="BQ168" s="67"/>
      <c r="BR168" s="478">
        <f t="shared" si="137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6"/>
        <v>6050862</v>
      </c>
      <c r="I169" s="16"/>
      <c r="J169" s="479">
        <f t="shared" si="117"/>
        <v>7.4317895183746863E-3</v>
      </c>
      <c r="K169" s="16"/>
      <c r="L169" s="16"/>
      <c r="M169" s="16"/>
      <c r="N169" s="16">
        <f t="shared" si="118"/>
        <v>298604</v>
      </c>
      <c r="O169" s="16">
        <f t="shared" si="115"/>
        <v>37817.887499999997</v>
      </c>
      <c r="P169" s="41"/>
      <c r="Q169" s="17">
        <f t="shared" si="119"/>
        <v>298604</v>
      </c>
      <c r="R169" s="16"/>
      <c r="S169" s="60">
        <f t="shared" si="120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1"/>
        <v>183699</v>
      </c>
      <c r="AB169" s="33"/>
      <c r="AC169" s="46">
        <f t="shared" si="122"/>
        <v>3.0359145523398155E-2</v>
      </c>
      <c r="AD169" s="33"/>
      <c r="AE169" s="33">
        <f t="shared" si="123"/>
        <v>1148.1187500000001</v>
      </c>
      <c r="AF169" s="50"/>
      <c r="AG169" s="33">
        <f t="shared" si="124"/>
        <v>6751</v>
      </c>
      <c r="AH169" s="33">
        <f t="shared" si="112"/>
        <v>799206751.34662843</v>
      </c>
      <c r="AI169" s="231">
        <f t="shared" si="125"/>
        <v>-6.5993359158826786E-2</v>
      </c>
      <c r="AJ169" s="50"/>
      <c r="AK169" s="10"/>
      <c r="AL169" s="23">
        <f t="shared" si="126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7"/>
        <v>1.8307878665708748E-2</v>
      </c>
      <c r="AS169" s="25"/>
      <c r="AT169" s="25"/>
      <c r="AU169" s="24"/>
      <c r="AV169" s="341">
        <f t="shared" si="128"/>
        <v>0.54766758851879282</v>
      </c>
      <c r="AW169" s="341"/>
      <c r="AX169" s="24">
        <f t="shared" si="129"/>
        <v>20711.631249999999</v>
      </c>
      <c r="AY169" s="351"/>
      <c r="AZ169" s="10"/>
      <c r="BA169" s="66">
        <f t="shared" si="130"/>
        <v>701159</v>
      </c>
      <c r="BB169" s="67"/>
      <c r="BC169" s="67">
        <v>78632566</v>
      </c>
      <c r="BD169" s="67"/>
      <c r="BE169" s="67">
        <f t="shared" si="131"/>
        <v>44637</v>
      </c>
      <c r="BF169" s="67"/>
      <c r="BG169" s="156">
        <f t="shared" si="132"/>
        <v>6.3661737209391875E-2</v>
      </c>
      <c r="BH169" s="67"/>
      <c r="BI169" s="183"/>
      <c r="BJ169" s="67"/>
      <c r="BK169" s="67">
        <f t="shared" si="133"/>
        <v>5516857</v>
      </c>
      <c r="BL169" s="67"/>
      <c r="BM169" s="156">
        <f t="shared" si="134"/>
        <v>5.4125745873057796E-2</v>
      </c>
      <c r="BN169" s="66">
        <f t="shared" si="135"/>
        <v>491453.53749999998</v>
      </c>
      <c r="BO169" s="67"/>
      <c r="BP169" s="67">
        <f t="shared" si="136"/>
        <v>5708215</v>
      </c>
      <c r="BQ169" s="67"/>
      <c r="BR169" s="478">
        <f t="shared" si="137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6"/>
        <v>6096868</v>
      </c>
      <c r="I170" s="16"/>
      <c r="J170" s="479">
        <f t="shared" si="117"/>
        <v>7.6032142197260486E-3</v>
      </c>
      <c r="K170" s="16"/>
      <c r="L170" s="16"/>
      <c r="M170" s="16"/>
      <c r="N170" s="16">
        <f t="shared" si="118"/>
        <v>299253</v>
      </c>
      <c r="O170" s="16">
        <f t="shared" ref="O170:O182" si="138">+H170/BW170</f>
        <v>37868.745341614907</v>
      </c>
      <c r="P170" s="41"/>
      <c r="Q170" s="17">
        <f t="shared" si="119"/>
        <v>299253</v>
      </c>
      <c r="R170" s="16"/>
      <c r="S170" s="60">
        <f t="shared" si="120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1"/>
        <v>184842</v>
      </c>
      <c r="AB170" s="33"/>
      <c r="AC170" s="46">
        <f t="shared" si="122"/>
        <v>3.0317533527050283E-2</v>
      </c>
      <c r="AD170" s="33"/>
      <c r="AE170" s="33">
        <f t="shared" si="123"/>
        <v>1148.0869565217392</v>
      </c>
      <c r="AF170" s="50"/>
      <c r="AG170" s="33">
        <f t="shared" si="124"/>
        <v>6797</v>
      </c>
      <c r="AH170" s="33">
        <f t="shared" si="112"/>
        <v>799142022.34662843</v>
      </c>
      <c r="AI170" s="231">
        <f t="shared" si="125"/>
        <v>-3.4654168441982672E-2</v>
      </c>
      <c r="AJ170" s="50"/>
      <c r="AK170" s="10"/>
      <c r="AL170" s="23">
        <f t="shared" si="126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7"/>
        <v>1.0283774726821675E-2</v>
      </c>
      <c r="AS170" s="25"/>
      <c r="AT170" s="25"/>
      <c r="AU170" s="24"/>
      <c r="AV170" s="341">
        <f t="shared" si="128"/>
        <v>0.54912456690878009</v>
      </c>
      <c r="AW170" s="341"/>
      <c r="AX170" s="24">
        <f t="shared" si="129"/>
        <v>20794.658385093167</v>
      </c>
      <c r="AY170" s="351"/>
      <c r="AZ170" s="10"/>
      <c r="BA170" s="66">
        <f t="shared" si="130"/>
        <v>839920</v>
      </c>
      <c r="BB170" s="67"/>
      <c r="BC170" s="67">
        <v>79472486</v>
      </c>
      <c r="BD170" s="67"/>
      <c r="BE170" s="67">
        <f t="shared" si="131"/>
        <v>46006</v>
      </c>
      <c r="BF170" s="67"/>
      <c r="BG170" s="156">
        <f t="shared" si="132"/>
        <v>5.4774264215639586E-2</v>
      </c>
      <c r="BH170" s="67"/>
      <c r="BI170" s="183"/>
      <c r="BJ170" s="67"/>
      <c r="BK170" s="67">
        <f t="shared" si="133"/>
        <v>5604154</v>
      </c>
      <c r="BL170" s="67"/>
      <c r="BM170" s="156">
        <f t="shared" si="134"/>
        <v>5.3398425525065872E-2</v>
      </c>
      <c r="BN170" s="66">
        <f t="shared" si="135"/>
        <v>493617.92546583852</v>
      </c>
      <c r="BO170" s="67"/>
      <c r="BP170" s="67">
        <f t="shared" si="136"/>
        <v>5754221</v>
      </c>
      <c r="BQ170" s="67"/>
      <c r="BR170" s="478">
        <f t="shared" si="137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6"/>
        <v>6146469</v>
      </c>
      <c r="I171" s="16"/>
      <c r="J171" s="479">
        <f t="shared" si="117"/>
        <v>8.1354885820063682E-3</v>
      </c>
      <c r="K171" s="16"/>
      <c r="L171" s="16"/>
      <c r="M171" s="16"/>
      <c r="N171" s="16">
        <f t="shared" si="118"/>
        <v>298373</v>
      </c>
      <c r="O171" s="16">
        <f t="shared" si="138"/>
        <v>37941.166666666664</v>
      </c>
      <c r="P171" s="41"/>
      <c r="Q171" s="17">
        <f t="shared" si="119"/>
        <v>298373</v>
      </c>
      <c r="R171" s="16"/>
      <c r="S171" s="60">
        <f t="shared" si="120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1"/>
        <v>185947</v>
      </c>
      <c r="AB171" s="33"/>
      <c r="AC171" s="46">
        <f t="shared" si="122"/>
        <v>3.0252654003461173E-2</v>
      </c>
      <c r="AD171" s="33"/>
      <c r="AE171" s="33">
        <f t="shared" si="123"/>
        <v>1147.820987654321</v>
      </c>
      <c r="AF171" s="50"/>
      <c r="AG171" s="33">
        <f t="shared" si="124"/>
        <v>6732</v>
      </c>
      <c r="AH171" s="33">
        <f t="shared" si="112"/>
        <v>799075101.34662843</v>
      </c>
      <c r="AI171" s="231">
        <f t="shared" si="125"/>
        <v>-5.0627556056973631E-2</v>
      </c>
      <c r="AJ171" s="50"/>
      <c r="AK171" s="10"/>
      <c r="AL171" s="23">
        <f t="shared" si="126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7"/>
        <v>8.3328852966301666E-3</v>
      </c>
      <c r="AS171" s="25"/>
      <c r="AT171" s="25"/>
      <c r="AU171" s="24"/>
      <c r="AV171" s="341">
        <f t="shared" si="128"/>
        <v>0.54923208756116726</v>
      </c>
      <c r="AW171" s="341"/>
      <c r="AX171" s="24">
        <f t="shared" si="129"/>
        <v>20838.506172839505</v>
      </c>
      <c r="AY171" s="351"/>
      <c r="AZ171" s="10"/>
      <c r="BA171" s="66">
        <f t="shared" si="130"/>
        <v>827184</v>
      </c>
      <c r="BB171" s="67"/>
      <c r="BC171" s="67">
        <v>80299670</v>
      </c>
      <c r="BD171" s="67"/>
      <c r="BE171" s="67">
        <f t="shared" si="131"/>
        <v>49601</v>
      </c>
      <c r="BF171" s="67"/>
      <c r="BG171" s="156">
        <f t="shared" si="132"/>
        <v>5.9963684017098978E-2</v>
      </c>
      <c r="BH171" s="67"/>
      <c r="BI171" s="183"/>
      <c r="BJ171" s="67"/>
      <c r="BK171" s="67">
        <f t="shared" si="133"/>
        <v>5581090</v>
      </c>
      <c r="BL171" s="67"/>
      <c r="BM171" s="156">
        <f t="shared" si="134"/>
        <v>5.346142061855301E-2</v>
      </c>
      <c r="BN171" s="66">
        <f t="shared" si="135"/>
        <v>495676.97530864197</v>
      </c>
      <c r="BO171" s="67"/>
      <c r="BP171" s="67">
        <f t="shared" si="136"/>
        <v>5803822</v>
      </c>
      <c r="BQ171" s="67"/>
      <c r="BR171" s="478">
        <f t="shared" si="137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6"/>
        <v>6189129</v>
      </c>
      <c r="I172" s="16"/>
      <c r="J172" s="479">
        <f t="shared" si="117"/>
        <v>6.9405702688812064E-3</v>
      </c>
      <c r="K172" s="16"/>
      <c r="L172" s="16"/>
      <c r="M172" s="16"/>
      <c r="N172" s="16">
        <f t="shared" si="118"/>
        <v>297204</v>
      </c>
      <c r="O172" s="16">
        <f t="shared" si="138"/>
        <v>37970.116564417178</v>
      </c>
      <c r="P172" s="41"/>
      <c r="Q172" s="17">
        <f t="shared" si="119"/>
        <v>297204</v>
      </c>
      <c r="R172" s="16"/>
      <c r="S172" s="60">
        <f t="shared" si="120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1"/>
        <v>186901</v>
      </c>
      <c r="AB172" s="33"/>
      <c r="AC172" s="46">
        <f t="shared" si="122"/>
        <v>3.0198271840835761E-2</v>
      </c>
      <c r="AD172" s="33"/>
      <c r="AE172" s="33">
        <f t="shared" si="123"/>
        <v>1146.6319018404909</v>
      </c>
      <c r="AF172" s="50"/>
      <c r="AG172" s="33">
        <f t="shared" si="124"/>
        <v>6712</v>
      </c>
      <c r="AH172" s="33">
        <f t="shared" si="112"/>
        <v>799006532.34662843</v>
      </c>
      <c r="AI172" s="231">
        <f t="shared" si="125"/>
        <v>-4.0320274521018017E-2</v>
      </c>
      <c r="AJ172" s="50"/>
      <c r="AK172" s="10"/>
      <c r="AL172" s="23">
        <f t="shared" si="126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7"/>
        <v>9.7637979073640375E-3</v>
      </c>
      <c r="AS172" s="25"/>
      <c r="AT172" s="25"/>
      <c r="AU172" s="24"/>
      <c r="AV172" s="341">
        <f t="shared" si="128"/>
        <v>0.55077200685266048</v>
      </c>
      <c r="AW172" s="341"/>
      <c r="AX172" s="24">
        <f t="shared" si="129"/>
        <v>20912.877300613498</v>
      </c>
      <c r="AY172" s="351"/>
      <c r="AZ172" s="10"/>
      <c r="BA172" s="66">
        <f t="shared" si="130"/>
        <v>802727</v>
      </c>
      <c r="BB172" s="67"/>
      <c r="BC172" s="67">
        <v>81102397</v>
      </c>
      <c r="BD172" s="67"/>
      <c r="BE172" s="67">
        <f t="shared" si="131"/>
        <v>42660</v>
      </c>
      <c r="BF172" s="67"/>
      <c r="BG172" s="156">
        <f t="shared" si="132"/>
        <v>5.3143845915236437E-2</v>
      </c>
      <c r="BH172" s="67"/>
      <c r="BI172" s="183"/>
      <c r="BJ172" s="67"/>
      <c r="BK172" s="67">
        <f t="shared" si="133"/>
        <v>5627222</v>
      </c>
      <c r="BL172" s="67"/>
      <c r="BM172" s="156">
        <f t="shared" si="134"/>
        <v>5.2815403408644622E-2</v>
      </c>
      <c r="BN172" s="66">
        <f t="shared" si="135"/>
        <v>497560.71779141104</v>
      </c>
      <c r="BO172" s="67"/>
      <c r="BP172" s="67">
        <f t="shared" si="136"/>
        <v>5846482</v>
      </c>
      <c r="BQ172" s="67"/>
      <c r="BR172" s="478">
        <f t="shared" si="137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6"/>
        <v>6223110</v>
      </c>
      <c r="I173" s="16"/>
      <c r="J173" s="479">
        <f t="shared" si="117"/>
        <v>5.4904333065282692E-3</v>
      </c>
      <c r="K173" s="16"/>
      <c r="L173" s="16"/>
      <c r="M173" s="16"/>
      <c r="N173" s="16">
        <f t="shared" si="118"/>
        <v>298467</v>
      </c>
      <c r="O173" s="16">
        <f t="shared" si="138"/>
        <v>37945.792682926833</v>
      </c>
      <c r="P173" s="41"/>
      <c r="Q173" s="17">
        <f t="shared" si="119"/>
        <v>298467</v>
      </c>
      <c r="R173" s="16"/>
      <c r="S173" s="60">
        <f t="shared" si="120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1"/>
        <v>187270</v>
      </c>
      <c r="AB173" s="33"/>
      <c r="AC173" s="46">
        <f t="shared" si="122"/>
        <v>3.009267070644742E-2</v>
      </c>
      <c r="AD173" s="33"/>
      <c r="AE173" s="33">
        <f t="shared" si="123"/>
        <v>1141.8902439024391</v>
      </c>
      <c r="AF173" s="50"/>
      <c r="AG173" s="33">
        <f t="shared" si="124"/>
        <v>6651</v>
      </c>
      <c r="AH173" s="33">
        <f t="shared" si="112"/>
        <v>798935449.34662843</v>
      </c>
      <c r="AI173" s="231">
        <f t="shared" si="125"/>
        <v>-3.6366270646189511E-2</v>
      </c>
      <c r="AJ173" s="50"/>
      <c r="AK173" s="10"/>
      <c r="AL173" s="23">
        <f t="shared" si="126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7"/>
        <v>4.9647984524754905E-3</v>
      </c>
      <c r="AS173" s="25"/>
      <c r="AT173" s="25"/>
      <c r="AU173" s="24"/>
      <c r="AV173" s="341">
        <f t="shared" si="128"/>
        <v>0.55048408271748372</v>
      </c>
      <c r="AW173" s="341"/>
      <c r="AX173" s="24">
        <f t="shared" si="129"/>
        <v>20888.554878048781</v>
      </c>
      <c r="AY173" s="351"/>
      <c r="AZ173" s="391"/>
      <c r="BA173" s="66">
        <f t="shared" si="130"/>
        <v>727682</v>
      </c>
      <c r="BB173" s="67"/>
      <c r="BC173" s="67">
        <v>81830079</v>
      </c>
      <c r="BD173" s="67"/>
      <c r="BE173" s="67">
        <f t="shared" si="131"/>
        <v>33981</v>
      </c>
      <c r="BF173" s="67"/>
      <c r="BG173" s="156">
        <f t="shared" si="132"/>
        <v>4.6697595927891578E-2</v>
      </c>
      <c r="BH173" s="67"/>
      <c r="BI173" s="183"/>
      <c r="BJ173" s="67"/>
      <c r="BK173" s="67">
        <f t="shared" si="133"/>
        <v>5670701</v>
      </c>
      <c r="BL173" s="67"/>
      <c r="BM173" s="156">
        <f t="shared" si="134"/>
        <v>5.2633175334054823E-2</v>
      </c>
      <c r="BN173" s="66">
        <f t="shared" si="135"/>
        <v>498963.89634146343</v>
      </c>
      <c r="BO173" s="67"/>
      <c r="BP173" s="67">
        <f t="shared" si="136"/>
        <v>5880463</v>
      </c>
      <c r="BQ173" s="67"/>
      <c r="BR173" s="478">
        <f t="shared" si="137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6"/>
        <v>6261670</v>
      </c>
      <c r="I174" s="16"/>
      <c r="J174" s="479">
        <f t="shared" si="117"/>
        <v>6.1962587837913839E-3</v>
      </c>
      <c r="K174" s="16"/>
      <c r="L174" s="16"/>
      <c r="M174" s="16"/>
      <c r="N174" s="469">
        <f>SUM(D144:D174)</f>
        <v>1493931</v>
      </c>
      <c r="O174" s="16">
        <f t="shared" si="138"/>
        <v>37949.515151515152</v>
      </c>
      <c r="P174" s="41"/>
      <c r="Q174" s="17">
        <f t="shared" si="119"/>
        <v>295543</v>
      </c>
      <c r="R174" s="16"/>
      <c r="S174" s="60">
        <f t="shared" si="120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1"/>
        <v>187782</v>
      </c>
      <c r="AB174" s="33"/>
      <c r="AC174" s="46">
        <f t="shared" si="122"/>
        <v>2.9989124307093794E-2</v>
      </c>
      <c r="AD174" s="33"/>
      <c r="AE174" s="33">
        <f t="shared" si="123"/>
        <v>1138.0727272727272</v>
      </c>
      <c r="AF174" s="50"/>
      <c r="AG174" s="33">
        <f t="shared" si="124"/>
        <v>6653</v>
      </c>
      <c r="AH174" s="33">
        <f t="shared" si="112"/>
        <v>798876908.34662843</v>
      </c>
      <c r="AI174" s="231">
        <f t="shared" si="125"/>
        <v>-2.4915726220137768E-2</v>
      </c>
      <c r="AJ174" s="50"/>
      <c r="AK174" s="10"/>
      <c r="AL174" s="23">
        <f t="shared" si="126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7"/>
        <v>8.9149064299711336E-3</v>
      </c>
      <c r="AS174" s="25"/>
      <c r="AT174" s="25"/>
      <c r="AU174" s="24"/>
      <c r="AV174" s="341">
        <f t="shared" si="128"/>
        <v>0.55197143892923128</v>
      </c>
      <c r="AW174" s="341"/>
      <c r="AX174" s="24">
        <f t="shared" si="129"/>
        <v>20947.048484848485</v>
      </c>
      <c r="AY174" s="351"/>
      <c r="AZ174" s="10"/>
      <c r="BA174" s="66">
        <f t="shared" si="130"/>
        <v>794762</v>
      </c>
      <c r="BB174" s="67"/>
      <c r="BC174" s="67">
        <v>82624841</v>
      </c>
      <c r="BD174" s="67"/>
      <c r="BE174" s="67">
        <f t="shared" si="131"/>
        <v>38560</v>
      </c>
      <c r="BF174" s="67"/>
      <c r="BG174" s="156">
        <f t="shared" si="132"/>
        <v>4.8517669440662742E-2</v>
      </c>
      <c r="BH174" s="67"/>
      <c r="BI174" s="183"/>
      <c r="BJ174" s="67"/>
      <c r="BK174" s="67">
        <f t="shared" si="133"/>
        <v>5741362</v>
      </c>
      <c r="BL174" s="67"/>
      <c r="BM174" s="156">
        <f t="shared" si="134"/>
        <v>5.147611315921205E-2</v>
      </c>
      <c r="BN174" s="66">
        <f t="shared" si="135"/>
        <v>500756.61212121212</v>
      </c>
      <c r="BO174" s="67"/>
      <c r="BP174" s="67">
        <f t="shared" si="136"/>
        <v>5919023</v>
      </c>
      <c r="BQ174" s="67"/>
      <c r="BR174" s="478">
        <f t="shared" si="137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6"/>
        <v>6303649</v>
      </c>
      <c r="I175" s="16"/>
      <c r="J175" s="479">
        <f t="shared" si="117"/>
        <v>6.7041220632834374E-3</v>
      </c>
      <c r="K175" s="16"/>
      <c r="L175" s="16"/>
      <c r="M175" s="16"/>
      <c r="N175" s="16">
        <f t="shared" si="118"/>
        <v>297424</v>
      </c>
      <c r="O175" s="16">
        <f t="shared" si="138"/>
        <v>37973.789156626503</v>
      </c>
      <c r="P175" s="41"/>
      <c r="Q175" s="17">
        <f t="shared" si="119"/>
        <v>297424</v>
      </c>
      <c r="R175" s="16"/>
      <c r="S175" s="60">
        <f t="shared" si="120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1"/>
        <v>188946</v>
      </c>
      <c r="AB175" s="33"/>
      <c r="AC175" s="46">
        <f t="shared" si="122"/>
        <v>2.9974067401278212E-2</v>
      </c>
      <c r="AD175" s="33"/>
      <c r="AE175" s="33">
        <f t="shared" si="123"/>
        <v>1138.2289156626507</v>
      </c>
      <c r="AF175" s="50"/>
      <c r="AG175" s="33">
        <f t="shared" si="124"/>
        <v>6527</v>
      </c>
      <c r="AH175" s="33">
        <f t="shared" si="112"/>
        <v>798827870.34662843</v>
      </c>
      <c r="AI175" s="231">
        <f t="shared" si="125"/>
        <v>-3.3752775721687639E-2</v>
      </c>
      <c r="AJ175" s="50"/>
      <c r="AK175" s="10"/>
      <c r="AL175" s="23">
        <f t="shared" si="126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7"/>
        <v>1.1761257751507916E-2</v>
      </c>
      <c r="AS175" s="25"/>
      <c r="AT175" s="25"/>
      <c r="AU175" s="24"/>
      <c r="AV175" s="341">
        <f t="shared" si="128"/>
        <v>0.55474424416714829</v>
      </c>
      <c r="AW175" s="341"/>
      <c r="AX175" s="24">
        <f t="shared" si="129"/>
        <v>21065.74096385542</v>
      </c>
      <c r="AY175" s="351"/>
      <c r="AZ175" s="10"/>
      <c r="BA175" s="66">
        <f t="shared" si="130"/>
        <v>725278</v>
      </c>
      <c r="BB175" s="67"/>
      <c r="BC175" s="67">
        <v>83350119</v>
      </c>
      <c r="BD175" s="67"/>
      <c r="BE175" s="67">
        <f t="shared" si="131"/>
        <v>41979</v>
      </c>
      <c r="BF175" s="67"/>
      <c r="BG175" s="156">
        <f t="shared" si="132"/>
        <v>5.7879875027230937E-2</v>
      </c>
      <c r="BH175" s="67"/>
      <c r="BI175" s="183"/>
      <c r="BJ175" s="67"/>
      <c r="BK175" s="67">
        <f t="shared" si="133"/>
        <v>5418712</v>
      </c>
      <c r="BL175" s="67"/>
      <c r="BM175" s="156">
        <f t="shared" si="134"/>
        <v>5.4888320324091779E-2</v>
      </c>
      <c r="BN175" s="66">
        <f t="shared" si="135"/>
        <v>502109.15060240962</v>
      </c>
      <c r="BO175" s="67"/>
      <c r="BP175" s="67">
        <f t="shared" si="136"/>
        <v>5961002</v>
      </c>
      <c r="BQ175" s="67"/>
      <c r="BR175" s="478">
        <f t="shared" si="137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6"/>
        <v>6344860</v>
      </c>
      <c r="I176" s="16"/>
      <c r="J176" s="479">
        <f t="shared" si="117"/>
        <v>6.537641927715201E-3</v>
      </c>
      <c r="K176" s="16"/>
      <c r="L176" s="16"/>
      <c r="M176" s="16"/>
      <c r="N176" s="16">
        <f t="shared" si="118"/>
        <v>293998</v>
      </c>
      <c r="O176" s="16">
        <f t="shared" si="138"/>
        <v>37993.173652694612</v>
      </c>
      <c r="P176" s="41"/>
      <c r="Q176" s="17">
        <f t="shared" si="119"/>
        <v>293998</v>
      </c>
      <c r="R176" s="16"/>
      <c r="S176" s="60">
        <f t="shared" si="120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1"/>
        <v>190036</v>
      </c>
      <c r="AB176" s="33"/>
      <c r="AC176" s="46">
        <f t="shared" si="122"/>
        <v>2.9951173075528852E-2</v>
      </c>
      <c r="AD176" s="33"/>
      <c r="AE176" s="33">
        <f t="shared" si="123"/>
        <v>1137.9401197604791</v>
      </c>
      <c r="AF176" s="50"/>
      <c r="AG176" s="33">
        <f t="shared" si="124"/>
        <v>6337</v>
      </c>
      <c r="AH176" s="33">
        <f t="shared" si="112"/>
        <v>798779224.34662843</v>
      </c>
      <c r="AI176" s="231">
        <f t="shared" si="125"/>
        <v>-6.1324248259517107E-2</v>
      </c>
      <c r="AJ176" s="50"/>
      <c r="AK176" s="10"/>
      <c r="AL176" s="23">
        <f t="shared" si="126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7"/>
        <v>1.4332355423197546E-2</v>
      </c>
      <c r="AS176" s="25"/>
      <c r="AT176" s="25"/>
      <c r="AU176" s="24"/>
      <c r="AV176" s="341">
        <f t="shared" si="128"/>
        <v>0.55904023099012434</v>
      </c>
      <c r="AW176" s="341"/>
      <c r="AX176" s="24">
        <f t="shared" si="129"/>
        <v>21239.712574850299</v>
      </c>
      <c r="AY176" s="351"/>
      <c r="AZ176" s="10"/>
      <c r="BA176" s="66">
        <f t="shared" si="130"/>
        <v>748292</v>
      </c>
      <c r="BB176" s="67"/>
      <c r="BC176" s="67">
        <v>84098411</v>
      </c>
      <c r="BD176" s="67"/>
      <c r="BE176" s="67">
        <f t="shared" si="131"/>
        <v>41211</v>
      </c>
      <c r="BF176" s="67"/>
      <c r="BG176" s="156">
        <f t="shared" si="132"/>
        <v>5.5073420536368156E-2</v>
      </c>
      <c r="BH176" s="67"/>
      <c r="BI176" s="183"/>
      <c r="BJ176" s="67"/>
      <c r="BK176" s="67">
        <f t="shared" si="133"/>
        <v>5465845</v>
      </c>
      <c r="BL176" s="67"/>
      <c r="BM176" s="156">
        <f t="shared" si="134"/>
        <v>5.3788206581050137E-2</v>
      </c>
      <c r="BN176" s="66">
        <f t="shared" si="135"/>
        <v>503583.29940119758</v>
      </c>
      <c r="BO176" s="67"/>
      <c r="BP176" s="67">
        <f t="shared" si="136"/>
        <v>6002213</v>
      </c>
      <c r="BQ176" s="67"/>
      <c r="BR176" s="478">
        <f t="shared" si="137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6"/>
        <v>6390324</v>
      </c>
      <c r="I177" s="16"/>
      <c r="J177" s="479">
        <f t="shared" si="117"/>
        <v>7.1654851328476913E-3</v>
      </c>
      <c r="K177" s="16"/>
      <c r="L177" s="16"/>
      <c r="M177" s="16"/>
      <c r="N177" s="16">
        <f t="shared" si="118"/>
        <v>293456</v>
      </c>
      <c r="O177" s="16">
        <f t="shared" si="138"/>
        <v>38037.642857142855</v>
      </c>
      <c r="P177" s="41"/>
      <c r="Q177" s="17">
        <f t="shared" si="119"/>
        <v>293456</v>
      </c>
      <c r="R177" s="16"/>
      <c r="S177" s="60">
        <f t="shared" si="120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1"/>
        <v>191150</v>
      </c>
      <c r="AB177" s="33"/>
      <c r="AC177" s="46">
        <f t="shared" si="122"/>
        <v>2.9912411326874819E-2</v>
      </c>
      <c r="AD177" s="33"/>
      <c r="AE177" s="33">
        <f t="shared" si="123"/>
        <v>1137.797619047619</v>
      </c>
      <c r="AF177" s="50"/>
      <c r="AG177" s="33">
        <f t="shared" si="124"/>
        <v>6308</v>
      </c>
      <c r="AH177" s="33">
        <f t="shared" si="112"/>
        <v>798724660.34662843</v>
      </c>
      <c r="AI177" s="231">
        <f t="shared" si="125"/>
        <v>-7.1943504487273796E-2</v>
      </c>
      <c r="AJ177" s="50"/>
      <c r="AK177" s="10"/>
      <c r="AL177" s="23">
        <f t="shared" si="126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7"/>
        <v>7.9119669628015758E-3</v>
      </c>
      <c r="AS177" s="25"/>
      <c r="AT177" s="25"/>
      <c r="AU177" s="24"/>
      <c r="AV177" s="341">
        <f t="shared" si="128"/>
        <v>0.55945457538616195</v>
      </c>
      <c r="AW177" s="341"/>
      <c r="AX177" s="24">
        <f t="shared" si="129"/>
        <v>21280.333333333332</v>
      </c>
      <c r="AY177" s="351"/>
      <c r="AZ177" s="10"/>
      <c r="BA177" s="66">
        <f t="shared" si="130"/>
        <v>783118</v>
      </c>
      <c r="BB177" s="67"/>
      <c r="BC177" s="67">
        <v>84881529</v>
      </c>
      <c r="BD177" s="67"/>
      <c r="BE177" s="67">
        <f t="shared" si="131"/>
        <v>45464</v>
      </c>
      <c r="BF177" s="67"/>
      <c r="BG177" s="156">
        <f t="shared" si="132"/>
        <v>5.8055107914771462E-2</v>
      </c>
      <c r="BH177" s="67"/>
      <c r="BI177" s="183"/>
      <c r="BJ177" s="67"/>
      <c r="BK177" s="67">
        <f t="shared" si="133"/>
        <v>5409043</v>
      </c>
      <c r="BL177" s="67"/>
      <c r="BM177" s="156">
        <f t="shared" si="134"/>
        <v>5.4252850273144436E-2</v>
      </c>
      <c r="BN177" s="66">
        <f t="shared" si="135"/>
        <v>505247.19642857142</v>
      </c>
      <c r="BO177" s="67"/>
      <c r="BP177" s="67">
        <f t="shared" si="136"/>
        <v>6047677</v>
      </c>
      <c r="BQ177" s="67"/>
      <c r="BR177" s="478">
        <f t="shared" si="137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6"/>
        <v>6443173</v>
      </c>
      <c r="I178" s="16"/>
      <c r="J178" s="479">
        <f t="shared" si="117"/>
        <v>8.2701596976929494E-3</v>
      </c>
      <c r="K178" s="16"/>
      <c r="L178" s="16"/>
      <c r="M178" s="16"/>
      <c r="N178" s="16">
        <f t="shared" si="118"/>
        <v>296704</v>
      </c>
      <c r="O178" s="16">
        <f t="shared" si="138"/>
        <v>38125.284023668639</v>
      </c>
      <c r="P178" s="41"/>
      <c r="Q178" s="17">
        <f t="shared" si="119"/>
        <v>296704</v>
      </c>
      <c r="R178" s="16"/>
      <c r="S178" s="60">
        <f t="shared" si="120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1"/>
        <v>192183</v>
      </c>
      <c r="AB178" s="33"/>
      <c r="AC178" s="46">
        <f t="shared" si="122"/>
        <v>2.9827384737302568E-2</v>
      </c>
      <c r="AD178" s="33"/>
      <c r="AE178" s="33">
        <f t="shared" si="123"/>
        <v>1137.1775147928995</v>
      </c>
      <c r="AF178" s="50"/>
      <c r="AG178" s="33">
        <f t="shared" si="124"/>
        <v>6236</v>
      </c>
      <c r="AH178" s="33">
        <f t="shared" si="112"/>
        <v>798669512.34662843</v>
      </c>
      <c r="AI178" s="231">
        <f t="shared" si="125"/>
        <v>-7.3677956030897204E-2</v>
      </c>
      <c r="AJ178" s="50"/>
      <c r="AK178" s="10"/>
      <c r="AL178" s="23">
        <f t="shared" si="126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7"/>
        <v>2.8383293763300343E-2</v>
      </c>
      <c r="AS178" s="25"/>
      <c r="AT178" s="25"/>
      <c r="AU178" s="24"/>
      <c r="AV178" s="341">
        <f t="shared" si="128"/>
        <v>0.5706146645449377</v>
      </c>
      <c r="AW178" s="341"/>
      <c r="AX178" s="24">
        <f t="shared" si="129"/>
        <v>21754.846153846152</v>
      </c>
      <c r="AY178" s="351"/>
      <c r="AZ178" s="10"/>
      <c r="BA178" s="66">
        <f t="shared" si="130"/>
        <v>1014188</v>
      </c>
      <c r="BB178" s="67"/>
      <c r="BC178" s="67">
        <v>85895717</v>
      </c>
      <c r="BD178" s="67"/>
      <c r="BE178" s="67">
        <f t="shared" si="131"/>
        <v>52849</v>
      </c>
      <c r="BF178" s="67"/>
      <c r="BG178" s="156">
        <f t="shared" si="132"/>
        <v>5.2109668029990494E-2</v>
      </c>
      <c r="BH178" s="67"/>
      <c r="BI178" s="183"/>
      <c r="BJ178" s="67"/>
      <c r="BK178" s="67">
        <f t="shared" si="133"/>
        <v>5596047</v>
      </c>
      <c r="BL178" s="67"/>
      <c r="BM178" s="156">
        <f t="shared" si="134"/>
        <v>5.3020283782462874E-2</v>
      </c>
      <c r="BN178" s="66">
        <f t="shared" si="135"/>
        <v>508258.68047337281</v>
      </c>
      <c r="BO178" s="67"/>
      <c r="BP178" s="67">
        <f t="shared" si="136"/>
        <v>6100526</v>
      </c>
      <c r="BQ178" s="67"/>
      <c r="BR178" s="478">
        <f t="shared" si="137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6"/>
        <v>6485265</v>
      </c>
      <c r="I179" s="16"/>
      <c r="J179" s="479">
        <f t="shared" si="117"/>
        <v>6.5328061189727487E-3</v>
      </c>
      <c r="K179" s="16"/>
      <c r="L179" s="16"/>
      <c r="M179" s="16"/>
      <c r="N179" s="16">
        <f t="shared" si="118"/>
        <v>296136</v>
      </c>
      <c r="O179" s="16">
        <f t="shared" si="138"/>
        <v>38148.617647058825</v>
      </c>
      <c r="P179" s="41"/>
      <c r="Q179" s="17">
        <f t="shared" si="119"/>
        <v>296136</v>
      </c>
      <c r="R179" s="16"/>
      <c r="S179" s="60">
        <f t="shared" si="120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1"/>
        <v>192890</v>
      </c>
      <c r="AB179" s="33"/>
      <c r="AC179" s="46">
        <f t="shared" si="122"/>
        <v>2.9742809276105141E-2</v>
      </c>
      <c r="AD179" s="33"/>
      <c r="AE179" s="33">
        <f t="shared" si="123"/>
        <v>1134.6470588235295</v>
      </c>
      <c r="AF179" s="50"/>
      <c r="AG179" s="33">
        <f t="shared" si="124"/>
        <v>5989</v>
      </c>
      <c r="AH179" s="33">
        <f t="shared" si="112"/>
        <v>798610802.34662843</v>
      </c>
      <c r="AI179" s="231">
        <f t="shared" si="125"/>
        <v>-0.10771752085816448</v>
      </c>
      <c r="AJ179" s="50"/>
      <c r="AK179" s="10"/>
      <c r="AL179" s="23">
        <f t="shared" si="126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7"/>
        <v>8.2770104409845158E-3</v>
      </c>
      <c r="AS179" s="25"/>
      <c r="AT179" s="25"/>
      <c r="AU179" s="24"/>
      <c r="AV179" s="341">
        <f t="shared" si="128"/>
        <v>0.57160347341242035</v>
      </c>
      <c r="AW179" s="341"/>
      <c r="AX179" s="24">
        <f t="shared" si="129"/>
        <v>21805.882352941175</v>
      </c>
      <c r="AY179" s="351"/>
      <c r="AZ179" s="10"/>
      <c r="BA179" s="66">
        <f t="shared" si="130"/>
        <v>863485</v>
      </c>
      <c r="BB179" s="67"/>
      <c r="BC179" s="67">
        <v>86759202</v>
      </c>
      <c r="BD179" s="67"/>
      <c r="BE179" s="67">
        <f t="shared" si="131"/>
        <v>42092</v>
      </c>
      <c r="BF179" s="67"/>
      <c r="BG179" s="156">
        <f t="shared" si="132"/>
        <v>4.8746648754755435E-2</v>
      </c>
      <c r="BH179" s="67"/>
      <c r="BI179" s="183"/>
      <c r="BJ179" s="67"/>
      <c r="BK179" s="67">
        <f t="shared" si="133"/>
        <v>5656805</v>
      </c>
      <c r="BL179" s="67"/>
      <c r="BM179" s="156">
        <f t="shared" si="134"/>
        <v>5.2350399209447736E-2</v>
      </c>
      <c r="BN179" s="66">
        <f t="shared" si="135"/>
        <v>510348.24705882353</v>
      </c>
      <c r="BO179" s="67"/>
      <c r="BP179" s="67">
        <f t="shared" si="136"/>
        <v>6142618</v>
      </c>
      <c r="BQ179" s="67"/>
      <c r="BR179" s="478">
        <f t="shared" si="137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6"/>
        <v>6516375</v>
      </c>
      <c r="I180" s="16"/>
      <c r="J180" s="479">
        <f t="shared" si="117"/>
        <v>4.7970283403993511E-3</v>
      </c>
      <c r="K180" s="16"/>
      <c r="L180" s="16"/>
      <c r="M180" s="16"/>
      <c r="N180" s="16">
        <f t="shared" si="118"/>
        <v>293265</v>
      </c>
      <c r="O180" s="16">
        <f t="shared" si="138"/>
        <v>38107.456140350878</v>
      </c>
      <c r="P180" s="41"/>
      <c r="Q180" s="17">
        <f t="shared" si="119"/>
        <v>293265</v>
      </c>
      <c r="R180" s="16"/>
      <c r="S180" s="60">
        <f t="shared" si="120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1"/>
        <v>193320</v>
      </c>
      <c r="AB180" s="33"/>
      <c r="AC180" s="46">
        <f t="shared" si="122"/>
        <v>2.9666800943776255E-2</v>
      </c>
      <c r="AD180" s="33"/>
      <c r="AE180" s="33">
        <f t="shared" si="123"/>
        <v>1130.5263157894738</v>
      </c>
      <c r="AF180" s="50"/>
      <c r="AG180" s="33">
        <f t="shared" si="124"/>
        <v>6050</v>
      </c>
      <c r="AH180" s="33">
        <f t="shared" si="112"/>
        <v>798547556.34662843</v>
      </c>
      <c r="AI180" s="231">
        <f t="shared" si="125"/>
        <v>-9.0362351526086307E-2</v>
      </c>
      <c r="AJ180" s="50"/>
      <c r="AK180" s="10"/>
      <c r="AL180" s="23">
        <f t="shared" si="126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7"/>
        <v>5.1173455624494201E-3</v>
      </c>
      <c r="AS180" s="25"/>
      <c r="AT180" s="25"/>
      <c r="AU180" s="24"/>
      <c r="AV180" s="341">
        <f t="shared" si="128"/>
        <v>0.57178569373309551</v>
      </c>
      <c r="AW180" s="341"/>
      <c r="AX180" s="24">
        <f t="shared" si="129"/>
        <v>21789.298245614034</v>
      </c>
      <c r="AY180" s="351"/>
      <c r="AZ180" s="391"/>
      <c r="BA180" s="66">
        <f t="shared" si="130"/>
        <v>715717</v>
      </c>
      <c r="BB180" s="67"/>
      <c r="BC180" s="67">
        <v>87474919</v>
      </c>
      <c r="BD180" s="67"/>
      <c r="BE180" s="67">
        <f t="shared" si="131"/>
        <v>31110</v>
      </c>
      <c r="BF180" s="67"/>
      <c r="BG180" s="156">
        <f t="shared" si="132"/>
        <v>4.3466901023728653E-2</v>
      </c>
      <c r="BH180" s="67"/>
      <c r="BI180" s="183"/>
      <c r="BJ180" s="67"/>
      <c r="BK180" s="67">
        <f t="shared" si="133"/>
        <v>5644840</v>
      </c>
      <c r="BL180" s="67"/>
      <c r="BM180" s="156">
        <f t="shared" si="134"/>
        <v>5.1952756854047238E-2</v>
      </c>
      <c r="BN180" s="66">
        <f t="shared" si="135"/>
        <v>511549.23391812865</v>
      </c>
      <c r="BO180" s="67"/>
      <c r="BP180" s="67">
        <f t="shared" si="136"/>
        <v>6173728</v>
      </c>
      <c r="BQ180" s="67"/>
      <c r="BR180" s="478">
        <f t="shared" si="137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6"/>
        <v>6541795</v>
      </c>
      <c r="I181" s="16"/>
      <c r="J181" s="479">
        <f t="shared" si="117"/>
        <v>3.9009418580115479E-3</v>
      </c>
      <c r="K181" s="16"/>
      <c r="L181" s="16"/>
      <c r="M181" s="16"/>
      <c r="N181" s="16">
        <f t="shared" si="118"/>
        <v>280125</v>
      </c>
      <c r="O181" s="16">
        <f t="shared" si="138"/>
        <v>38033.691860465115</v>
      </c>
      <c r="P181" s="41"/>
      <c r="Q181" s="17">
        <f t="shared" si="119"/>
        <v>280125</v>
      </c>
      <c r="R181" s="16"/>
      <c r="S181" s="60">
        <f t="shared" si="120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1"/>
        <v>193606</v>
      </c>
      <c r="AB181" s="33"/>
      <c r="AC181" s="46">
        <f t="shared" si="122"/>
        <v>2.9595241061512935E-2</v>
      </c>
      <c r="AD181" s="33"/>
      <c r="AE181" s="33">
        <f t="shared" si="123"/>
        <v>1125.6162790697674</v>
      </c>
      <c r="AF181" s="50"/>
      <c r="AG181" s="33">
        <f t="shared" si="124"/>
        <v>5824</v>
      </c>
      <c r="AH181" s="33">
        <f t="shared" si="112"/>
        <v>798493357.34662843</v>
      </c>
      <c r="AI181" s="231">
        <f t="shared" si="125"/>
        <v>-0.12460544115436645</v>
      </c>
      <c r="AJ181" s="50"/>
      <c r="AK181" s="10"/>
      <c r="AL181" s="23">
        <f t="shared" si="126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7"/>
        <v>8.7652342879840691E-3</v>
      </c>
      <c r="AS181" s="25"/>
      <c r="AT181" s="25"/>
      <c r="AU181" s="24"/>
      <c r="AV181" s="341">
        <f t="shared" si="128"/>
        <v>0.57455621889710695</v>
      </c>
      <c r="AW181" s="341"/>
      <c r="AX181" s="24">
        <f t="shared" si="129"/>
        <v>21852.494186046511</v>
      </c>
      <c r="AY181" s="351"/>
      <c r="AZ181" s="10"/>
      <c r="BA181" s="66">
        <f t="shared" si="130"/>
        <v>592931</v>
      </c>
      <c r="BB181" s="67"/>
      <c r="BC181" s="67">
        <v>88067850</v>
      </c>
      <c r="BD181" s="67"/>
      <c r="BE181" s="67">
        <f t="shared" si="131"/>
        <v>25420</v>
      </c>
      <c r="BF181" s="67"/>
      <c r="BG181" s="156">
        <f t="shared" si="132"/>
        <v>4.2871767541248475E-2</v>
      </c>
      <c r="BH181" s="67"/>
      <c r="BI181" s="183"/>
      <c r="BJ181" s="67"/>
      <c r="BK181" s="67">
        <f t="shared" si="133"/>
        <v>5443009</v>
      </c>
      <c r="BL181" s="67"/>
      <c r="BM181" s="156">
        <f t="shared" si="134"/>
        <v>5.1465099543285708E-2</v>
      </c>
      <c r="BN181" s="66">
        <f t="shared" si="135"/>
        <v>512022.38372093026</v>
      </c>
      <c r="BO181" s="67"/>
      <c r="BP181" s="67">
        <f t="shared" si="136"/>
        <v>6199148</v>
      </c>
      <c r="BQ181" s="67"/>
      <c r="BR181" s="478">
        <f t="shared" si="137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6"/>
        <v>6570234</v>
      </c>
      <c r="I182" s="16"/>
      <c r="J182" s="479">
        <f t="shared" si="117"/>
        <v>4.3472777731494187E-3</v>
      </c>
      <c r="K182" s="16"/>
      <c r="L182" s="16"/>
      <c r="M182" s="16"/>
      <c r="N182" s="16">
        <f t="shared" si="118"/>
        <v>266585</v>
      </c>
      <c r="O182" s="16">
        <f t="shared" si="138"/>
        <v>37978.23121387283</v>
      </c>
      <c r="P182" s="41"/>
      <c r="Q182" s="17">
        <f t="shared" si="119"/>
        <v>266585</v>
      </c>
      <c r="R182" s="16"/>
      <c r="S182" s="60">
        <f t="shared" si="120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1"/>
        <v>194102</v>
      </c>
      <c r="AB182" s="33"/>
      <c r="AC182" s="46">
        <f t="shared" si="122"/>
        <v>2.9542631206133603E-2</v>
      </c>
      <c r="AD182" s="33"/>
      <c r="AE182" s="33">
        <f t="shared" si="123"/>
        <v>1121.9768786127167</v>
      </c>
      <c r="AF182" s="50"/>
      <c r="AG182" s="33">
        <f t="shared" si="124"/>
        <v>5156</v>
      </c>
      <c r="AH182" s="33">
        <f t="shared" si="112"/>
        <v>798445508.34662843</v>
      </c>
      <c r="AI182" s="231">
        <f t="shared" si="125"/>
        <v>-0.21005055921556612</v>
      </c>
      <c r="AJ182" s="50"/>
      <c r="AK182" s="10"/>
      <c r="AL182" s="23">
        <f t="shared" si="126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7"/>
        <v>1.0144922523611669E-2</v>
      </c>
      <c r="AS182" s="25"/>
      <c r="AT182" s="25"/>
      <c r="AU182" s="24"/>
      <c r="AV182" s="341">
        <f t="shared" si="128"/>
        <v>0.57787287332536408</v>
      </c>
      <c r="AW182" s="341"/>
      <c r="AX182" s="24">
        <f t="shared" si="129"/>
        <v>21946.589595375721</v>
      </c>
      <c r="AY182" s="351"/>
      <c r="AZ182" s="10"/>
      <c r="BA182" s="66">
        <f t="shared" si="130"/>
        <v>589124</v>
      </c>
      <c r="BB182" s="67"/>
      <c r="BC182" s="67">
        <v>88656974</v>
      </c>
      <c r="BD182" s="67"/>
      <c r="BE182" s="67">
        <f t="shared" si="131"/>
        <v>28439</v>
      </c>
      <c r="BF182" s="67"/>
      <c r="BG182" s="156">
        <f t="shared" si="132"/>
        <v>4.8273368594727084E-2</v>
      </c>
      <c r="BH182" s="67"/>
      <c r="BI182" s="183"/>
      <c r="BJ182" s="67"/>
      <c r="BK182" s="67">
        <f t="shared" si="133"/>
        <v>5306855</v>
      </c>
      <c r="BL182" s="67"/>
      <c r="BM182" s="156">
        <f t="shared" si="134"/>
        <v>5.0234084029052987E-2</v>
      </c>
      <c r="BN182" s="66">
        <f t="shared" si="135"/>
        <v>512468.0578034682</v>
      </c>
      <c r="BO182" s="67"/>
      <c r="BP182" s="67">
        <f t="shared" si="136"/>
        <v>6227587</v>
      </c>
      <c r="BQ182" s="67"/>
      <c r="BR182" s="478">
        <f t="shared" si="137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:H212" si="139">+H182+D183</f>
        <v>6605477</v>
      </c>
      <c r="I183" s="16"/>
      <c r="J183" s="479">
        <f t="shared" ref="J183:J212" si="140">+D183/H182</f>
        <v>5.3640403066313926E-3</v>
      </c>
      <c r="K183" s="16"/>
      <c r="L183" s="16"/>
      <c r="M183" s="16"/>
      <c r="N183" s="16">
        <f t="shared" ref="N183:N212" si="141">SUM(D177:D183)</f>
        <v>260617</v>
      </c>
      <c r="O183" s="16">
        <f t="shared" ref="O183:O212" si="142">+H183/BW183</f>
        <v>37962.511494252874</v>
      </c>
      <c r="P183" s="41"/>
      <c r="Q183" s="17">
        <f>SUM(D177:D183)</f>
        <v>260617</v>
      </c>
      <c r="R183" s="16"/>
      <c r="S183" s="60">
        <f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:AA212" si="143">+AA182+W183</f>
        <v>195310</v>
      </c>
      <c r="AB183" s="33"/>
      <c r="AC183" s="46">
        <f t="shared" ref="AC183:AC212" si="144">+AA183/H183</f>
        <v>2.9567887375885192E-2</v>
      </c>
      <c r="AD183" s="33"/>
      <c r="AE183" s="33">
        <f t="shared" ref="AE183:AE212" si="145">+AA183/BW183</f>
        <v>1122.471264367816</v>
      </c>
      <c r="AF183" s="50"/>
      <c r="AG183" s="33">
        <f t="shared" ref="AG183:AG195" si="146">SUM(W177:W183)</f>
        <v>5274</v>
      </c>
      <c r="AH183" s="33">
        <f t="shared" si="112"/>
        <v>798395708.34662843</v>
      </c>
      <c r="AI183" s="231">
        <f t="shared" ref="AI183:AI212" si="147">+(AG183-AG176)/AG176</f>
        <v>-0.16774498974278049</v>
      </c>
      <c r="AJ183" s="50"/>
      <c r="AK183" s="10"/>
      <c r="AL183" s="23">
        <f t="shared" ref="AL183:AL212" si="148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:AR212" si="149">+AL183/AP182</f>
        <v>1.2993973809247885E-2</v>
      </c>
      <c r="AS183" s="25"/>
      <c r="AT183" s="25"/>
      <c r="AU183" s="24"/>
      <c r="AV183" s="341">
        <f t="shared" ref="AV183:AV212" si="150">+AP183/H183</f>
        <v>0.58225848034895888</v>
      </c>
      <c r="AW183" s="341"/>
      <c r="AX183" s="24">
        <f t="shared" ref="AX183:AX212" si="151">+AP183/BW183</f>
        <v>22103.994252873563</v>
      </c>
      <c r="AY183" s="351"/>
      <c r="AZ183" s="10"/>
      <c r="BA183" s="66">
        <f t="shared" ref="BA183:BA212" si="152">+BC183-BC182</f>
        <v>626098</v>
      </c>
      <c r="BB183" s="67"/>
      <c r="BC183" s="67">
        <v>89283072</v>
      </c>
      <c r="BD183" s="67"/>
      <c r="BE183" s="67">
        <f t="shared" ref="BE183:BE212" si="153">+D183</f>
        <v>35243</v>
      </c>
      <c r="BF183" s="67"/>
      <c r="BG183" s="156">
        <f t="shared" ref="BG183:BG212" si="154">+BE183/BA183</f>
        <v>5.6289909886311724E-2</v>
      </c>
      <c r="BH183" s="67"/>
      <c r="BI183" s="183"/>
      <c r="BJ183" s="67"/>
      <c r="BK183" s="67">
        <f t="shared" ref="BK183:BK212" si="155">SUM(BA177:BA183)</f>
        <v>5184661</v>
      </c>
      <c r="BL183" s="67"/>
      <c r="BM183" s="156">
        <f t="shared" ref="BM183:BM212" si="156">+Q183/BK183</f>
        <v>5.026693162773805E-2</v>
      </c>
      <c r="BN183" s="66">
        <f t="shared" ref="BN183:BN212" si="157">+BC183/BW183</f>
        <v>513121.10344827588</v>
      </c>
      <c r="BO183" s="67"/>
      <c r="BP183" s="67">
        <f t="shared" ref="BP183:BP212" si="158">+BP182+BE183</f>
        <v>6262830</v>
      </c>
      <c r="BQ183" s="67"/>
      <c r="BR183" s="478">
        <f t="shared" ref="BR183:BR212" si="159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si="139"/>
        <v>6644288</v>
      </c>
      <c r="I184" s="16"/>
      <c r="J184" s="479">
        <f t="shared" si="140"/>
        <v>5.8755787053682874E-3</v>
      </c>
      <c r="K184" s="16"/>
      <c r="L184" s="16"/>
      <c r="M184" s="16"/>
      <c r="N184" s="16">
        <f t="shared" si="141"/>
        <v>253964</v>
      </c>
      <c r="O184" s="16">
        <f t="shared" si="142"/>
        <v>37967.360000000001</v>
      </c>
      <c r="P184" s="41"/>
      <c r="Q184" s="17">
        <f>SUM(D178:D184)</f>
        <v>253964</v>
      </c>
      <c r="R184" s="16"/>
      <c r="S184" s="60">
        <f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si="143"/>
        <v>196399</v>
      </c>
      <c r="AB184" s="33"/>
      <c r="AC184" s="46">
        <f t="shared" si="144"/>
        <v>2.9559073899265053E-2</v>
      </c>
      <c r="AD184" s="33"/>
      <c r="AE184" s="33">
        <f t="shared" si="145"/>
        <v>1122.28</v>
      </c>
      <c r="AF184" s="50"/>
      <c r="AG184" s="33">
        <f t="shared" si="146"/>
        <v>5249</v>
      </c>
      <c r="AH184" s="33">
        <f t="shared" ref="AH184:AH215" si="160">SUM(D155:D355)</f>
        <v>798341189.34662843</v>
      </c>
      <c r="AI184" s="231">
        <f t="shared" si="147"/>
        <v>-0.16788205453392518</v>
      </c>
      <c r="AJ184" s="50"/>
      <c r="AK184" s="10"/>
      <c r="AL184" s="23">
        <f t="shared" si="148"/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si="149"/>
        <v>8.8050347170311703E-3</v>
      </c>
      <c r="AS184" s="25"/>
      <c r="AT184" s="25"/>
      <c r="AU184" s="24"/>
      <c r="AV184" s="341">
        <f t="shared" si="150"/>
        <v>0.58395421751736232</v>
      </c>
      <c r="AW184" s="341"/>
      <c r="AX184" s="24">
        <f t="shared" si="151"/>
        <v>22171.200000000001</v>
      </c>
      <c r="AY184" s="351"/>
      <c r="AZ184" s="10"/>
      <c r="BA184" s="66">
        <f t="shared" si="152"/>
        <v>701717</v>
      </c>
      <c r="BB184" s="67"/>
      <c r="BC184" s="67">
        <v>89984789</v>
      </c>
      <c r="BD184" s="67"/>
      <c r="BE184" s="67">
        <f t="shared" si="153"/>
        <v>38811</v>
      </c>
      <c r="BF184" s="67"/>
      <c r="BG184" s="156">
        <f t="shared" si="154"/>
        <v>5.5308621566813973E-2</v>
      </c>
      <c r="BH184" s="67"/>
      <c r="BI184" s="183"/>
      <c r="BJ184" s="67"/>
      <c r="BK184" s="67">
        <f t="shared" si="155"/>
        <v>5103260</v>
      </c>
      <c r="BL184" s="67"/>
      <c r="BM184" s="156">
        <f t="shared" si="156"/>
        <v>4.9765052143139872E-2</v>
      </c>
      <c r="BN184" s="66">
        <f t="shared" si="157"/>
        <v>514198.79428571428</v>
      </c>
      <c r="BO184" s="67"/>
      <c r="BP184" s="67">
        <f t="shared" si="158"/>
        <v>6301641</v>
      </c>
      <c r="BQ184" s="67"/>
      <c r="BR184" s="478">
        <f t="shared" si="159"/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si="139"/>
        <v>6690888</v>
      </c>
      <c r="I185" s="16"/>
      <c r="J185" s="479">
        <f t="shared" si="140"/>
        <v>7.0135430613483341E-3</v>
      </c>
      <c r="K185" s="16"/>
      <c r="L185" s="16"/>
      <c r="M185" s="16"/>
      <c r="N185" s="16">
        <f t="shared" si="141"/>
        <v>247715</v>
      </c>
      <c r="O185" s="16">
        <f t="shared" si="142"/>
        <v>38016.409090909088</v>
      </c>
      <c r="P185" s="41"/>
      <c r="Q185" s="17">
        <f>SUM(D179:D185)</f>
        <v>247715</v>
      </c>
      <c r="R185" s="16"/>
      <c r="S185" s="60">
        <f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si="143"/>
        <v>197493</v>
      </c>
      <c r="AB185" s="33"/>
      <c r="AC185" s="46">
        <f t="shared" si="144"/>
        <v>2.9516709889629001E-2</v>
      </c>
      <c r="AD185" s="33"/>
      <c r="AE185" s="33">
        <f t="shared" si="145"/>
        <v>1122.1193181818182</v>
      </c>
      <c r="AF185" s="50"/>
      <c r="AG185" s="33">
        <f t="shared" si="146"/>
        <v>5310</v>
      </c>
      <c r="AH185" s="33">
        <f t="shared" si="160"/>
        <v>798286844.34662843</v>
      </c>
      <c r="AI185" s="231">
        <f t="shared" si="147"/>
        <v>-0.14849262347658757</v>
      </c>
      <c r="AJ185" s="50"/>
      <c r="AK185" s="10"/>
      <c r="AL185" s="23">
        <f t="shared" si="148"/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si="149"/>
        <v>9.7944308704213442E-3</v>
      </c>
      <c r="AS185" s="25"/>
      <c r="AT185" s="25"/>
      <c r="AU185" s="24"/>
      <c r="AV185" s="341">
        <f t="shared" si="150"/>
        <v>0.58556681863453697</v>
      </c>
      <c r="AW185" s="341"/>
      <c r="AX185" s="24">
        <f t="shared" si="151"/>
        <v>22261.147727272728</v>
      </c>
      <c r="AY185" s="351"/>
      <c r="AZ185" s="10"/>
      <c r="BA185" s="66">
        <f t="shared" si="152"/>
        <v>860917</v>
      </c>
      <c r="BB185" s="67"/>
      <c r="BC185" s="67">
        <v>90845706</v>
      </c>
      <c r="BD185" s="67"/>
      <c r="BE185" s="67">
        <f t="shared" si="153"/>
        <v>46600</v>
      </c>
      <c r="BF185" s="67"/>
      <c r="BG185" s="156">
        <f t="shared" si="154"/>
        <v>5.412833060562168E-2</v>
      </c>
      <c r="BH185" s="67"/>
      <c r="BI185" s="183"/>
      <c r="BJ185" s="67"/>
      <c r="BK185" s="67">
        <f t="shared" si="155"/>
        <v>4949989</v>
      </c>
      <c r="BL185" s="67"/>
      <c r="BM185" s="156">
        <f t="shared" si="156"/>
        <v>5.0043545551313344E-2</v>
      </c>
      <c r="BN185" s="66">
        <f t="shared" si="157"/>
        <v>516168.78409090912</v>
      </c>
      <c r="BO185" s="67"/>
      <c r="BP185" s="67">
        <f t="shared" si="158"/>
        <v>6348241</v>
      </c>
      <c r="BQ185" s="67"/>
      <c r="BR185" s="478">
        <f t="shared" si="159"/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si="139"/>
        <v>6730170</v>
      </c>
      <c r="I186" s="16"/>
      <c r="J186" s="479">
        <f t="shared" si="140"/>
        <v>5.8709695932737177E-3</v>
      </c>
      <c r="K186" s="16"/>
      <c r="L186" s="16"/>
      <c r="M186" s="16"/>
      <c r="N186" s="16">
        <f t="shared" si="141"/>
        <v>244905</v>
      </c>
      <c r="O186" s="16">
        <f t="shared" si="142"/>
        <v>38023.5593220339</v>
      </c>
      <c r="P186" s="41"/>
      <c r="Q186" s="17">
        <f>SUM(D180:D186)</f>
        <v>244905</v>
      </c>
      <c r="R186" s="16"/>
      <c r="S186" s="60">
        <f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si="143"/>
        <v>198200</v>
      </c>
      <c r="AB186" s="33"/>
      <c r="AC186" s="46">
        <f t="shared" si="144"/>
        <v>2.9449478987900752E-2</v>
      </c>
      <c r="AD186" s="33"/>
      <c r="AE186" s="33">
        <f t="shared" si="145"/>
        <v>1119.774011299435</v>
      </c>
      <c r="AF186" s="50"/>
      <c r="AG186" s="33">
        <f t="shared" si="146"/>
        <v>5310</v>
      </c>
      <c r="AH186" s="33">
        <f t="shared" si="160"/>
        <v>798231480.34662843</v>
      </c>
      <c r="AI186" s="231">
        <f t="shared" si="147"/>
        <v>-0.11337451995324763</v>
      </c>
      <c r="AJ186" s="50"/>
      <c r="AK186" s="10"/>
      <c r="AL186" s="23">
        <f t="shared" si="148"/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si="149"/>
        <v>8.2675635955632033E-3</v>
      </c>
      <c r="AS186" s="25"/>
      <c r="AT186" s="25"/>
      <c r="AU186" s="24"/>
      <c r="AV186" s="341">
        <f t="shared" si="150"/>
        <v>0.58696199353062406</v>
      </c>
      <c r="AW186" s="341"/>
      <c r="AX186" s="24">
        <f t="shared" si="151"/>
        <v>22318.384180790959</v>
      </c>
      <c r="AY186" s="351"/>
      <c r="AZ186" s="10"/>
      <c r="BA186" s="66">
        <f t="shared" si="152"/>
        <v>857797</v>
      </c>
      <c r="BB186" s="67"/>
      <c r="BC186" s="67">
        <v>91703503</v>
      </c>
      <c r="BD186" s="67"/>
      <c r="BE186" s="67">
        <f t="shared" si="153"/>
        <v>39282</v>
      </c>
      <c r="BF186" s="67"/>
      <c r="BG186" s="156">
        <f t="shared" si="154"/>
        <v>4.5794051506358728E-2</v>
      </c>
      <c r="BH186" s="67"/>
      <c r="BI186" s="183"/>
      <c r="BJ186" s="67"/>
      <c r="BK186" s="67">
        <f t="shared" si="155"/>
        <v>4944301</v>
      </c>
      <c r="BL186" s="67"/>
      <c r="BM186" s="156">
        <f t="shared" si="156"/>
        <v>4.9532785321929229E-2</v>
      </c>
      <c r="BN186" s="66">
        <f t="shared" si="157"/>
        <v>518098.88700564974</v>
      </c>
      <c r="BO186" s="67"/>
      <c r="BP186" s="67">
        <f t="shared" si="158"/>
        <v>6387523</v>
      </c>
      <c r="BQ186" s="67"/>
      <c r="BR186" s="478">
        <f t="shared" si="159"/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si="139"/>
        <v>6762027</v>
      </c>
      <c r="I187" s="16"/>
      <c r="J187" s="479">
        <f t="shared" si="140"/>
        <v>4.7334614133075388E-3</v>
      </c>
      <c r="K187" s="16"/>
      <c r="L187" s="16"/>
      <c r="M187" s="16"/>
      <c r="N187" s="16">
        <f t="shared" si="141"/>
        <v>245652</v>
      </c>
      <c r="O187" s="16">
        <f t="shared" si="142"/>
        <v>37988.915730337081</v>
      </c>
      <c r="P187" s="41"/>
      <c r="Q187" s="17">
        <f t="shared" ref="Q187:Q236" si="161">SUM(D181:D187)</f>
        <v>245652</v>
      </c>
      <c r="R187" s="16"/>
      <c r="S187" s="60">
        <f t="shared" ref="S187:S236" si="162">+(Q187-Q180)/Q180</f>
        <v>-0.16235486675873356</v>
      </c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si="143"/>
        <v>198592</v>
      </c>
      <c r="AB187" s="33"/>
      <c r="AC187" s="46">
        <f t="shared" si="144"/>
        <v>2.9368708524825472E-2</v>
      </c>
      <c r="AD187" s="33"/>
      <c r="AE187" s="33">
        <f t="shared" si="145"/>
        <v>1115.685393258427</v>
      </c>
      <c r="AF187" s="50"/>
      <c r="AG187" s="33">
        <f t="shared" si="146"/>
        <v>5272</v>
      </c>
      <c r="AH187" s="33">
        <f t="shared" si="160"/>
        <v>798170880.34662843</v>
      </c>
      <c r="AI187" s="231">
        <f t="shared" si="147"/>
        <v>-0.12859504132231406</v>
      </c>
      <c r="AJ187" s="50"/>
      <c r="AK187" s="10"/>
      <c r="AL187" s="23">
        <f t="shared" si="148"/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si="149"/>
        <v>6.2260243006069839E-3</v>
      </c>
      <c r="AS187" s="25"/>
      <c r="AT187" s="25"/>
      <c r="AU187" s="24"/>
      <c r="AV187" s="341">
        <f t="shared" si="150"/>
        <v>0.58783394387511323</v>
      </c>
      <c r="AW187" s="341"/>
      <c r="AX187" s="24">
        <f t="shared" si="151"/>
        <v>22331.174157303372</v>
      </c>
      <c r="AY187" s="351"/>
      <c r="AZ187" s="391"/>
      <c r="BA187" s="66">
        <f t="shared" si="152"/>
        <v>699997</v>
      </c>
      <c r="BB187" s="67"/>
      <c r="BC187" s="67">
        <v>92403500</v>
      </c>
      <c r="BD187" s="67"/>
      <c r="BE187" s="67">
        <f t="shared" si="153"/>
        <v>31857</v>
      </c>
      <c r="BF187" s="67"/>
      <c r="BG187" s="156">
        <f t="shared" si="154"/>
        <v>4.5510195043693046E-2</v>
      </c>
      <c r="BH187" s="67"/>
      <c r="BI187" s="183"/>
      <c r="BJ187" s="67"/>
      <c r="BK187" s="67">
        <f t="shared" si="155"/>
        <v>4928581</v>
      </c>
      <c r="BL187" s="67"/>
      <c r="BM187" s="156">
        <f t="shared" si="156"/>
        <v>4.9842337987343617E-2</v>
      </c>
      <c r="BN187" s="66">
        <f t="shared" si="157"/>
        <v>519120.78651685396</v>
      </c>
      <c r="BO187" s="67"/>
      <c r="BP187" s="67">
        <f t="shared" si="158"/>
        <v>6419380</v>
      </c>
      <c r="BQ187" s="67"/>
      <c r="BR187" s="478">
        <f t="shared" si="159"/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98" si="163">1+B187</f>
        <v>44088</v>
      </c>
      <c r="C188" s="61"/>
      <c r="D188" s="17">
        <v>38072</v>
      </c>
      <c r="E188" s="16"/>
      <c r="F188" s="16"/>
      <c r="G188" s="16"/>
      <c r="H188" s="16">
        <f t="shared" si="139"/>
        <v>6800099</v>
      </c>
      <c r="I188" s="16"/>
      <c r="J188" s="479">
        <f t="shared" si="140"/>
        <v>5.6302644162763617E-3</v>
      </c>
      <c r="K188" s="16"/>
      <c r="L188" s="16"/>
      <c r="M188" s="16"/>
      <c r="N188" s="16">
        <f t="shared" si="141"/>
        <v>258304</v>
      </c>
      <c r="O188" s="16">
        <f t="shared" si="142"/>
        <v>37989.379888268159</v>
      </c>
      <c r="P188" s="41"/>
      <c r="Q188" s="17">
        <f t="shared" si="161"/>
        <v>258304</v>
      </c>
      <c r="R188" s="16"/>
      <c r="S188" s="60">
        <f t="shared" si="162"/>
        <v>-7.789736724676484E-2</v>
      </c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si="143"/>
        <v>199072</v>
      </c>
      <c r="AB188" s="33"/>
      <c r="AC188" s="46">
        <f t="shared" si="144"/>
        <v>2.9274867910011309E-2</v>
      </c>
      <c r="AD188" s="33"/>
      <c r="AE188" s="33">
        <f t="shared" si="145"/>
        <v>1112.1340782122904</v>
      </c>
      <c r="AF188" s="50"/>
      <c r="AG188" s="33">
        <f t="shared" si="146"/>
        <v>5466</v>
      </c>
      <c r="AH188" s="33">
        <f t="shared" si="160"/>
        <v>798117357.34662843</v>
      </c>
      <c r="AI188" s="231">
        <f t="shared" si="147"/>
        <v>-6.1469780219780217E-2</v>
      </c>
      <c r="AJ188" s="50"/>
      <c r="AK188" s="10"/>
      <c r="AL188" s="23">
        <f t="shared" si="148"/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si="149"/>
        <v>1.3302560611469481E-2</v>
      </c>
      <c r="AS188" s="25"/>
      <c r="AT188" s="25"/>
      <c r="AU188" s="24"/>
      <c r="AV188" s="341">
        <f t="shared" si="150"/>
        <v>0.59231872947732089</v>
      </c>
      <c r="AW188" s="341"/>
      <c r="AX188" s="24">
        <f t="shared" si="151"/>
        <v>22501.821229050278</v>
      </c>
      <c r="AY188" s="351"/>
      <c r="AZ188" s="10"/>
      <c r="BA188" s="66">
        <f t="shared" si="152"/>
        <v>486822</v>
      </c>
      <c r="BB188" s="67"/>
      <c r="BC188" s="67">
        <v>92890322</v>
      </c>
      <c r="BD188" s="67"/>
      <c r="BE188" s="67">
        <f t="shared" si="153"/>
        <v>38072</v>
      </c>
      <c r="BF188" s="67"/>
      <c r="BG188" s="156">
        <f t="shared" si="154"/>
        <v>7.8205175608333233E-2</v>
      </c>
      <c r="BH188" s="67"/>
      <c r="BI188" s="183"/>
      <c r="BJ188" s="67"/>
      <c r="BK188" s="67">
        <f t="shared" si="155"/>
        <v>4822472</v>
      </c>
      <c r="BL188" s="67"/>
      <c r="BM188" s="156">
        <f t="shared" si="156"/>
        <v>5.3562571229029431E-2</v>
      </c>
      <c r="BN188" s="66">
        <f t="shared" si="157"/>
        <v>518940.34636871511</v>
      </c>
      <c r="BO188" s="67"/>
      <c r="BP188" s="67">
        <f t="shared" si="158"/>
        <v>6457452</v>
      </c>
      <c r="BQ188" s="67"/>
      <c r="BR188" s="478">
        <f t="shared" si="159"/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163"/>
        <v>44089</v>
      </c>
      <c r="C189" s="61"/>
      <c r="D189" s="17">
        <v>36447</v>
      </c>
      <c r="E189" s="16"/>
      <c r="F189" s="16"/>
      <c r="G189" s="16"/>
      <c r="H189" s="16">
        <f t="shared" si="139"/>
        <v>6836546</v>
      </c>
      <c r="I189" s="16"/>
      <c r="J189" s="479">
        <f t="shared" si="140"/>
        <v>5.3597749091594104E-3</v>
      </c>
      <c r="K189" s="16"/>
      <c r="L189" s="16"/>
      <c r="M189" s="16"/>
      <c r="N189" s="16">
        <f t="shared" si="141"/>
        <v>266312</v>
      </c>
      <c r="O189" s="16">
        <f t="shared" si="142"/>
        <v>37980.811111111114</v>
      </c>
      <c r="P189" s="41"/>
      <c r="Q189" s="17">
        <f t="shared" si="161"/>
        <v>266312</v>
      </c>
      <c r="R189" s="16"/>
      <c r="S189" s="60">
        <f t="shared" si="162"/>
        <v>-1.0240636194834669E-3</v>
      </c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si="143"/>
        <v>200269</v>
      </c>
      <c r="AB189" s="33"/>
      <c r="AC189" s="46">
        <f t="shared" si="144"/>
        <v>2.9293886123197298E-2</v>
      </c>
      <c r="AD189" s="33"/>
      <c r="AE189" s="33">
        <f t="shared" si="145"/>
        <v>1112.6055555555556</v>
      </c>
      <c r="AF189" s="50"/>
      <c r="AG189" s="33">
        <f t="shared" si="146"/>
        <v>6167</v>
      </c>
      <c r="AH189" s="33">
        <f t="shared" si="160"/>
        <v>798080514.34662843</v>
      </c>
      <c r="AI189" s="231">
        <f t="shared" si="147"/>
        <v>0.1960822342901474</v>
      </c>
      <c r="AJ189" s="50"/>
      <c r="AK189" s="10"/>
      <c r="AL189" s="23">
        <f t="shared" si="148"/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si="149"/>
        <v>9.9954665370351158E-3</v>
      </c>
      <c r="AS189" s="25"/>
      <c r="AT189" s="25"/>
      <c r="AU189" s="24"/>
      <c r="AV189" s="341">
        <f t="shared" si="150"/>
        <v>0.59504989800405061</v>
      </c>
      <c r="AW189" s="341"/>
      <c r="AX189" s="24">
        <f t="shared" si="151"/>
        <v>22600.477777777778</v>
      </c>
      <c r="AY189" s="351"/>
      <c r="AZ189" s="10"/>
      <c r="BA189" s="66">
        <f t="shared" si="152"/>
        <v>741636</v>
      </c>
      <c r="BB189" s="67"/>
      <c r="BC189" s="67">
        <v>93631958</v>
      </c>
      <c r="BD189" s="67"/>
      <c r="BE189" s="67">
        <f t="shared" si="153"/>
        <v>36447</v>
      </c>
      <c r="BF189" s="67"/>
      <c r="BG189" s="156">
        <f t="shared" si="154"/>
        <v>4.9144054495736451E-2</v>
      </c>
      <c r="BH189" s="67"/>
      <c r="BI189" s="183"/>
      <c r="BJ189" s="67"/>
      <c r="BK189" s="67">
        <f t="shared" si="155"/>
        <v>4974984</v>
      </c>
      <c r="BL189" s="67"/>
      <c r="BM189" s="156">
        <f t="shared" si="156"/>
        <v>5.3530222408755483E-2</v>
      </c>
      <c r="BN189" s="66">
        <f t="shared" si="157"/>
        <v>520177.54444444447</v>
      </c>
      <c r="BO189" s="67"/>
      <c r="BP189" s="67">
        <f t="shared" si="158"/>
        <v>6493899</v>
      </c>
      <c r="BQ189" s="67"/>
      <c r="BR189" s="478">
        <f t="shared" si="159"/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163"/>
        <v>44090</v>
      </c>
      <c r="C190" s="61"/>
      <c r="D190" s="17">
        <v>40154</v>
      </c>
      <c r="E190" s="16"/>
      <c r="F190" s="16"/>
      <c r="G190" s="16"/>
      <c r="H190" s="16">
        <f t="shared" si="139"/>
        <v>6876700</v>
      </c>
      <c r="I190" s="16"/>
      <c r="J190" s="479">
        <f t="shared" si="140"/>
        <v>5.8734337485625053E-3</v>
      </c>
      <c r="K190" s="16"/>
      <c r="L190" s="16"/>
      <c r="M190" s="16"/>
      <c r="N190" s="16">
        <f t="shared" si="141"/>
        <v>271223</v>
      </c>
      <c r="O190" s="16">
        <f t="shared" si="142"/>
        <v>37992.817679558008</v>
      </c>
      <c r="P190" s="41"/>
      <c r="Q190" s="17">
        <f t="shared" si="161"/>
        <v>271223</v>
      </c>
      <c r="R190" s="16"/>
      <c r="S190" s="60">
        <f t="shared" si="162"/>
        <v>4.0695733586066908E-2</v>
      </c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si="143"/>
        <v>201420</v>
      </c>
      <c r="AB190" s="33"/>
      <c r="AC190" s="46">
        <f t="shared" si="144"/>
        <v>2.9290211874881848E-2</v>
      </c>
      <c r="AD190" s="33"/>
      <c r="AE190" s="33">
        <f t="shared" si="145"/>
        <v>1112.8176795580112</v>
      </c>
      <c r="AF190" s="50"/>
      <c r="AG190" s="33">
        <f t="shared" si="146"/>
        <v>6110</v>
      </c>
      <c r="AH190" s="33">
        <f t="shared" si="160"/>
        <v>798039902.34662843</v>
      </c>
      <c r="AI190" s="231">
        <f t="shared" si="147"/>
        <v>0.15851346226772847</v>
      </c>
      <c r="AJ190" s="50"/>
      <c r="AK190" s="10"/>
      <c r="AL190" s="23">
        <f t="shared" si="148"/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si="149"/>
        <v>1.2554306865685731E-2</v>
      </c>
      <c r="AS190" s="25"/>
      <c r="AT190" s="25"/>
      <c r="AU190" s="24"/>
      <c r="AV190" s="341">
        <f t="shared" si="150"/>
        <v>0.59900213765323485</v>
      </c>
      <c r="AW190" s="341"/>
      <c r="AX190" s="24">
        <f t="shared" si="151"/>
        <v>22757.779005524862</v>
      </c>
      <c r="AY190" s="351"/>
      <c r="AZ190" s="10"/>
      <c r="BA190" s="66">
        <f t="shared" si="152"/>
        <v>737109</v>
      </c>
      <c r="BB190" s="67"/>
      <c r="BC190" s="67">
        <v>94369067</v>
      </c>
      <c r="BD190" s="67"/>
      <c r="BE190" s="67">
        <f t="shared" si="153"/>
        <v>40154</v>
      </c>
      <c r="BF190" s="67"/>
      <c r="BG190" s="156">
        <f t="shared" si="154"/>
        <v>5.4474982668777615E-2</v>
      </c>
      <c r="BH190" s="67"/>
      <c r="BI190" s="183"/>
      <c r="BJ190" s="67"/>
      <c r="BK190" s="67">
        <f t="shared" si="155"/>
        <v>5085995</v>
      </c>
      <c r="BL190" s="67"/>
      <c r="BM190" s="156">
        <f t="shared" si="156"/>
        <v>5.3327421674618243E-2</v>
      </c>
      <c r="BN190" s="66">
        <f t="shared" si="157"/>
        <v>521376.06077348068</v>
      </c>
      <c r="BO190" s="67"/>
      <c r="BP190" s="67">
        <f t="shared" si="158"/>
        <v>6534053</v>
      </c>
      <c r="BQ190" s="67"/>
      <c r="BR190" s="478">
        <f t="shared" si="159"/>
        <v>6.9239351492157916E-2</v>
      </c>
      <c r="BS190" s="67"/>
      <c r="BT190" s="86"/>
      <c r="BU190" s="183"/>
      <c r="BV190" s="1"/>
      <c r="BW190" s="61">
        <f t="shared" ref="BW190:BW215" si="164">+BW189+1</f>
        <v>181</v>
      </c>
    </row>
    <row r="191" spans="2:75" x14ac:dyDescent="0.3">
      <c r="B191" s="171">
        <f t="shared" si="163"/>
        <v>44091</v>
      </c>
      <c r="C191" s="61"/>
      <c r="D191" s="17">
        <v>46295</v>
      </c>
      <c r="E191" s="16"/>
      <c r="F191" s="16"/>
      <c r="G191" s="16"/>
      <c r="H191" s="16">
        <f t="shared" si="139"/>
        <v>6922995</v>
      </c>
      <c r="I191" s="16"/>
      <c r="J191" s="479">
        <f t="shared" si="140"/>
        <v>6.7321535038608639E-3</v>
      </c>
      <c r="K191" s="16"/>
      <c r="L191" s="16"/>
      <c r="M191" s="16"/>
      <c r="N191" s="16">
        <f t="shared" si="141"/>
        <v>278707</v>
      </c>
      <c r="O191" s="16">
        <f t="shared" si="142"/>
        <v>38038.434065934067</v>
      </c>
      <c r="P191" s="41"/>
      <c r="Q191" s="17">
        <f t="shared" si="161"/>
        <v>278707</v>
      </c>
      <c r="R191" s="16"/>
      <c r="S191" s="60">
        <f t="shared" si="162"/>
        <v>9.742719440550629E-2</v>
      </c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si="143"/>
        <v>202299</v>
      </c>
      <c r="AB191" s="33"/>
      <c r="AC191" s="46">
        <f t="shared" si="144"/>
        <v>2.9221312452197352E-2</v>
      </c>
      <c r="AD191" s="33"/>
      <c r="AE191" s="33">
        <f t="shared" si="145"/>
        <v>1111.532967032967</v>
      </c>
      <c r="AF191" s="50"/>
      <c r="AG191" s="33">
        <f t="shared" si="146"/>
        <v>5900</v>
      </c>
      <c r="AH191" s="33">
        <f t="shared" si="160"/>
        <v>797995903.34662843</v>
      </c>
      <c r="AI191" s="231">
        <f t="shared" si="147"/>
        <v>0.12402362354734235</v>
      </c>
      <c r="AJ191" s="50"/>
      <c r="AK191" s="10"/>
      <c r="AL191" s="23">
        <f t="shared" si="148"/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si="149"/>
        <v>8.7107607914044573E-3</v>
      </c>
      <c r="AS191" s="25"/>
      <c r="AT191" s="25"/>
      <c r="AU191" s="24"/>
      <c r="AV191" s="341">
        <f t="shared" si="150"/>
        <v>0.60017940212292509</v>
      </c>
      <c r="AW191" s="341"/>
      <c r="AX191" s="24">
        <f t="shared" si="151"/>
        <v>22829.884615384617</v>
      </c>
      <c r="AY191" s="351"/>
      <c r="AZ191" s="10"/>
      <c r="BA191" s="66">
        <f t="shared" si="152"/>
        <v>865955</v>
      </c>
      <c r="BB191" s="67"/>
      <c r="BC191" s="67">
        <v>95235022</v>
      </c>
      <c r="BD191" s="67"/>
      <c r="BE191" s="67">
        <f t="shared" si="153"/>
        <v>46295</v>
      </c>
      <c r="BF191" s="67"/>
      <c r="BG191" s="156">
        <f t="shared" si="154"/>
        <v>5.3461207568522615E-2</v>
      </c>
      <c r="BH191" s="67"/>
      <c r="BI191" s="183"/>
      <c r="BJ191" s="67"/>
      <c r="BK191" s="67">
        <f t="shared" si="155"/>
        <v>5250233</v>
      </c>
      <c r="BL191" s="67"/>
      <c r="BM191" s="156">
        <f t="shared" si="156"/>
        <v>5.3084691669874458E-2</v>
      </c>
      <c r="BN191" s="66">
        <f t="shared" si="157"/>
        <v>523269.35164835164</v>
      </c>
      <c r="BO191" s="67"/>
      <c r="BP191" s="67">
        <f t="shared" si="158"/>
        <v>6580348</v>
      </c>
      <c r="BQ191" s="67"/>
      <c r="BR191" s="478">
        <f t="shared" si="159"/>
        <v>6.9095883655069662E-2</v>
      </c>
      <c r="BS191" s="67"/>
      <c r="BT191" s="86"/>
      <c r="BU191" s="183"/>
      <c r="BV191" s="1"/>
      <c r="BW191" s="61">
        <f t="shared" si="164"/>
        <v>182</v>
      </c>
    </row>
    <row r="192" spans="2:75" x14ac:dyDescent="0.3">
      <c r="B192" s="171">
        <f t="shared" si="163"/>
        <v>44092</v>
      </c>
      <c r="C192" s="61"/>
      <c r="D192" s="17">
        <v>51345</v>
      </c>
      <c r="E192" s="16"/>
      <c r="F192" s="16"/>
      <c r="G192" s="16"/>
      <c r="H192" s="16">
        <f t="shared" si="139"/>
        <v>6974340</v>
      </c>
      <c r="I192" s="16"/>
      <c r="J192" s="479">
        <f t="shared" si="140"/>
        <v>7.4165877629551952E-3</v>
      </c>
      <c r="K192" s="16"/>
      <c r="L192" s="16"/>
      <c r="M192" s="16"/>
      <c r="N192" s="16">
        <f t="shared" si="141"/>
        <v>283452</v>
      </c>
      <c r="O192" s="16">
        <f t="shared" si="142"/>
        <v>38111.147540983606</v>
      </c>
      <c r="P192" s="41"/>
      <c r="Q192" s="17">
        <f t="shared" si="161"/>
        <v>283452</v>
      </c>
      <c r="R192" s="16"/>
      <c r="S192" s="60">
        <f t="shared" si="162"/>
        <v>0.14426659669378117</v>
      </c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si="143"/>
        <v>203257</v>
      </c>
      <c r="AB192" s="33"/>
      <c r="AC192" s="46">
        <f t="shared" si="144"/>
        <v>2.914354619935363E-2</v>
      </c>
      <c r="AD192" s="33"/>
      <c r="AE192" s="33">
        <f t="shared" si="145"/>
        <v>1110.6939890710382</v>
      </c>
      <c r="AF192" s="50"/>
      <c r="AG192" s="33">
        <f t="shared" si="146"/>
        <v>5764</v>
      </c>
      <c r="AH192" s="33">
        <f t="shared" si="160"/>
        <v>797950930.34662843</v>
      </c>
      <c r="AI192" s="231">
        <f t="shared" si="147"/>
        <v>8.5499058380414314E-2</v>
      </c>
      <c r="AJ192" s="50"/>
      <c r="AK192" s="10"/>
      <c r="AL192" s="23">
        <f t="shared" si="148"/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si="149"/>
        <v>8.8699528452079509E-3</v>
      </c>
      <c r="AS192" s="25"/>
      <c r="AT192" s="25"/>
      <c r="AU192" s="24"/>
      <c r="AV192" s="341">
        <f t="shared" si="150"/>
        <v>0.60104526019666382</v>
      </c>
      <c r="AW192" s="341"/>
      <c r="AX192" s="24">
        <f t="shared" si="151"/>
        <v>22906.524590163935</v>
      </c>
      <c r="AY192" s="351"/>
      <c r="AZ192" s="10"/>
      <c r="BA192" s="66">
        <f t="shared" si="152"/>
        <v>988439</v>
      </c>
      <c r="BB192" s="67"/>
      <c r="BC192" s="67">
        <v>96223461</v>
      </c>
      <c r="BD192" s="67"/>
      <c r="BE192" s="67">
        <f t="shared" si="153"/>
        <v>51345</v>
      </c>
      <c r="BF192" s="67"/>
      <c r="BG192" s="156">
        <f t="shared" si="154"/>
        <v>5.1945542415869871E-2</v>
      </c>
      <c r="BH192" s="67"/>
      <c r="BI192" s="183"/>
      <c r="BJ192" s="67"/>
      <c r="BK192" s="67">
        <f t="shared" si="155"/>
        <v>5377755</v>
      </c>
      <c r="BL192" s="67"/>
      <c r="BM192" s="156">
        <f t="shared" si="156"/>
        <v>5.270823977663542E-2</v>
      </c>
      <c r="BN192" s="66">
        <f t="shared" si="157"/>
        <v>525811.26229508198</v>
      </c>
      <c r="BO192" s="67"/>
      <c r="BP192" s="67">
        <f t="shared" si="158"/>
        <v>6631693</v>
      </c>
      <c r="BQ192" s="67"/>
      <c r="BR192" s="478">
        <f t="shared" si="159"/>
        <v>6.8919709716115912E-2</v>
      </c>
      <c r="BS192" s="67"/>
      <c r="BT192" s="86"/>
      <c r="BU192" s="183"/>
      <c r="BV192" s="1"/>
      <c r="BW192" s="61">
        <f t="shared" si="164"/>
        <v>183</v>
      </c>
    </row>
    <row r="193" spans="2:75" x14ac:dyDescent="0.3">
      <c r="B193" s="171">
        <f t="shared" si="163"/>
        <v>44093</v>
      </c>
      <c r="C193" s="61"/>
      <c r="D193" s="17">
        <v>43613</v>
      </c>
      <c r="E193" s="16"/>
      <c r="F193" s="16"/>
      <c r="G193" s="16"/>
      <c r="H193" s="16">
        <f t="shared" si="139"/>
        <v>7017953</v>
      </c>
      <c r="I193" s="16"/>
      <c r="J193" s="479">
        <f t="shared" si="140"/>
        <v>6.2533515716182465E-3</v>
      </c>
      <c r="K193" s="16"/>
      <c r="L193" s="16"/>
      <c r="M193" s="16"/>
      <c r="N193" s="16">
        <f t="shared" si="141"/>
        <v>287783</v>
      </c>
      <c r="O193" s="16">
        <f t="shared" si="142"/>
        <v>38141.04891304348</v>
      </c>
      <c r="P193" s="41"/>
      <c r="Q193" s="17">
        <f t="shared" si="161"/>
        <v>287783</v>
      </c>
      <c r="R193" s="16"/>
      <c r="S193" s="60">
        <f t="shared" si="162"/>
        <v>0.17508013311283968</v>
      </c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si="143"/>
        <v>203915</v>
      </c>
      <c r="AB193" s="33"/>
      <c r="AC193" s="46">
        <f t="shared" si="144"/>
        <v>2.9056193451281305E-2</v>
      </c>
      <c r="AD193" s="33"/>
      <c r="AE193" s="33">
        <f t="shared" si="145"/>
        <v>1108.233695652174</v>
      </c>
      <c r="AF193" s="50"/>
      <c r="AG193" s="33">
        <f t="shared" si="146"/>
        <v>5715</v>
      </c>
      <c r="AH193" s="33">
        <f t="shared" si="160"/>
        <v>797905573.34662843</v>
      </c>
      <c r="AI193" s="231">
        <f t="shared" si="147"/>
        <v>7.6271186440677971E-2</v>
      </c>
      <c r="AJ193" s="50"/>
      <c r="AK193" s="10"/>
      <c r="AL193" s="23">
        <f t="shared" si="148"/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si="149"/>
        <v>7.5858311302719013E-3</v>
      </c>
      <c r="AS193" s="25"/>
      <c r="AT193" s="25"/>
      <c r="AU193" s="24"/>
      <c r="AV193" s="341">
        <f t="shared" si="150"/>
        <v>0.60184116365555596</v>
      </c>
      <c r="AW193" s="341"/>
      <c r="AX193" s="24">
        <f t="shared" si="151"/>
        <v>22954.853260869564</v>
      </c>
      <c r="AY193" s="351"/>
      <c r="AZ193" s="10"/>
      <c r="BA193" s="66">
        <f t="shared" si="152"/>
        <v>1086851</v>
      </c>
      <c r="BB193" s="67"/>
      <c r="BC193" s="67">
        <v>97310312</v>
      </c>
      <c r="BD193" s="67"/>
      <c r="BE193" s="67">
        <f t="shared" si="153"/>
        <v>43613</v>
      </c>
      <c r="BF193" s="67"/>
      <c r="BG193" s="156">
        <f t="shared" si="154"/>
        <v>4.0127855612222832E-2</v>
      </c>
      <c r="BH193" s="67"/>
      <c r="BI193" s="183"/>
      <c r="BJ193" s="67"/>
      <c r="BK193" s="67">
        <f t="shared" si="155"/>
        <v>5606809</v>
      </c>
      <c r="BL193" s="67"/>
      <c r="BM193" s="156">
        <f t="shared" si="156"/>
        <v>5.1327412793979607E-2</v>
      </c>
      <c r="BN193" s="66">
        <f t="shared" si="157"/>
        <v>528860.39130434778</v>
      </c>
      <c r="BO193" s="67"/>
      <c r="BP193" s="67">
        <f t="shared" si="158"/>
        <v>6675306</v>
      </c>
      <c r="BQ193" s="67"/>
      <c r="BR193" s="478">
        <f t="shared" si="159"/>
        <v>6.8598135827578066E-2</v>
      </c>
      <c r="BS193" s="67"/>
      <c r="BT193" s="86"/>
      <c r="BU193" s="183"/>
      <c r="BV193" s="1"/>
      <c r="BW193" s="61">
        <f t="shared" si="164"/>
        <v>184</v>
      </c>
    </row>
    <row r="194" spans="2:75" x14ac:dyDescent="0.3">
      <c r="B194" s="390">
        <f t="shared" si="163"/>
        <v>44094</v>
      </c>
      <c r="C194" s="61"/>
      <c r="D194" s="17">
        <v>33386</v>
      </c>
      <c r="E194" s="16"/>
      <c r="F194" s="16"/>
      <c r="G194" s="16"/>
      <c r="H194" s="16">
        <f t="shared" si="139"/>
        <v>7051339</v>
      </c>
      <c r="I194" s="16"/>
      <c r="J194" s="479">
        <f t="shared" si="140"/>
        <v>4.7572276417354176E-3</v>
      </c>
      <c r="K194" s="16"/>
      <c r="L194" s="16"/>
      <c r="M194" s="16"/>
      <c r="N194" s="16">
        <f t="shared" si="141"/>
        <v>289312</v>
      </c>
      <c r="O194" s="16">
        <f t="shared" si="142"/>
        <v>38115.345945945948</v>
      </c>
      <c r="P194" s="41"/>
      <c r="Q194" s="17">
        <f t="shared" si="161"/>
        <v>289312</v>
      </c>
      <c r="R194" s="16"/>
      <c r="S194" s="60">
        <f t="shared" si="162"/>
        <v>0.17773109927865435</v>
      </c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si="143"/>
        <v>204209</v>
      </c>
      <c r="AB194" s="33"/>
      <c r="AC194" s="46">
        <f t="shared" si="144"/>
        <v>2.8960315196872536E-2</v>
      </c>
      <c r="AD194" s="33"/>
      <c r="AE194" s="33">
        <f t="shared" si="145"/>
        <v>1103.8324324324324</v>
      </c>
      <c r="AF194" s="50"/>
      <c r="AG194" s="33">
        <f t="shared" si="146"/>
        <v>5617</v>
      </c>
      <c r="AH194" s="33">
        <f t="shared" si="160"/>
        <v>797855092.34662843</v>
      </c>
      <c r="AI194" s="231">
        <f t="shared" si="147"/>
        <v>6.5440060698027311E-2</v>
      </c>
      <c r="AJ194" s="50"/>
      <c r="AK194" s="10"/>
      <c r="AL194" s="23">
        <f t="shared" si="148"/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si="149"/>
        <v>6.2615819852437195E-3</v>
      </c>
      <c r="AS194" s="25"/>
      <c r="AT194" s="25"/>
      <c r="AU194" s="24"/>
      <c r="AV194" s="341">
        <f t="shared" si="150"/>
        <v>0.60274225930706216</v>
      </c>
      <c r="AW194" s="341"/>
      <c r="AX194" s="24">
        <f t="shared" si="151"/>
        <v>22973.72972972973</v>
      </c>
      <c r="AY194" s="351"/>
      <c r="AZ194" s="391"/>
      <c r="BA194" s="66">
        <f t="shared" si="152"/>
        <v>856297</v>
      </c>
      <c r="BB194" s="67"/>
      <c r="BC194" s="67">
        <v>98166609</v>
      </c>
      <c r="BD194" s="67"/>
      <c r="BE194" s="67">
        <f t="shared" si="153"/>
        <v>33386</v>
      </c>
      <c r="BF194" s="67"/>
      <c r="BG194" s="156">
        <f t="shared" si="154"/>
        <v>3.8988808789473743E-2</v>
      </c>
      <c r="BH194" s="67"/>
      <c r="BI194" s="183"/>
      <c r="BJ194" s="67"/>
      <c r="BK194" s="67">
        <f t="shared" si="155"/>
        <v>5763109</v>
      </c>
      <c r="BL194" s="67"/>
      <c r="BM194" s="156">
        <f t="shared" si="156"/>
        <v>5.0200681611262253E-2</v>
      </c>
      <c r="BN194" s="66">
        <f t="shared" si="157"/>
        <v>530630.31891891896</v>
      </c>
      <c r="BO194" s="67"/>
      <c r="BP194" s="67">
        <f t="shared" si="158"/>
        <v>6708692</v>
      </c>
      <c r="BQ194" s="67"/>
      <c r="BR194" s="478">
        <f t="shared" si="159"/>
        <v>6.8339856783684969E-2</v>
      </c>
      <c r="BS194" s="67"/>
      <c r="BT194" s="86"/>
      <c r="BU194" s="183"/>
      <c r="BV194" s="1"/>
      <c r="BW194" s="61">
        <f t="shared" si="164"/>
        <v>185</v>
      </c>
    </row>
    <row r="195" spans="2:75" x14ac:dyDescent="0.3">
      <c r="B195" s="171">
        <f t="shared" si="163"/>
        <v>44095</v>
      </c>
      <c r="C195" s="61"/>
      <c r="D195" s="17">
        <v>36804</v>
      </c>
      <c r="E195" s="16"/>
      <c r="F195" s="16"/>
      <c r="G195" s="16"/>
      <c r="H195" s="16">
        <f t="shared" si="139"/>
        <v>7088143</v>
      </c>
      <c r="I195" s="16"/>
      <c r="J195" s="479">
        <f t="shared" si="140"/>
        <v>5.2194342095877111E-3</v>
      </c>
      <c r="K195" s="16"/>
      <c r="L195" s="16"/>
      <c r="M195" s="16"/>
      <c r="N195" s="16">
        <f t="shared" si="141"/>
        <v>288044</v>
      </c>
      <c r="O195" s="16">
        <f t="shared" si="142"/>
        <v>38108.295698924732</v>
      </c>
      <c r="P195" s="41"/>
      <c r="Q195" s="17">
        <f t="shared" si="161"/>
        <v>288044</v>
      </c>
      <c r="R195" s="16"/>
      <c r="S195" s="60">
        <f t="shared" si="162"/>
        <v>0.11513565411298315</v>
      </c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si="143"/>
        <v>204593</v>
      </c>
      <c r="AB195" s="33"/>
      <c r="AC195" s="46">
        <f t="shared" si="144"/>
        <v>2.8864118570971268E-2</v>
      </c>
      <c r="AD195" s="33"/>
      <c r="AE195" s="33">
        <f t="shared" si="145"/>
        <v>1099.9623655913979</v>
      </c>
      <c r="AF195" s="50"/>
      <c r="AG195" s="33">
        <f t="shared" si="146"/>
        <v>5521</v>
      </c>
      <c r="AH195" s="33">
        <f t="shared" si="160"/>
        <v>797811263.34662843</v>
      </c>
      <c r="AI195" s="231">
        <f t="shared" si="147"/>
        <v>1.0062202707647273E-2</v>
      </c>
      <c r="AJ195" s="50"/>
      <c r="AK195" s="10"/>
      <c r="AL195" s="23">
        <f t="shared" si="148"/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si="149"/>
        <v>1.1619617236138104E-2</v>
      </c>
      <c r="AS195" s="25"/>
      <c r="AT195" s="25"/>
      <c r="AU195" s="24"/>
      <c r="AV195" s="341">
        <f t="shared" si="150"/>
        <v>0.60657988982445754</v>
      </c>
      <c r="AW195" s="341"/>
      <c r="AX195" s="24">
        <f t="shared" si="151"/>
        <v>23115.725806451614</v>
      </c>
      <c r="AY195" s="351"/>
      <c r="AZ195" s="10"/>
      <c r="BA195" s="66">
        <f t="shared" si="152"/>
        <v>743166</v>
      </c>
      <c r="BB195" s="67"/>
      <c r="BC195" s="67">
        <v>98909775</v>
      </c>
      <c r="BD195" s="67"/>
      <c r="BE195" s="67">
        <f t="shared" si="153"/>
        <v>36804</v>
      </c>
      <c r="BF195" s="67"/>
      <c r="BG195" s="156">
        <f t="shared" si="154"/>
        <v>4.9523255907832166E-2</v>
      </c>
      <c r="BH195" s="67"/>
      <c r="BI195" s="183"/>
      <c r="BJ195" s="67"/>
      <c r="BK195" s="67">
        <f t="shared" si="155"/>
        <v>6019453</v>
      </c>
      <c r="BL195" s="67"/>
      <c r="BM195" s="156">
        <f t="shared" si="156"/>
        <v>4.7852188562648466E-2</v>
      </c>
      <c r="BN195" s="66">
        <f t="shared" si="157"/>
        <v>531772.98387096776</v>
      </c>
      <c r="BO195" s="67"/>
      <c r="BP195" s="67">
        <f t="shared" si="158"/>
        <v>6745496</v>
      </c>
      <c r="BQ195" s="67"/>
      <c r="BR195" s="478">
        <f t="shared" si="159"/>
        <v>6.8198476844174405E-2</v>
      </c>
      <c r="BS195" s="67"/>
      <c r="BT195" s="86"/>
      <c r="BU195" s="183"/>
      <c r="BV195" s="1"/>
      <c r="BW195" s="61">
        <f t="shared" si="164"/>
        <v>186</v>
      </c>
    </row>
    <row r="196" spans="2:75" x14ac:dyDescent="0.3">
      <c r="B196" s="171">
        <f t="shared" si="163"/>
        <v>44096</v>
      </c>
      <c r="C196" s="61"/>
      <c r="D196" s="17">
        <v>35696</v>
      </c>
      <c r="E196" s="16"/>
      <c r="F196" s="16"/>
      <c r="G196" s="16"/>
      <c r="H196" s="16">
        <f t="shared" si="139"/>
        <v>7123839</v>
      </c>
      <c r="I196" s="16"/>
      <c r="J196" s="479">
        <f t="shared" si="140"/>
        <v>5.0360157801556766E-3</v>
      </c>
      <c r="K196" s="16"/>
      <c r="L196" s="16"/>
      <c r="M196" s="16"/>
      <c r="N196" s="16">
        <f t="shared" si="141"/>
        <v>287293</v>
      </c>
      <c r="O196" s="16">
        <f t="shared" si="142"/>
        <v>38095.395721925132</v>
      </c>
      <c r="P196" s="41"/>
      <c r="Q196" s="17">
        <f t="shared" si="161"/>
        <v>287293</v>
      </c>
      <c r="R196" s="16"/>
      <c r="S196" s="60">
        <f t="shared" si="162"/>
        <v>7.8783532097689929E-2</v>
      </c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si="143"/>
        <v>205572</v>
      </c>
      <c r="AB196" s="33"/>
      <c r="AC196" s="46">
        <f t="shared" si="144"/>
        <v>2.8856912684298453E-2</v>
      </c>
      <c r="AD196" s="33"/>
      <c r="AE196" s="33">
        <f t="shared" si="145"/>
        <v>1099.3155080213903</v>
      </c>
      <c r="AF196" s="50"/>
      <c r="AG196" s="33">
        <f t="shared" ref="AG196:AG204" si="165">SUM(W190:W196)</f>
        <v>5303</v>
      </c>
      <c r="AH196" s="33">
        <f t="shared" si="160"/>
        <v>797778545.34662843</v>
      </c>
      <c r="AI196" s="231">
        <f t="shared" si="147"/>
        <v>-0.14010053510621048</v>
      </c>
      <c r="AJ196" s="50"/>
      <c r="AK196" s="10"/>
      <c r="AL196" s="23">
        <f t="shared" si="148"/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si="149"/>
        <v>1.0834917810688389E-2</v>
      </c>
      <c r="AS196" s="25"/>
      <c r="AT196" s="25"/>
      <c r="AU196" s="24"/>
      <c r="AV196" s="341">
        <f t="shared" si="150"/>
        <v>0.61007976176890022</v>
      </c>
      <c r="AW196" s="341"/>
      <c r="AX196" s="24">
        <f t="shared" si="151"/>
        <v>23241.229946524065</v>
      </c>
      <c r="AY196" s="351"/>
      <c r="AZ196" s="10"/>
      <c r="BA196" s="66">
        <f t="shared" si="152"/>
        <v>772198</v>
      </c>
      <c r="BB196" s="67"/>
      <c r="BC196" s="67">
        <v>99681973</v>
      </c>
      <c r="BD196" s="67"/>
      <c r="BE196" s="67">
        <f t="shared" si="153"/>
        <v>35696</v>
      </c>
      <c r="BF196" s="67"/>
      <c r="BG196" s="156">
        <f t="shared" si="154"/>
        <v>4.6226485953084574E-2</v>
      </c>
      <c r="BH196" s="67"/>
      <c r="BI196" s="183"/>
      <c r="BJ196" s="67"/>
      <c r="BK196" s="67">
        <f t="shared" si="155"/>
        <v>6050015</v>
      </c>
      <c r="BL196" s="67"/>
      <c r="BM196" s="156">
        <f t="shared" si="156"/>
        <v>4.7486328546292859E-2</v>
      </c>
      <c r="BN196" s="66">
        <f t="shared" si="157"/>
        <v>533058.67914438504</v>
      </c>
      <c r="BO196" s="67"/>
      <c r="BP196" s="67">
        <f t="shared" si="158"/>
        <v>6781192</v>
      </c>
      <c r="BQ196" s="67"/>
      <c r="BR196" s="478">
        <f t="shared" si="159"/>
        <v>6.8028268260701463E-2</v>
      </c>
      <c r="BS196" s="67"/>
      <c r="BT196" s="86"/>
      <c r="BU196" s="183"/>
      <c r="BV196" s="1"/>
      <c r="BW196" s="61">
        <f t="shared" si="164"/>
        <v>187</v>
      </c>
    </row>
    <row r="197" spans="2:75" x14ac:dyDescent="0.3">
      <c r="B197" s="171">
        <f t="shared" si="163"/>
        <v>44097</v>
      </c>
      <c r="C197" s="61"/>
      <c r="D197" s="17">
        <v>41616</v>
      </c>
      <c r="E197" s="16"/>
      <c r="F197" s="16"/>
      <c r="G197" s="16"/>
      <c r="H197" s="16">
        <f t="shared" si="139"/>
        <v>7165455</v>
      </c>
      <c r="I197" s="16"/>
      <c r="J197" s="479">
        <f t="shared" si="140"/>
        <v>5.8417940102239814E-3</v>
      </c>
      <c r="K197" s="16"/>
      <c r="L197" s="16"/>
      <c r="M197" s="16"/>
      <c r="N197" s="16">
        <f t="shared" si="141"/>
        <v>288755</v>
      </c>
      <c r="O197" s="16">
        <f t="shared" si="142"/>
        <v>38114.122340425529</v>
      </c>
      <c r="P197" s="41"/>
      <c r="Q197" s="17">
        <f t="shared" si="161"/>
        <v>288755</v>
      </c>
      <c r="R197" s="16"/>
      <c r="S197" s="60">
        <f t="shared" si="162"/>
        <v>6.4640535647787989E-2</v>
      </c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si="143"/>
        <v>206687</v>
      </c>
      <c r="AB197" s="33"/>
      <c r="AC197" s="46">
        <f t="shared" si="144"/>
        <v>2.8844923316104838E-2</v>
      </c>
      <c r="AD197" s="33"/>
      <c r="AE197" s="33">
        <f t="shared" si="145"/>
        <v>1099.3989361702127</v>
      </c>
      <c r="AF197" s="50"/>
      <c r="AG197" s="33">
        <f t="shared" si="165"/>
        <v>5267</v>
      </c>
      <c r="AH197" s="33">
        <f t="shared" si="160"/>
        <v>797737061.34662843</v>
      </c>
      <c r="AI197" s="231">
        <f t="shared" si="147"/>
        <v>-0.13797054009819967</v>
      </c>
      <c r="AJ197" s="50"/>
      <c r="AK197" s="10"/>
      <c r="AL197" s="23">
        <f t="shared" si="148"/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si="149"/>
        <v>1.2148104856987052E-2</v>
      </c>
      <c r="AS197" s="25"/>
      <c r="AT197" s="25"/>
      <c r="AU197" s="24"/>
      <c r="AV197" s="341">
        <f t="shared" si="150"/>
        <v>0.61390476948079364</v>
      </c>
      <c r="AW197" s="341"/>
      <c r="AX197" s="24">
        <f t="shared" si="151"/>
        <v>23398.441489361703</v>
      </c>
      <c r="AY197" s="351"/>
      <c r="AZ197" s="10"/>
      <c r="BA197" s="66">
        <f t="shared" si="152"/>
        <v>900117</v>
      </c>
      <c r="BB197" s="67"/>
      <c r="BC197" s="67">
        <v>100582090</v>
      </c>
      <c r="BD197" s="67"/>
      <c r="BE197" s="67">
        <f t="shared" si="153"/>
        <v>41616</v>
      </c>
      <c r="BF197" s="67"/>
      <c r="BG197" s="156">
        <f t="shared" si="154"/>
        <v>4.6233989581354426E-2</v>
      </c>
      <c r="BH197" s="67"/>
      <c r="BI197" s="183"/>
      <c r="BJ197" s="67"/>
      <c r="BK197" s="67">
        <f t="shared" si="155"/>
        <v>6213023</v>
      </c>
      <c r="BL197" s="67"/>
      <c r="BM197" s="156">
        <f t="shared" si="156"/>
        <v>4.647576550094857E-2</v>
      </c>
      <c r="BN197" s="66">
        <f t="shared" si="157"/>
        <v>535011.11702127662</v>
      </c>
      <c r="BO197" s="67"/>
      <c r="BP197" s="67">
        <f t="shared" si="158"/>
        <v>6822808</v>
      </c>
      <c r="BQ197" s="67"/>
      <c r="BR197" s="478">
        <f t="shared" si="159"/>
        <v>6.7833229554088603E-2</v>
      </c>
      <c r="BS197" s="67"/>
      <c r="BT197" s="86"/>
      <c r="BU197" s="183"/>
      <c r="BV197" s="1"/>
      <c r="BW197" s="61">
        <f t="shared" si="164"/>
        <v>188</v>
      </c>
    </row>
    <row r="198" spans="2:75" x14ac:dyDescent="0.3">
      <c r="B198" s="171">
        <f t="shared" si="163"/>
        <v>44098</v>
      </c>
      <c r="C198" s="61"/>
      <c r="D198" s="17">
        <v>45355</v>
      </c>
      <c r="E198" s="16"/>
      <c r="F198" s="16"/>
      <c r="G198" s="16"/>
      <c r="H198" s="16">
        <f t="shared" si="139"/>
        <v>7210810</v>
      </c>
      <c r="I198" s="16"/>
      <c r="J198" s="479">
        <f t="shared" si="140"/>
        <v>6.3296748078105298E-3</v>
      </c>
      <c r="K198" s="16"/>
      <c r="L198" s="16"/>
      <c r="M198" s="16"/>
      <c r="N198" s="16">
        <f t="shared" si="141"/>
        <v>287815</v>
      </c>
      <c r="O198" s="16">
        <f t="shared" si="142"/>
        <v>38152.433862433863</v>
      </c>
      <c r="P198" s="41"/>
      <c r="Q198" s="17">
        <f t="shared" si="161"/>
        <v>287815</v>
      </c>
      <c r="R198" s="16"/>
      <c r="S198" s="60">
        <f t="shared" si="162"/>
        <v>3.2679480601491888E-2</v>
      </c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si="143"/>
        <v>207629</v>
      </c>
      <c r="AB198" s="33"/>
      <c r="AC198" s="46">
        <f t="shared" si="144"/>
        <v>2.8794129924377427E-2</v>
      </c>
      <c r="AD198" s="33"/>
      <c r="AE198" s="33">
        <f t="shared" si="145"/>
        <v>1098.5661375661375</v>
      </c>
      <c r="AF198" s="50"/>
      <c r="AG198" s="33">
        <f t="shared" si="165"/>
        <v>5330</v>
      </c>
      <c r="AH198" s="33">
        <f t="shared" si="160"/>
        <v>797696963.34662843</v>
      </c>
      <c r="AI198" s="231">
        <f t="shared" si="147"/>
        <v>-9.6610169491525427E-2</v>
      </c>
      <c r="AJ198" s="50"/>
      <c r="AK198" s="10"/>
      <c r="AL198" s="23">
        <f t="shared" si="148"/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si="149"/>
        <v>8.7846821949179657E-3</v>
      </c>
      <c r="AS198" s="25"/>
      <c r="AT198" s="25"/>
      <c r="AU198" s="24"/>
      <c r="AV198" s="341">
        <f t="shared" si="150"/>
        <v>0.61540243051751464</v>
      </c>
      <c r="AW198" s="341"/>
      <c r="AX198" s="24">
        <f t="shared" si="151"/>
        <v>23479.100529100528</v>
      </c>
      <c r="AY198" s="351"/>
      <c r="AZ198" s="10"/>
      <c r="BA198" s="66">
        <f t="shared" si="152"/>
        <v>990101</v>
      </c>
      <c r="BB198" s="67"/>
      <c r="BC198" s="67">
        <v>101572191</v>
      </c>
      <c r="BD198" s="67"/>
      <c r="BE198" s="67">
        <f t="shared" si="153"/>
        <v>45355</v>
      </c>
      <c r="BF198" s="67"/>
      <c r="BG198" s="156">
        <f t="shared" si="154"/>
        <v>4.5808457924999574E-2</v>
      </c>
      <c r="BH198" s="67"/>
      <c r="BI198" s="183"/>
      <c r="BJ198" s="67"/>
      <c r="BK198" s="67">
        <f t="shared" si="155"/>
        <v>6337169</v>
      </c>
      <c r="BL198" s="67"/>
      <c r="BM198" s="156">
        <f t="shared" si="156"/>
        <v>4.5416967734330585E-2</v>
      </c>
      <c r="BN198" s="66">
        <f t="shared" si="157"/>
        <v>537419</v>
      </c>
      <c r="BO198" s="67"/>
      <c r="BP198" s="67">
        <f t="shared" si="158"/>
        <v>6868163</v>
      </c>
      <c r="BQ198" s="67"/>
      <c r="BR198" s="478">
        <f t="shared" si="159"/>
        <v>6.7618537440036125E-2</v>
      </c>
      <c r="BS198" s="67"/>
      <c r="BT198" s="86"/>
      <c r="BU198" s="183"/>
      <c r="BV198" s="1"/>
      <c r="BW198" s="61">
        <f t="shared" si="164"/>
        <v>189</v>
      </c>
    </row>
    <row r="199" spans="2:75" x14ac:dyDescent="0.3">
      <c r="B199" s="171">
        <f t="shared" si="163"/>
        <v>44099</v>
      </c>
      <c r="C199" s="61"/>
      <c r="D199" s="17">
        <v>53629</v>
      </c>
      <c r="E199" s="16"/>
      <c r="F199" s="16"/>
      <c r="G199" s="16"/>
      <c r="H199" s="16">
        <f t="shared" si="139"/>
        <v>7264439</v>
      </c>
      <c r="I199" s="16"/>
      <c r="J199" s="479">
        <f t="shared" si="140"/>
        <v>7.4373059337300524E-3</v>
      </c>
      <c r="K199" s="16"/>
      <c r="L199" s="16"/>
      <c r="M199" s="16"/>
      <c r="N199" s="16">
        <f t="shared" si="141"/>
        <v>290099</v>
      </c>
      <c r="O199" s="16">
        <f t="shared" si="142"/>
        <v>38233.889473684212</v>
      </c>
      <c r="P199" s="41"/>
      <c r="Q199" s="17">
        <f t="shared" si="161"/>
        <v>290099</v>
      </c>
      <c r="R199" s="16"/>
      <c r="S199" s="60">
        <f t="shared" si="162"/>
        <v>2.3450178513469654E-2</v>
      </c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si="143"/>
        <v>208524</v>
      </c>
      <c r="AB199" s="33"/>
      <c r="AC199" s="46">
        <f t="shared" si="144"/>
        <v>2.8704763024371187E-2</v>
      </c>
      <c r="AD199" s="33"/>
      <c r="AE199" s="33">
        <f t="shared" si="145"/>
        <v>1097.4947368421053</v>
      </c>
      <c r="AF199" s="50"/>
      <c r="AG199" s="33">
        <f t="shared" si="165"/>
        <v>5267</v>
      </c>
      <c r="AH199" s="33">
        <f t="shared" si="160"/>
        <v>797652326.34662843</v>
      </c>
      <c r="AI199" s="231">
        <f t="shared" si="147"/>
        <v>-8.6224843858431641E-2</v>
      </c>
      <c r="AJ199" s="50"/>
      <c r="AK199" s="10"/>
      <c r="AL199" s="23">
        <f t="shared" si="148"/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si="149"/>
        <v>9.7281157395409622E-3</v>
      </c>
      <c r="AS199" s="25"/>
      <c r="AT199" s="25"/>
      <c r="AU199" s="24"/>
      <c r="AV199" s="341">
        <f t="shared" si="150"/>
        <v>0.61680179295331683</v>
      </c>
      <c r="AW199" s="341"/>
      <c r="AX199" s="24">
        <f t="shared" si="151"/>
        <v>23582.731578947369</v>
      </c>
      <c r="AY199" s="351"/>
      <c r="AZ199" s="10"/>
      <c r="BA199" s="66">
        <f t="shared" si="152"/>
        <v>975164</v>
      </c>
      <c r="BB199" s="67"/>
      <c r="BC199" s="67">
        <v>102547355</v>
      </c>
      <c r="BD199" s="67"/>
      <c r="BE199" s="67">
        <f t="shared" si="153"/>
        <v>53629</v>
      </c>
      <c r="BF199" s="67"/>
      <c r="BG199" s="156">
        <f t="shared" si="154"/>
        <v>5.4994852147946395E-2</v>
      </c>
      <c r="BH199" s="67"/>
      <c r="BI199" s="183"/>
      <c r="BJ199" s="67"/>
      <c r="BK199" s="67">
        <f t="shared" si="155"/>
        <v>6323894</v>
      </c>
      <c r="BL199" s="67"/>
      <c r="BM199" s="156">
        <f t="shared" si="156"/>
        <v>4.5873476057631576E-2</v>
      </c>
      <c r="BN199" s="66">
        <f t="shared" si="157"/>
        <v>539722.92105263157</v>
      </c>
      <c r="BO199" s="67"/>
      <c r="BP199" s="67">
        <f t="shared" si="158"/>
        <v>6921792</v>
      </c>
      <c r="BQ199" s="67"/>
      <c r="BR199" s="478">
        <f t="shared" si="159"/>
        <v>6.7498493744670457E-2</v>
      </c>
      <c r="BS199" s="67"/>
      <c r="BT199" s="86"/>
      <c r="BU199" s="183"/>
      <c r="BV199" s="1"/>
      <c r="BW199" s="61">
        <f t="shared" si="164"/>
        <v>190</v>
      </c>
    </row>
    <row r="200" spans="2:75" x14ac:dyDescent="0.3">
      <c r="B200" s="171">
        <f t="shared" si="163"/>
        <v>44100</v>
      </c>
      <c r="C200" s="61"/>
      <c r="D200" s="17">
        <v>43206</v>
      </c>
      <c r="E200" s="16"/>
      <c r="F200" s="16"/>
      <c r="G200" s="16"/>
      <c r="H200" s="16">
        <f t="shared" si="139"/>
        <v>7307645</v>
      </c>
      <c r="I200" s="16"/>
      <c r="J200" s="479">
        <f t="shared" si="140"/>
        <v>5.9476031115410291E-3</v>
      </c>
      <c r="K200" s="16"/>
      <c r="L200" s="16"/>
      <c r="M200" s="16"/>
      <c r="N200" s="16">
        <f t="shared" si="141"/>
        <v>289692</v>
      </c>
      <c r="O200" s="16">
        <f t="shared" si="142"/>
        <v>38259.921465968589</v>
      </c>
      <c r="P200" s="41"/>
      <c r="Q200" s="17">
        <f t="shared" si="161"/>
        <v>289692</v>
      </c>
      <c r="R200" s="16"/>
      <c r="S200" s="60">
        <f t="shared" si="162"/>
        <v>6.6334703578738146E-3</v>
      </c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si="143"/>
        <v>209261</v>
      </c>
      <c r="AB200" s="33"/>
      <c r="AC200" s="46">
        <f t="shared" si="144"/>
        <v>2.8635901169254938E-2</v>
      </c>
      <c r="AD200" s="33"/>
      <c r="AE200" s="33">
        <f t="shared" si="145"/>
        <v>1095.6073298429319</v>
      </c>
      <c r="AF200" s="50"/>
      <c r="AG200" s="33">
        <f t="shared" si="165"/>
        <v>5346</v>
      </c>
      <c r="AH200" s="33">
        <f t="shared" si="160"/>
        <v>797606320.34662843</v>
      </c>
      <c r="AI200" s="231">
        <f t="shared" si="147"/>
        <v>-6.4566929133858267E-2</v>
      </c>
      <c r="AJ200" s="50"/>
      <c r="AK200" s="10"/>
      <c r="AL200" s="23">
        <f t="shared" si="148"/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si="149"/>
        <v>9.6834905290869612E-3</v>
      </c>
      <c r="AS200" s="25"/>
      <c r="AT200" s="25"/>
      <c r="AU200" s="24"/>
      <c r="AV200" s="341">
        <f t="shared" si="150"/>
        <v>0.61909247096704889</v>
      </c>
      <c r="AW200" s="341"/>
      <c r="AX200" s="24">
        <f t="shared" si="151"/>
        <v>23686.429319371728</v>
      </c>
      <c r="AY200" s="351"/>
      <c r="AZ200" s="10"/>
      <c r="BA200" s="66">
        <f t="shared" si="152"/>
        <v>1028168</v>
      </c>
      <c r="BB200" s="67"/>
      <c r="BC200" s="67">
        <v>103575523</v>
      </c>
      <c r="BD200" s="67"/>
      <c r="BE200" s="67">
        <f t="shared" si="153"/>
        <v>43206</v>
      </c>
      <c r="BF200" s="67"/>
      <c r="BG200" s="156">
        <f t="shared" si="154"/>
        <v>4.2022315419270005E-2</v>
      </c>
      <c r="BH200" s="67"/>
      <c r="BI200" s="183"/>
      <c r="BJ200" s="67"/>
      <c r="BK200" s="67">
        <f t="shared" si="155"/>
        <v>6265211</v>
      </c>
      <c r="BL200" s="67"/>
      <c r="BM200" s="156">
        <f t="shared" si="156"/>
        <v>4.6238187349157113E-2</v>
      </c>
      <c r="BN200" s="66">
        <f t="shared" si="157"/>
        <v>542280.22513089003</v>
      </c>
      <c r="BO200" s="67"/>
      <c r="BP200" s="67">
        <f t="shared" si="158"/>
        <v>6964998</v>
      </c>
      <c r="BQ200" s="67"/>
      <c r="BR200" s="478">
        <f t="shared" si="159"/>
        <v>6.7245598170911483E-2</v>
      </c>
      <c r="BS200" s="67"/>
      <c r="BT200" s="86"/>
      <c r="BU200" s="183"/>
      <c r="BV200" s="1"/>
      <c r="BW200" s="61">
        <f t="shared" si="164"/>
        <v>191</v>
      </c>
    </row>
    <row r="201" spans="2:75" x14ac:dyDescent="0.3">
      <c r="B201" s="390">
        <f t="shared" si="163"/>
        <v>44101</v>
      </c>
      <c r="C201" s="61"/>
      <c r="D201" s="17">
        <v>33782</v>
      </c>
      <c r="E201" s="16"/>
      <c r="F201" s="16"/>
      <c r="G201" s="16"/>
      <c r="H201" s="16">
        <f t="shared" si="139"/>
        <v>7341427</v>
      </c>
      <c r="I201" s="16"/>
      <c r="J201" s="479">
        <f t="shared" si="140"/>
        <v>4.622829926741105E-3</v>
      </c>
      <c r="K201" s="16"/>
      <c r="L201" s="16"/>
      <c r="M201" s="16"/>
      <c r="N201" s="16">
        <f t="shared" si="141"/>
        <v>290088</v>
      </c>
      <c r="O201" s="16">
        <f t="shared" si="142"/>
        <v>38236.598958333336</v>
      </c>
      <c r="P201" s="41"/>
      <c r="Q201" s="17">
        <f t="shared" si="161"/>
        <v>290088</v>
      </c>
      <c r="R201" s="16"/>
      <c r="S201" s="60">
        <f t="shared" si="162"/>
        <v>2.6822254175423075E-3</v>
      </c>
      <c r="T201" s="16"/>
      <c r="U201" s="41"/>
      <c r="V201" s="391">
        <f t="shared" si="109"/>
        <v>93</v>
      </c>
      <c r="W201" s="34">
        <v>276</v>
      </c>
      <c r="X201" s="33"/>
      <c r="Y201" s="33"/>
      <c r="Z201" s="33"/>
      <c r="AA201" s="33">
        <f t="shared" si="143"/>
        <v>209537</v>
      </c>
      <c r="AB201" s="33"/>
      <c r="AC201" s="46">
        <f t="shared" si="144"/>
        <v>2.8541726288363285E-2</v>
      </c>
      <c r="AD201" s="33"/>
      <c r="AE201" s="33">
        <f t="shared" si="145"/>
        <v>1091.3385416666667</v>
      </c>
      <c r="AF201" s="50"/>
      <c r="AG201" s="33">
        <f t="shared" si="165"/>
        <v>5328</v>
      </c>
      <c r="AH201" s="33">
        <f t="shared" si="160"/>
        <v>797556719.34662843</v>
      </c>
      <c r="AI201" s="231">
        <f t="shared" si="147"/>
        <v>-5.145095246572904E-2</v>
      </c>
      <c r="AJ201" s="50"/>
      <c r="AK201" s="10"/>
      <c r="AL201" s="23">
        <f t="shared" si="148"/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si="149"/>
        <v>8.0342909585712809E-3</v>
      </c>
      <c r="AS201" s="25"/>
      <c r="AT201" s="25"/>
      <c r="AU201" s="24"/>
      <c r="AV201" s="341">
        <f t="shared" si="150"/>
        <v>0.62119476227169457</v>
      </c>
      <c r="AW201" s="341"/>
      <c r="AX201" s="24">
        <f t="shared" si="151"/>
        <v>23752.375</v>
      </c>
      <c r="AY201" s="351"/>
      <c r="AZ201" s="391"/>
      <c r="BA201" s="66">
        <f t="shared" si="152"/>
        <v>759639</v>
      </c>
      <c r="BB201" s="67"/>
      <c r="BC201" s="67">
        <v>104335162</v>
      </c>
      <c r="BD201" s="67"/>
      <c r="BE201" s="67">
        <f t="shared" si="153"/>
        <v>33782</v>
      </c>
      <c r="BF201" s="67"/>
      <c r="BG201" s="156">
        <f t="shared" si="154"/>
        <v>4.4471123783797306E-2</v>
      </c>
      <c r="BH201" s="67"/>
      <c r="BI201" s="183"/>
      <c r="BJ201" s="67"/>
      <c r="BK201" s="67">
        <f t="shared" si="155"/>
        <v>6168553</v>
      </c>
      <c r="BL201" s="67"/>
      <c r="BM201" s="156">
        <f t="shared" si="156"/>
        <v>4.7026912146171072E-2</v>
      </c>
      <c r="BN201" s="66">
        <f t="shared" si="157"/>
        <v>543412.30208333337</v>
      </c>
      <c r="BO201" s="67"/>
      <c r="BP201" s="67">
        <f t="shared" si="158"/>
        <v>6998780</v>
      </c>
      <c r="BQ201" s="67"/>
      <c r="BR201" s="478">
        <f t="shared" si="159"/>
        <v>6.7079782748600131E-2</v>
      </c>
      <c r="BS201" s="67"/>
      <c r="BT201" s="86"/>
      <c r="BU201" s="183"/>
      <c r="BV201" s="1"/>
      <c r="BW201" s="61">
        <f t="shared" si="164"/>
        <v>192</v>
      </c>
    </row>
    <row r="202" spans="2:75" x14ac:dyDescent="0.3">
      <c r="B202" s="171">
        <f t="shared" si="163"/>
        <v>44102</v>
      </c>
      <c r="C202" s="61"/>
      <c r="D202" s="17">
        <v>37418</v>
      </c>
      <c r="E202" s="16"/>
      <c r="F202" s="16"/>
      <c r="G202" s="16"/>
      <c r="H202" s="16">
        <f t="shared" si="139"/>
        <v>7378845</v>
      </c>
      <c r="I202" s="16"/>
      <c r="J202" s="479">
        <f t="shared" si="140"/>
        <v>5.0968292676614509E-3</v>
      </c>
      <c r="K202" s="16"/>
      <c r="L202" s="16"/>
      <c r="M202" s="16"/>
      <c r="N202" s="16">
        <f t="shared" si="141"/>
        <v>290702</v>
      </c>
      <c r="O202" s="16">
        <f t="shared" si="142"/>
        <v>38232.357512953371</v>
      </c>
      <c r="P202" s="41"/>
      <c r="Q202" s="17">
        <f t="shared" si="161"/>
        <v>290702</v>
      </c>
      <c r="R202" s="16"/>
      <c r="S202" s="60">
        <f t="shared" si="162"/>
        <v>9.227756870478122E-3</v>
      </c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si="143"/>
        <v>209892</v>
      </c>
      <c r="AB202" s="33"/>
      <c r="AC202" s="46">
        <f t="shared" si="144"/>
        <v>2.844510218062583E-2</v>
      </c>
      <c r="AD202" s="33"/>
      <c r="AE202" s="33">
        <f t="shared" si="145"/>
        <v>1087.5233160621763</v>
      </c>
      <c r="AF202" s="50"/>
      <c r="AG202" s="33">
        <f t="shared" si="165"/>
        <v>5299</v>
      </c>
      <c r="AH202" s="33">
        <f t="shared" si="160"/>
        <v>797514059.34662843</v>
      </c>
      <c r="AI202" s="231">
        <f t="shared" si="147"/>
        <v>-4.0210106864698426E-2</v>
      </c>
      <c r="AJ202" s="50"/>
      <c r="AK202" s="10"/>
      <c r="AL202" s="23">
        <f t="shared" si="148"/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si="149"/>
        <v>1.0784009318366409E-2</v>
      </c>
      <c r="AS202" s="25"/>
      <c r="AT202" s="25"/>
      <c r="AU202" s="24"/>
      <c r="AV202" s="341">
        <f t="shared" si="150"/>
        <v>0.62470969372577956</v>
      </c>
      <c r="AW202" s="341"/>
      <c r="AX202" s="24">
        <f t="shared" si="151"/>
        <v>23884.124352331608</v>
      </c>
      <c r="AY202" s="351"/>
      <c r="AZ202" s="10"/>
      <c r="BA202" s="66">
        <f t="shared" si="152"/>
        <v>1066544</v>
      </c>
      <c r="BB202" s="67"/>
      <c r="BC202" s="67">
        <v>105401706</v>
      </c>
      <c r="BD202" s="67"/>
      <c r="BE202" s="67">
        <f t="shared" si="153"/>
        <v>37418</v>
      </c>
      <c r="BF202" s="67"/>
      <c r="BG202" s="156">
        <f t="shared" si="154"/>
        <v>3.5083409592103092E-2</v>
      </c>
      <c r="BH202" s="67"/>
      <c r="BI202" s="183"/>
      <c r="BJ202" s="67"/>
      <c r="BK202" s="67">
        <f t="shared" si="155"/>
        <v>6491931</v>
      </c>
      <c r="BL202" s="67"/>
      <c r="BM202" s="156">
        <f t="shared" si="156"/>
        <v>4.4778972542992214E-2</v>
      </c>
      <c r="BN202" s="66">
        <f t="shared" si="157"/>
        <v>546122.82901554403</v>
      </c>
      <c r="BO202" s="67"/>
      <c r="BP202" s="67">
        <f t="shared" si="158"/>
        <v>7036198</v>
      </c>
      <c r="BQ202" s="67"/>
      <c r="BR202" s="478">
        <f t="shared" si="159"/>
        <v>6.6756016264101076E-2</v>
      </c>
      <c r="BS202" s="67"/>
      <c r="BT202" s="86"/>
      <c r="BU202" s="183"/>
      <c r="BV202" s="1"/>
      <c r="BW202" s="61">
        <f t="shared" si="164"/>
        <v>193</v>
      </c>
    </row>
    <row r="203" spans="2:75" x14ac:dyDescent="0.3">
      <c r="B203" s="171">
        <f t="shared" si="163"/>
        <v>44103</v>
      </c>
      <c r="C203" s="61"/>
      <c r="D203" s="17">
        <v>44227</v>
      </c>
      <c r="E203" s="16"/>
      <c r="F203" s="16"/>
      <c r="G203" s="16"/>
      <c r="H203" s="16">
        <f t="shared" si="139"/>
        <v>7423072</v>
      </c>
      <c r="I203" s="16"/>
      <c r="J203" s="479">
        <f t="shared" si="140"/>
        <v>5.9937564754375516E-3</v>
      </c>
      <c r="K203" s="16"/>
      <c r="L203" s="16"/>
      <c r="M203" s="16"/>
      <c r="N203" s="16">
        <f t="shared" si="141"/>
        <v>299233</v>
      </c>
      <c r="O203" s="16">
        <f t="shared" si="142"/>
        <v>38263.257731958765</v>
      </c>
      <c r="P203" s="41"/>
      <c r="Q203" s="17">
        <f t="shared" si="161"/>
        <v>299233</v>
      </c>
      <c r="R203" s="16"/>
      <c r="S203" s="60">
        <f t="shared" si="162"/>
        <v>4.1560358240541884E-2</v>
      </c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si="143"/>
        <v>210869</v>
      </c>
      <c r="AB203" s="33"/>
      <c r="AC203" s="46">
        <f t="shared" si="144"/>
        <v>2.8407241637963366E-2</v>
      </c>
      <c r="AD203" s="33"/>
      <c r="AE203" s="33">
        <f t="shared" si="145"/>
        <v>1086.9536082474226</v>
      </c>
      <c r="AF203" s="50"/>
      <c r="AG203" s="33">
        <f t="shared" si="165"/>
        <v>5297</v>
      </c>
      <c r="AH203" s="33">
        <f t="shared" si="160"/>
        <v>797480078.34662843</v>
      </c>
      <c r="AI203" s="231">
        <f t="shared" si="147"/>
        <v>-1.1314350367716388E-3</v>
      </c>
      <c r="AJ203" s="50"/>
      <c r="AK203" s="10"/>
      <c r="AL203" s="23">
        <f t="shared" si="148"/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si="149"/>
        <v>8.4707339147819909E-3</v>
      </c>
      <c r="AS203" s="25"/>
      <c r="AT203" s="25"/>
      <c r="AU203" s="24"/>
      <c r="AV203" s="341">
        <f t="shared" si="150"/>
        <v>0.62624786611257444</v>
      </c>
      <c r="AW203" s="341"/>
      <c r="AX203" s="24">
        <f t="shared" si="151"/>
        <v>23962.283505154639</v>
      </c>
      <c r="AY203" s="351"/>
      <c r="AZ203" s="10"/>
      <c r="BA203" s="66">
        <f t="shared" si="152"/>
        <v>771516</v>
      </c>
      <c r="BB203" s="67"/>
      <c r="BC203" s="67">
        <v>106173222</v>
      </c>
      <c r="BD203" s="67"/>
      <c r="BE203" s="67">
        <f t="shared" si="153"/>
        <v>44227</v>
      </c>
      <c r="BF203" s="67"/>
      <c r="BG203" s="156">
        <f t="shared" si="154"/>
        <v>5.7324799485687916E-2</v>
      </c>
      <c r="BH203" s="67"/>
      <c r="BI203" s="183"/>
      <c r="BJ203" s="67"/>
      <c r="BK203" s="67">
        <f t="shared" si="155"/>
        <v>6491249</v>
      </c>
      <c r="BL203" s="67"/>
      <c r="BM203" s="156">
        <f t="shared" si="156"/>
        <v>4.6097908122150297E-2</v>
      </c>
      <c r="BN203" s="66">
        <f t="shared" si="157"/>
        <v>547284.64948453603</v>
      </c>
      <c r="BO203" s="67"/>
      <c r="BP203" s="67">
        <f t="shared" si="158"/>
        <v>7080425</v>
      </c>
      <c r="BQ203" s="67"/>
      <c r="BR203" s="478">
        <f t="shared" si="159"/>
        <v>6.6687483591672481E-2</v>
      </c>
      <c r="BS203" s="67"/>
      <c r="BT203" s="86"/>
      <c r="BU203" s="183"/>
      <c r="BV203" s="1"/>
      <c r="BW203" s="61">
        <f t="shared" si="164"/>
        <v>194</v>
      </c>
    </row>
    <row r="204" spans="2:75" x14ac:dyDescent="0.3">
      <c r="B204" s="171">
        <f t="shared" si="163"/>
        <v>44104</v>
      </c>
      <c r="C204" s="61"/>
      <c r="D204" s="17">
        <v>40929</v>
      </c>
      <c r="E204" s="16"/>
      <c r="F204" s="16"/>
      <c r="G204" s="16"/>
      <c r="H204" s="16">
        <f t="shared" si="139"/>
        <v>7464001</v>
      </c>
      <c r="I204" s="16"/>
      <c r="J204" s="479">
        <f t="shared" si="140"/>
        <v>5.5137549521276363E-3</v>
      </c>
      <c r="K204" s="16"/>
      <c r="L204" s="16"/>
      <c r="M204" s="16"/>
      <c r="N204" s="469">
        <f>SUM(D175:D204)</f>
        <v>1202331</v>
      </c>
      <c r="O204" s="16">
        <f t="shared" si="142"/>
        <v>38276.928205128206</v>
      </c>
      <c r="P204" s="41"/>
      <c r="Q204" s="17">
        <f t="shared" si="161"/>
        <v>298546</v>
      </c>
      <c r="R204" s="16"/>
      <c r="S204" s="60">
        <f t="shared" si="162"/>
        <v>3.3907637962978993E-2</v>
      </c>
      <c r="T204" s="16"/>
      <c r="U204" s="41"/>
      <c r="V204" s="10">
        <f t="shared" si="109"/>
        <v>96</v>
      </c>
      <c r="W204" s="34">
        <v>955</v>
      </c>
      <c r="X204" s="33"/>
      <c r="Y204" s="33"/>
      <c r="Z204" s="33"/>
      <c r="AA204" s="33">
        <f t="shared" si="143"/>
        <v>211824</v>
      </c>
      <c r="AB204" s="33"/>
      <c r="AC204" s="46">
        <f t="shared" si="144"/>
        <v>2.8379417419692202E-2</v>
      </c>
      <c r="AD204" s="33"/>
      <c r="AE204" s="33">
        <f t="shared" si="145"/>
        <v>1086.2769230769231</v>
      </c>
      <c r="AF204" s="50"/>
      <c r="AG204" s="33">
        <f t="shared" si="165"/>
        <v>5137</v>
      </c>
      <c r="AH204" s="33">
        <f t="shared" si="160"/>
        <v>797441518.34662843</v>
      </c>
      <c r="AI204" s="231">
        <f t="shared" si="147"/>
        <v>-2.468198215302829E-2</v>
      </c>
      <c r="AJ204" s="50"/>
      <c r="AK204" s="10"/>
      <c r="AL204" s="23">
        <f t="shared" si="148"/>
        <v>51023</v>
      </c>
      <c r="AM204" s="24"/>
      <c r="AN204" s="24"/>
      <c r="AO204" s="24">
        <v>178263</v>
      </c>
      <c r="AP204" s="24">
        <v>4699706</v>
      </c>
      <c r="AQ204" s="24"/>
      <c r="AR204" s="504">
        <f t="shared" si="149"/>
        <v>1.0975796800943407E-2</v>
      </c>
      <c r="AS204" s="25"/>
      <c r="AT204" s="25"/>
      <c r="AU204" s="24"/>
      <c r="AV204" s="341">
        <f t="shared" si="150"/>
        <v>0.62964970127951481</v>
      </c>
      <c r="AW204" s="341"/>
      <c r="AX204" s="24">
        <f t="shared" si="151"/>
        <v>24101.056410256409</v>
      </c>
      <c r="AY204" s="351"/>
      <c r="AZ204" s="10"/>
      <c r="BA204" s="66">
        <f t="shared" si="152"/>
        <v>1363003</v>
      </c>
      <c r="BB204" s="67"/>
      <c r="BC204" s="67">
        <v>107536225</v>
      </c>
      <c r="BD204" s="67"/>
      <c r="BE204" s="67">
        <f t="shared" si="153"/>
        <v>40929</v>
      </c>
      <c r="BF204" s="67"/>
      <c r="BG204" s="156">
        <f t="shared" si="154"/>
        <v>3.0028547259250346E-2</v>
      </c>
      <c r="BH204" s="67"/>
      <c r="BI204" s="183"/>
      <c r="BJ204" s="67"/>
      <c r="BK204" s="67">
        <f t="shared" si="155"/>
        <v>6954135</v>
      </c>
      <c r="BL204" s="67"/>
      <c r="BM204" s="156">
        <f t="shared" si="156"/>
        <v>4.2930716760603581E-2</v>
      </c>
      <c r="BN204" s="66">
        <f t="shared" si="157"/>
        <v>551467.8205128205</v>
      </c>
      <c r="BO204" s="67"/>
      <c r="BP204" s="67">
        <f t="shared" si="158"/>
        <v>7121354</v>
      </c>
      <c r="BQ204" s="67"/>
      <c r="BR204" s="478">
        <f t="shared" si="159"/>
        <v>6.6222837932054995E-2</v>
      </c>
      <c r="BS204" s="67"/>
      <c r="BT204" s="86"/>
      <c r="BU204" s="183"/>
      <c r="BV204" s="1"/>
      <c r="BW204" s="61">
        <f t="shared" si="164"/>
        <v>195</v>
      </c>
    </row>
    <row r="205" spans="2:75" x14ac:dyDescent="0.3">
      <c r="B205" s="171">
        <f t="shared" si="163"/>
        <v>44105</v>
      </c>
      <c r="C205" s="61"/>
      <c r="D205" s="17">
        <v>47389</v>
      </c>
      <c r="E205" s="16"/>
      <c r="F205" s="16"/>
      <c r="G205" s="16"/>
      <c r="H205" s="16">
        <f t="shared" si="139"/>
        <v>7511390</v>
      </c>
      <c r="I205" s="16"/>
      <c r="J205" s="479">
        <f t="shared" si="140"/>
        <v>6.3490077238735629E-3</v>
      </c>
      <c r="K205" s="16"/>
      <c r="L205" s="16"/>
      <c r="M205" s="16"/>
      <c r="N205" s="16">
        <f t="shared" si="141"/>
        <v>300580</v>
      </c>
      <c r="O205" s="16">
        <f t="shared" si="142"/>
        <v>38323.418367346938</v>
      </c>
      <c r="P205" s="41"/>
      <c r="Q205" s="17">
        <f t="shared" si="161"/>
        <v>300580</v>
      </c>
      <c r="R205" s="16"/>
      <c r="S205" s="60">
        <f t="shared" si="162"/>
        <v>4.4351406285287422E-2</v>
      </c>
      <c r="T205" s="16"/>
      <c r="U205" s="41"/>
      <c r="V205" s="10">
        <f t="shared" si="109"/>
        <v>97</v>
      </c>
      <c r="W205" s="34">
        <v>920</v>
      </c>
      <c r="X205" s="33"/>
      <c r="Y205" s="33"/>
      <c r="Z205" s="33"/>
      <c r="AA205" s="33">
        <f t="shared" si="143"/>
        <v>212744</v>
      </c>
      <c r="AB205" s="33"/>
      <c r="AC205" s="46">
        <f t="shared" si="144"/>
        <v>2.8322853692858446E-2</v>
      </c>
      <c r="AD205" s="33"/>
      <c r="AE205" s="33">
        <f t="shared" si="145"/>
        <v>1085.4285714285713</v>
      </c>
      <c r="AF205" s="50"/>
      <c r="AG205" s="33">
        <f t="shared" ref="AG205:AG212" si="166">SUM(W199:W205)</f>
        <v>5115</v>
      </c>
      <c r="AH205" s="33">
        <f t="shared" si="160"/>
        <v>797399539.34662843</v>
      </c>
      <c r="AI205" s="231">
        <f t="shared" si="147"/>
        <v>-4.0337711069418386E-2</v>
      </c>
      <c r="AJ205" s="50"/>
      <c r="AK205" s="10"/>
      <c r="AL205" s="23">
        <f t="shared" si="148"/>
        <v>36915</v>
      </c>
      <c r="AM205" s="24"/>
      <c r="AN205" s="24"/>
      <c r="AO205" s="24">
        <v>178263</v>
      </c>
      <c r="AP205" s="24">
        <v>4736621</v>
      </c>
      <c r="AQ205" s="24"/>
      <c r="AR205" s="504">
        <f t="shared" si="149"/>
        <v>7.8547466586207735E-3</v>
      </c>
      <c r="AS205" s="25"/>
      <c r="AT205" s="25"/>
      <c r="AU205" s="24"/>
      <c r="AV205" s="341">
        <f t="shared" si="150"/>
        <v>0.63059180790772418</v>
      </c>
      <c r="AW205" s="341"/>
      <c r="AX205" s="24">
        <f t="shared" si="151"/>
        <v>24166.433673469386</v>
      </c>
      <c r="AY205" s="351"/>
      <c r="AZ205" s="10"/>
      <c r="BA205" s="66">
        <f t="shared" si="152"/>
        <v>895735</v>
      </c>
      <c r="BB205" s="67"/>
      <c r="BC205" s="67">
        <v>108431960</v>
      </c>
      <c r="BD205" s="67"/>
      <c r="BE205" s="67">
        <f t="shared" si="153"/>
        <v>47389</v>
      </c>
      <c r="BF205" s="67"/>
      <c r="BG205" s="156">
        <f t="shared" si="154"/>
        <v>5.2905156100855721E-2</v>
      </c>
      <c r="BH205" s="67"/>
      <c r="BI205" s="183"/>
      <c r="BJ205" s="67"/>
      <c r="BK205" s="67">
        <f t="shared" si="155"/>
        <v>6859769</v>
      </c>
      <c r="BL205" s="67"/>
      <c r="BM205" s="156">
        <f t="shared" si="156"/>
        <v>4.3817802028027472E-2</v>
      </c>
      <c r="BN205" s="66">
        <f t="shared" si="157"/>
        <v>553224.28571428568</v>
      </c>
      <c r="BO205" s="67"/>
      <c r="BP205" s="67">
        <f t="shared" si="158"/>
        <v>7168743</v>
      </c>
      <c r="BQ205" s="67"/>
      <c r="BR205" s="478">
        <f t="shared" si="159"/>
        <v>6.6112823193456988E-2</v>
      </c>
      <c r="BS205" s="67"/>
      <c r="BT205" s="86"/>
      <c r="BU205" s="183"/>
      <c r="BV205" s="1"/>
      <c r="BW205" s="61">
        <f t="shared" si="164"/>
        <v>196</v>
      </c>
    </row>
    <row r="206" spans="2:75" x14ac:dyDescent="0.3">
      <c r="B206" s="171">
        <f t="shared" si="163"/>
        <v>44106</v>
      </c>
      <c r="C206" s="61"/>
      <c r="D206" s="17">
        <v>51403</v>
      </c>
      <c r="E206" s="16"/>
      <c r="F206" s="16"/>
      <c r="G206" s="16"/>
      <c r="H206" s="16">
        <f t="shared" si="139"/>
        <v>7562793</v>
      </c>
      <c r="I206" s="16"/>
      <c r="J206" s="479">
        <f t="shared" si="140"/>
        <v>6.8433405801056795E-3</v>
      </c>
      <c r="K206" s="16"/>
      <c r="L206" s="16"/>
      <c r="M206" s="16"/>
      <c r="N206" s="16">
        <f t="shared" si="141"/>
        <v>298354</v>
      </c>
      <c r="O206" s="16">
        <f t="shared" si="142"/>
        <v>38389.812182741116</v>
      </c>
      <c r="P206" s="41"/>
      <c r="Q206" s="17">
        <f t="shared" si="161"/>
        <v>298354</v>
      </c>
      <c r="R206" s="16"/>
      <c r="S206" s="60">
        <f t="shared" si="162"/>
        <v>2.8455803018969387E-2</v>
      </c>
      <c r="T206" s="16"/>
      <c r="U206" s="41"/>
      <c r="V206" s="10">
        <f t="shared" si="109"/>
        <v>98</v>
      </c>
      <c r="W206" s="34">
        <v>864</v>
      </c>
      <c r="X206" s="33"/>
      <c r="Y206" s="33"/>
      <c r="Z206" s="33"/>
      <c r="AA206" s="33">
        <f t="shared" si="143"/>
        <v>213608</v>
      </c>
      <c r="AB206" s="33"/>
      <c r="AC206" s="46">
        <f t="shared" si="144"/>
        <v>2.8244591647556664E-2</v>
      </c>
      <c r="AD206" s="33"/>
      <c r="AE206" s="33">
        <f t="shared" si="145"/>
        <v>1084.3045685279187</v>
      </c>
      <c r="AF206" s="50"/>
      <c r="AG206" s="33">
        <f t="shared" si="166"/>
        <v>5084</v>
      </c>
      <c r="AH206" s="33">
        <f t="shared" si="160"/>
        <v>797358328.34662843</v>
      </c>
      <c r="AI206" s="231">
        <f t="shared" si="147"/>
        <v>-3.4744636415416745E-2</v>
      </c>
      <c r="AJ206" s="50"/>
      <c r="AK206" s="10"/>
      <c r="AL206" s="23">
        <f t="shared" si="148"/>
        <v>40203</v>
      </c>
      <c r="AM206" s="24"/>
      <c r="AN206" s="24"/>
      <c r="AO206" s="24">
        <v>178263</v>
      </c>
      <c r="AP206" s="24">
        <v>4776824</v>
      </c>
      <c r="AQ206" s="24"/>
      <c r="AR206" s="504">
        <f t="shared" si="149"/>
        <v>8.4876961867964527E-3</v>
      </c>
      <c r="AS206" s="25"/>
      <c r="AT206" s="25"/>
      <c r="AU206" s="24"/>
      <c r="AV206" s="341">
        <f t="shared" si="150"/>
        <v>0.63162167733534424</v>
      </c>
      <c r="AW206" s="341"/>
      <c r="AX206" s="24">
        <f t="shared" si="151"/>
        <v>24247.837563451776</v>
      </c>
      <c r="AY206" s="351"/>
      <c r="AZ206" s="10"/>
      <c r="BA206" s="66">
        <f t="shared" si="152"/>
        <v>1138486</v>
      </c>
      <c r="BB206" s="67"/>
      <c r="BC206" s="67">
        <v>109570446</v>
      </c>
      <c r="BD206" s="67"/>
      <c r="BE206" s="67">
        <f t="shared" si="153"/>
        <v>51403</v>
      </c>
      <c r="BF206" s="67"/>
      <c r="BG206" s="156">
        <f t="shared" si="154"/>
        <v>4.515031366217942E-2</v>
      </c>
      <c r="BH206" s="67"/>
      <c r="BI206" s="183"/>
      <c r="BJ206" s="67"/>
      <c r="BK206" s="67">
        <f t="shared" si="155"/>
        <v>7023091</v>
      </c>
      <c r="BL206" s="67"/>
      <c r="BM206" s="156">
        <f t="shared" si="156"/>
        <v>4.2481864466799593E-2</v>
      </c>
      <c r="BN206" s="66">
        <f t="shared" si="157"/>
        <v>556195.15736040613</v>
      </c>
      <c r="BO206" s="67"/>
      <c r="BP206" s="67">
        <f t="shared" si="158"/>
        <v>7220146</v>
      </c>
      <c r="BQ206" s="67"/>
      <c r="BR206" s="478">
        <f t="shared" si="159"/>
        <v>6.589501333233598E-2</v>
      </c>
      <c r="BS206" s="67"/>
      <c r="BT206" s="86"/>
      <c r="BU206" s="183"/>
      <c r="BV206" s="1"/>
      <c r="BW206" s="61">
        <f t="shared" si="164"/>
        <v>197</v>
      </c>
    </row>
    <row r="207" spans="2:75" x14ac:dyDescent="0.3">
      <c r="B207" s="171">
        <f t="shared" si="163"/>
        <v>44107</v>
      </c>
      <c r="C207" s="61"/>
      <c r="D207" s="17">
        <v>48925</v>
      </c>
      <c r="E207" s="16"/>
      <c r="F207" s="16"/>
      <c r="G207" s="16"/>
      <c r="H207" s="16">
        <f t="shared" si="139"/>
        <v>7611718</v>
      </c>
      <c r="I207" s="16"/>
      <c r="J207" s="479">
        <f t="shared" si="140"/>
        <v>6.4691708473311382E-3</v>
      </c>
      <c r="K207" s="16"/>
      <c r="L207" s="16"/>
      <c r="M207" s="16"/>
      <c r="N207" s="16">
        <f t="shared" si="141"/>
        <v>304073</v>
      </c>
      <c r="O207" s="16">
        <f t="shared" si="142"/>
        <v>38443.020202020205</v>
      </c>
      <c r="P207" s="41"/>
      <c r="Q207" s="17">
        <f t="shared" si="161"/>
        <v>304073</v>
      </c>
      <c r="R207" s="16"/>
      <c r="S207" s="60">
        <f t="shared" si="162"/>
        <v>4.9642378802314181E-2</v>
      </c>
      <c r="T207" s="16"/>
      <c r="U207" s="41"/>
      <c r="V207" s="10">
        <f t="shared" si="109"/>
        <v>99</v>
      </c>
      <c r="W207" s="34">
        <v>755</v>
      </c>
      <c r="X207" s="33"/>
      <c r="Y207" s="33"/>
      <c r="Z207" s="33"/>
      <c r="AA207" s="33">
        <f t="shared" si="143"/>
        <v>214363</v>
      </c>
      <c r="AB207" s="33"/>
      <c r="AC207" s="46">
        <f t="shared" si="144"/>
        <v>2.8162236173226596E-2</v>
      </c>
      <c r="AD207" s="33"/>
      <c r="AE207" s="33">
        <f t="shared" si="145"/>
        <v>1082.6414141414141</v>
      </c>
      <c r="AF207" s="50"/>
      <c r="AG207" s="33">
        <f t="shared" si="166"/>
        <v>5102</v>
      </c>
      <c r="AH207" s="33">
        <f t="shared" si="160"/>
        <v>797312864.34662843</v>
      </c>
      <c r="AI207" s="231">
        <f t="shared" si="147"/>
        <v>-4.5641601197156753E-2</v>
      </c>
      <c r="AJ207" s="50"/>
      <c r="AK207" s="10"/>
      <c r="AL207" s="23">
        <f t="shared" si="148"/>
        <v>41685</v>
      </c>
      <c r="AM207" s="24"/>
      <c r="AN207" s="24"/>
      <c r="AO207" s="24">
        <v>178263</v>
      </c>
      <c r="AP207" s="24">
        <v>4818509</v>
      </c>
      <c r="AQ207" s="24"/>
      <c r="AR207" s="504">
        <f t="shared" si="149"/>
        <v>8.7265094966865013E-3</v>
      </c>
      <c r="AS207" s="25"/>
      <c r="AT207" s="25"/>
      <c r="AU207" s="24"/>
      <c r="AV207" s="341">
        <f t="shared" si="150"/>
        <v>0.63303829700469727</v>
      </c>
      <c r="AW207" s="341"/>
      <c r="AX207" s="24">
        <f t="shared" si="151"/>
        <v>24335.904040404039</v>
      </c>
      <c r="AY207" s="351"/>
      <c r="AZ207" s="10"/>
      <c r="BA207" s="66">
        <f t="shared" si="152"/>
        <v>955837</v>
      </c>
      <c r="BB207" s="67"/>
      <c r="BC207" s="67">
        <v>110526283</v>
      </c>
      <c r="BD207" s="67"/>
      <c r="BE207" s="67">
        <f t="shared" si="153"/>
        <v>48925</v>
      </c>
      <c r="BF207" s="67"/>
      <c r="BG207" s="156">
        <f t="shared" si="154"/>
        <v>5.1185505478444547E-2</v>
      </c>
      <c r="BH207" s="67"/>
      <c r="BI207" s="183"/>
      <c r="BJ207" s="67"/>
      <c r="BK207" s="67">
        <f t="shared" si="155"/>
        <v>6950760</v>
      </c>
      <c r="BL207" s="67"/>
      <c r="BM207" s="156">
        <f t="shared" si="156"/>
        <v>4.3746726976618383E-2</v>
      </c>
      <c r="BN207" s="66">
        <f t="shared" si="157"/>
        <v>558213.55050505046</v>
      </c>
      <c r="BO207" s="67"/>
      <c r="BP207" s="67">
        <f t="shared" si="158"/>
        <v>7269071</v>
      </c>
      <c r="BQ207" s="67"/>
      <c r="BR207" s="478">
        <f t="shared" si="159"/>
        <v>6.5767804749210651E-2</v>
      </c>
      <c r="BS207" s="67"/>
      <c r="BT207" s="86"/>
      <c r="BU207" s="183"/>
      <c r="BV207" s="1"/>
      <c r="BW207" s="61">
        <f t="shared" si="164"/>
        <v>198</v>
      </c>
    </row>
    <row r="208" spans="2:75" x14ac:dyDescent="0.3">
      <c r="B208" s="390">
        <f t="shared" si="163"/>
        <v>44108</v>
      </c>
      <c r="C208" s="61"/>
      <c r="D208" s="17">
        <v>34066</v>
      </c>
      <c r="E208" s="16"/>
      <c r="F208" s="16"/>
      <c r="G208" s="16"/>
      <c r="H208" s="16">
        <f t="shared" si="139"/>
        <v>7645784</v>
      </c>
      <c r="I208" s="16"/>
      <c r="J208" s="479">
        <f t="shared" si="140"/>
        <v>4.4754679561171337E-3</v>
      </c>
      <c r="K208" s="16"/>
      <c r="L208" s="16"/>
      <c r="M208" s="16"/>
      <c r="N208" s="16">
        <f t="shared" si="141"/>
        <v>304357</v>
      </c>
      <c r="O208" s="16">
        <f t="shared" si="142"/>
        <v>38421.025125628141</v>
      </c>
      <c r="P208" s="41"/>
      <c r="Q208" s="17">
        <f t="shared" si="161"/>
        <v>304357</v>
      </c>
      <c r="R208" s="16"/>
      <c r="S208" s="60">
        <f t="shared" si="162"/>
        <v>4.9188522103637514E-2</v>
      </c>
      <c r="T208" s="16"/>
      <c r="U208" s="41"/>
      <c r="V208" s="391">
        <f t="shared" si="109"/>
        <v>100</v>
      </c>
      <c r="W208" s="34">
        <v>332</v>
      </c>
      <c r="X208" s="33"/>
      <c r="Y208" s="33"/>
      <c r="Z208" s="33"/>
      <c r="AA208" s="33">
        <f t="shared" si="143"/>
        <v>214695</v>
      </c>
      <c r="AB208" s="33"/>
      <c r="AC208" s="46">
        <f t="shared" si="144"/>
        <v>2.8080181182204466E-2</v>
      </c>
      <c r="AD208" s="33"/>
      <c r="AE208" s="33">
        <f t="shared" si="145"/>
        <v>1078.8693467336684</v>
      </c>
      <c r="AF208" s="50"/>
      <c r="AG208" s="33">
        <f t="shared" si="166"/>
        <v>5158</v>
      </c>
      <c r="AH208" s="33">
        <f t="shared" si="160"/>
        <v>797260015.34662843</v>
      </c>
      <c r="AI208" s="231">
        <f t="shared" si="147"/>
        <v>-3.1906906906906909E-2</v>
      </c>
      <c r="AJ208" s="50"/>
      <c r="AK208" s="10"/>
      <c r="AL208" s="23">
        <f t="shared" si="148"/>
        <v>30529</v>
      </c>
      <c r="AM208" s="24"/>
      <c r="AN208" s="24"/>
      <c r="AO208" s="24">
        <v>178263</v>
      </c>
      <c r="AP208" s="24">
        <v>4849038</v>
      </c>
      <c r="AQ208" s="24"/>
      <c r="AR208" s="504">
        <f t="shared" si="149"/>
        <v>6.3357773120274342E-3</v>
      </c>
      <c r="AS208" s="25"/>
      <c r="AT208" s="25"/>
      <c r="AU208" s="24"/>
      <c r="AV208" s="341">
        <f t="shared" si="150"/>
        <v>0.63421069703250832</v>
      </c>
      <c r="AW208" s="341"/>
      <c r="AX208" s="24">
        <f t="shared" si="151"/>
        <v>24367.025125628141</v>
      </c>
      <c r="AY208" s="351"/>
      <c r="AZ208" s="391"/>
      <c r="BA208" s="66">
        <f t="shared" si="152"/>
        <v>943983</v>
      </c>
      <c r="BB208" s="67"/>
      <c r="BC208" s="67">
        <v>111470266</v>
      </c>
      <c r="BD208" s="67"/>
      <c r="BE208" s="67">
        <f t="shared" si="153"/>
        <v>34066</v>
      </c>
      <c r="BF208" s="67"/>
      <c r="BG208" s="156">
        <f t="shared" si="154"/>
        <v>3.6087514287863234E-2</v>
      </c>
      <c r="BH208" s="67"/>
      <c r="BI208" s="183"/>
      <c r="BJ208" s="67"/>
      <c r="BK208" s="67">
        <f t="shared" si="155"/>
        <v>7135104</v>
      </c>
      <c r="BL208" s="67"/>
      <c r="BM208" s="156">
        <f t="shared" si="156"/>
        <v>4.2656280833467883E-2</v>
      </c>
      <c r="BN208" s="66">
        <f t="shared" si="157"/>
        <v>560152.09045226127</v>
      </c>
      <c r="BO208" s="67"/>
      <c r="BP208" s="67">
        <f t="shared" si="158"/>
        <v>7303137</v>
      </c>
      <c r="BQ208" s="67"/>
      <c r="BR208" s="478">
        <f t="shared" si="159"/>
        <v>6.5516457994278049E-2</v>
      </c>
      <c r="BS208" s="67"/>
      <c r="BT208" s="86"/>
      <c r="BU208" s="183"/>
      <c r="BV208" s="1"/>
      <c r="BW208" s="61">
        <f t="shared" si="164"/>
        <v>199</v>
      </c>
    </row>
    <row r="209" spans="2:75" x14ac:dyDescent="0.3">
      <c r="B209" s="171">
        <f t="shared" si="163"/>
        <v>44109</v>
      </c>
      <c r="C209" s="61"/>
      <c r="D209" s="17">
        <v>37717</v>
      </c>
      <c r="E209" s="16"/>
      <c r="F209" s="16"/>
      <c r="G209" s="16"/>
      <c r="H209" s="16">
        <f t="shared" si="139"/>
        <v>7683501</v>
      </c>
      <c r="I209" s="16"/>
      <c r="J209" s="479">
        <f t="shared" si="140"/>
        <v>4.9330454535466868E-3</v>
      </c>
      <c r="K209" s="16"/>
      <c r="L209" s="16"/>
      <c r="M209" s="16"/>
      <c r="N209" s="16">
        <f t="shared" si="141"/>
        <v>304656</v>
      </c>
      <c r="O209" s="16">
        <f t="shared" si="142"/>
        <v>38417.504999999997</v>
      </c>
      <c r="P209" s="41"/>
      <c r="Q209" s="17">
        <f t="shared" si="161"/>
        <v>304656</v>
      </c>
      <c r="R209" s="16"/>
      <c r="S209" s="60">
        <f t="shared" si="162"/>
        <v>4.8001045744439322E-2</v>
      </c>
      <c r="T209" s="16"/>
      <c r="U209" s="41"/>
      <c r="V209" s="10">
        <f t="shared" si="109"/>
        <v>101</v>
      </c>
      <c r="W209" s="34">
        <v>348</v>
      </c>
      <c r="X209" s="33"/>
      <c r="Y209" s="33"/>
      <c r="Z209" s="33"/>
      <c r="AA209" s="33">
        <f t="shared" si="143"/>
        <v>215043</v>
      </c>
      <c r="AB209" s="33"/>
      <c r="AC209" s="46">
        <f t="shared" si="144"/>
        <v>2.7987632200477359E-2</v>
      </c>
      <c r="AD209" s="33"/>
      <c r="AE209" s="33">
        <f t="shared" si="145"/>
        <v>1075.2149999999999</v>
      </c>
      <c r="AF209" s="50"/>
      <c r="AG209" s="33">
        <f t="shared" si="166"/>
        <v>5151</v>
      </c>
      <c r="AH209" s="33">
        <f t="shared" si="160"/>
        <v>797217923.34662843</v>
      </c>
      <c r="AI209" s="231">
        <f t="shared" si="147"/>
        <v>-2.7929798075108512E-2</v>
      </c>
      <c r="AJ209" s="50"/>
      <c r="AK209" s="10"/>
      <c r="AL209" s="23">
        <f t="shared" si="148"/>
        <v>38801</v>
      </c>
      <c r="AM209" s="24"/>
      <c r="AN209" s="24"/>
      <c r="AO209" s="24">
        <v>178263</v>
      </c>
      <c r="AP209" s="24">
        <v>4887839</v>
      </c>
      <c r="AQ209" s="24"/>
      <c r="AR209" s="504">
        <f t="shared" si="149"/>
        <v>8.0017933454017073E-3</v>
      </c>
      <c r="AS209" s="25"/>
      <c r="AT209" s="25"/>
      <c r="AU209" s="24"/>
      <c r="AV209" s="341">
        <f t="shared" si="150"/>
        <v>0.63614737604641425</v>
      </c>
      <c r="AW209" s="341"/>
      <c r="AX209" s="24">
        <f t="shared" si="151"/>
        <v>24439.195</v>
      </c>
      <c r="AY209" s="351"/>
      <c r="AZ209" s="10"/>
      <c r="BA209" s="66">
        <f t="shared" si="152"/>
        <v>901908</v>
      </c>
      <c r="BB209" s="67"/>
      <c r="BC209" s="67">
        <v>112372174</v>
      </c>
      <c r="BD209" s="67"/>
      <c r="BE209" s="67">
        <f t="shared" si="153"/>
        <v>37717</v>
      </c>
      <c r="BF209" s="67"/>
      <c r="BG209" s="156">
        <f t="shared" si="154"/>
        <v>4.1819121240747395E-2</v>
      </c>
      <c r="BH209" s="67"/>
      <c r="BI209" s="183"/>
      <c r="BJ209" s="67"/>
      <c r="BK209" s="67">
        <f t="shared" si="155"/>
        <v>6970468</v>
      </c>
      <c r="BL209" s="67"/>
      <c r="BM209" s="156">
        <f t="shared" si="156"/>
        <v>4.3706677944723368E-2</v>
      </c>
      <c r="BN209" s="66">
        <f t="shared" si="157"/>
        <v>561860.87</v>
      </c>
      <c r="BO209" s="67"/>
      <c r="BP209" s="67">
        <f t="shared" si="158"/>
        <v>7340854</v>
      </c>
      <c r="BQ209" s="67"/>
      <c r="BR209" s="478">
        <f t="shared" si="159"/>
        <v>6.5326261286001289E-2</v>
      </c>
      <c r="BS209" s="67"/>
      <c r="BT209" s="86"/>
      <c r="BU209" s="183"/>
      <c r="BV209" s="1"/>
      <c r="BW209" s="61">
        <f t="shared" si="164"/>
        <v>200</v>
      </c>
    </row>
    <row r="210" spans="2:75" x14ac:dyDescent="0.3">
      <c r="B210" s="171">
        <f t="shared" si="163"/>
        <v>44110</v>
      </c>
      <c r="C210" s="61"/>
      <c r="D210" s="17">
        <v>44668</v>
      </c>
      <c r="E210" s="16"/>
      <c r="F210" s="16"/>
      <c r="G210" s="16"/>
      <c r="H210" s="16">
        <f t="shared" si="139"/>
        <v>7728169</v>
      </c>
      <c r="I210" s="16"/>
      <c r="J210" s="479">
        <f t="shared" si="140"/>
        <v>5.8134956968184165E-3</v>
      </c>
      <c r="K210" s="16"/>
      <c r="L210" s="16"/>
      <c r="M210" s="16"/>
      <c r="N210" s="16">
        <f t="shared" si="141"/>
        <v>305097</v>
      </c>
      <c r="O210" s="16">
        <f t="shared" si="142"/>
        <v>38448.601990049749</v>
      </c>
      <c r="P210" s="41"/>
      <c r="Q210" s="17">
        <f t="shared" si="161"/>
        <v>305097</v>
      </c>
      <c r="R210" s="16"/>
      <c r="S210" s="60">
        <f t="shared" si="162"/>
        <v>1.9596769072929791E-2</v>
      </c>
      <c r="T210" s="16"/>
      <c r="U210" s="41"/>
      <c r="V210" s="10">
        <f t="shared" si="109"/>
        <v>102</v>
      </c>
      <c r="W210" s="34">
        <v>808</v>
      </c>
      <c r="X210" s="33"/>
      <c r="Y210" s="33"/>
      <c r="Z210" s="33"/>
      <c r="AA210" s="33">
        <f t="shared" si="143"/>
        <v>215851</v>
      </c>
      <c r="AB210" s="33"/>
      <c r="AC210" s="46">
        <f t="shared" si="144"/>
        <v>2.7930419223492653E-2</v>
      </c>
      <c r="AD210" s="33"/>
      <c r="AE210" s="33">
        <f t="shared" si="145"/>
        <v>1073.8855721393036</v>
      </c>
      <c r="AF210" s="50"/>
      <c r="AG210" s="33">
        <f t="shared" si="166"/>
        <v>4982</v>
      </c>
      <c r="AH210" s="33">
        <f t="shared" si="160"/>
        <v>797186813.34662843</v>
      </c>
      <c r="AI210" s="231">
        <f t="shared" si="147"/>
        <v>-5.9467623182933735E-2</v>
      </c>
      <c r="AJ210" s="50"/>
      <c r="AK210" s="10"/>
      <c r="AL210" s="23">
        <f t="shared" si="148"/>
        <v>47706</v>
      </c>
      <c r="AM210" s="24"/>
      <c r="AN210" s="24"/>
      <c r="AO210" s="24">
        <v>178263</v>
      </c>
      <c r="AP210" s="24">
        <v>4935545</v>
      </c>
      <c r="AQ210" s="24"/>
      <c r="AR210" s="504">
        <f t="shared" si="149"/>
        <v>9.7601414449207512E-3</v>
      </c>
      <c r="AS210" s="25"/>
      <c r="AT210" s="25"/>
      <c r="AU210" s="24"/>
      <c r="AV210" s="341">
        <f t="shared" si="150"/>
        <v>0.63864351310122747</v>
      </c>
      <c r="AW210" s="341"/>
      <c r="AX210" s="24">
        <f t="shared" si="151"/>
        <v>24554.95024875622</v>
      </c>
      <c r="AY210" s="351"/>
      <c r="AZ210" s="10"/>
      <c r="BA210" s="66">
        <f t="shared" si="152"/>
        <v>947144</v>
      </c>
      <c r="BB210" s="67"/>
      <c r="BC210" s="67">
        <v>113319318</v>
      </c>
      <c r="BD210" s="67"/>
      <c r="BE210" s="67">
        <f t="shared" si="153"/>
        <v>44668</v>
      </c>
      <c r="BF210" s="67"/>
      <c r="BG210" s="156">
        <f t="shared" si="154"/>
        <v>4.7160727407870397E-2</v>
      </c>
      <c r="BH210" s="67"/>
      <c r="BI210" s="183"/>
      <c r="BJ210" s="67"/>
      <c r="BK210" s="67">
        <f t="shared" si="155"/>
        <v>7146096</v>
      </c>
      <c r="BL210" s="67"/>
      <c r="BM210" s="156">
        <f t="shared" si="156"/>
        <v>4.2694220732551032E-2</v>
      </c>
      <c r="BN210" s="66">
        <f t="shared" si="157"/>
        <v>563777.70149253728</v>
      </c>
      <c r="BO210" s="67"/>
      <c r="BP210" s="67">
        <f t="shared" si="158"/>
        <v>7385522</v>
      </c>
      <c r="BQ210" s="67"/>
      <c r="BR210" s="478">
        <f t="shared" si="159"/>
        <v>6.5174430364997427E-2</v>
      </c>
      <c r="BS210" s="67"/>
      <c r="BT210" s="86"/>
      <c r="BU210" s="183"/>
      <c r="BV210" s="1"/>
      <c r="BW210" s="61">
        <f t="shared" si="164"/>
        <v>201</v>
      </c>
    </row>
    <row r="211" spans="2:75" x14ac:dyDescent="0.3">
      <c r="B211" s="171">
        <f t="shared" si="163"/>
        <v>44111</v>
      </c>
      <c r="C211" s="61"/>
      <c r="D211" s="17">
        <v>49358</v>
      </c>
      <c r="E211" s="16"/>
      <c r="F211" s="16"/>
      <c r="G211" s="16"/>
      <c r="H211" s="16">
        <f t="shared" si="139"/>
        <v>7777527</v>
      </c>
      <c r="I211" s="16"/>
      <c r="J211" s="479">
        <f t="shared" si="140"/>
        <v>6.3867650927405964E-3</v>
      </c>
      <c r="K211" s="16"/>
      <c r="L211" s="16"/>
      <c r="M211" s="16"/>
      <c r="N211" s="16">
        <f t="shared" si="141"/>
        <v>313526</v>
      </c>
      <c r="O211" s="16">
        <f t="shared" si="142"/>
        <v>38502.608910891089</v>
      </c>
      <c r="P211" s="41"/>
      <c r="Q211" s="17">
        <f t="shared" si="161"/>
        <v>313526</v>
      </c>
      <c r="R211" s="16"/>
      <c r="S211" s="60">
        <f t="shared" si="162"/>
        <v>5.0176522210982559E-2</v>
      </c>
      <c r="T211" s="16"/>
      <c r="U211" s="41"/>
      <c r="V211" s="10">
        <f t="shared" si="109"/>
        <v>103</v>
      </c>
      <c r="W211" s="34">
        <v>930</v>
      </c>
      <c r="X211" s="33"/>
      <c r="Y211" s="33"/>
      <c r="Z211" s="33"/>
      <c r="AA211" s="33">
        <f t="shared" si="143"/>
        <v>216781</v>
      </c>
      <c r="AB211" s="33"/>
      <c r="AC211" s="46">
        <f t="shared" si="144"/>
        <v>2.7872741553966962E-2</v>
      </c>
      <c r="AD211" s="33"/>
      <c r="AE211" s="33">
        <f t="shared" si="145"/>
        <v>1073.1732673267327</v>
      </c>
      <c r="AF211" s="50"/>
      <c r="AG211" s="33">
        <f t="shared" si="166"/>
        <v>4957</v>
      </c>
      <c r="AH211" s="33">
        <f t="shared" si="160"/>
        <v>797161393.34662843</v>
      </c>
      <c r="AI211" s="231">
        <f t="shared" si="147"/>
        <v>-3.5039906560249176E-2</v>
      </c>
      <c r="AJ211" s="50"/>
      <c r="AK211" s="10"/>
      <c r="AL211" s="23">
        <f t="shared" si="148"/>
        <v>47835</v>
      </c>
      <c r="AM211" s="24"/>
      <c r="AN211" s="24"/>
      <c r="AO211" s="24">
        <v>178263</v>
      </c>
      <c r="AP211" s="24">
        <v>4983380</v>
      </c>
      <c r="AQ211" s="24"/>
      <c r="AR211" s="504">
        <f t="shared" si="149"/>
        <v>9.6919387828497162E-3</v>
      </c>
      <c r="AS211" s="25"/>
      <c r="AT211" s="25"/>
      <c r="AU211" s="24"/>
      <c r="AV211" s="341">
        <f t="shared" si="150"/>
        <v>0.64074094503304202</v>
      </c>
      <c r="AW211" s="341"/>
      <c r="AX211" s="24">
        <f t="shared" si="151"/>
        <v>24670.198019801981</v>
      </c>
      <c r="AY211" s="351"/>
      <c r="AZ211" s="10"/>
      <c r="BA211" s="66">
        <f t="shared" si="152"/>
        <v>839531</v>
      </c>
      <c r="BB211" s="67"/>
      <c r="BC211" s="67">
        <v>114158849</v>
      </c>
      <c r="BD211" s="67"/>
      <c r="BE211" s="67">
        <f t="shared" si="153"/>
        <v>49358</v>
      </c>
      <c r="BF211" s="67"/>
      <c r="BG211" s="156">
        <f t="shared" si="154"/>
        <v>5.8792349538015869E-2</v>
      </c>
      <c r="BH211" s="67"/>
      <c r="BI211" s="183"/>
      <c r="BJ211" s="67"/>
      <c r="BK211" s="67">
        <f t="shared" si="155"/>
        <v>6622624</v>
      </c>
      <c r="BL211" s="67"/>
      <c r="BM211" s="156">
        <f t="shared" si="156"/>
        <v>4.7341657928941759E-2</v>
      </c>
      <c r="BN211" s="66">
        <f t="shared" si="157"/>
        <v>565142.81683168316</v>
      </c>
      <c r="BO211" s="67"/>
      <c r="BP211" s="67">
        <f t="shared" si="158"/>
        <v>7434880</v>
      </c>
      <c r="BQ211" s="67"/>
      <c r="BR211" s="478">
        <f t="shared" si="159"/>
        <v>6.5127496161072898E-2</v>
      </c>
      <c r="BS211" s="67"/>
      <c r="BT211" s="86"/>
      <c r="BU211" s="183"/>
      <c r="BV211" s="1"/>
      <c r="BW211" s="61">
        <f t="shared" si="164"/>
        <v>202</v>
      </c>
    </row>
    <row r="212" spans="2:75" x14ac:dyDescent="0.3">
      <c r="B212" s="171">
        <f t="shared" si="163"/>
        <v>44112</v>
      </c>
      <c r="C212" s="61"/>
      <c r="D212" s="17">
        <v>57318</v>
      </c>
      <c r="E212" s="16"/>
      <c r="F212" s="16"/>
      <c r="G212" s="16"/>
      <c r="H212" s="16">
        <f t="shared" si="139"/>
        <v>7834845</v>
      </c>
      <c r="I212" s="16"/>
      <c r="J212" s="479">
        <f t="shared" si="140"/>
        <v>7.3696947628725685E-3</v>
      </c>
      <c r="K212" s="16"/>
      <c r="L212" s="16"/>
      <c r="M212" s="16"/>
      <c r="N212" s="16">
        <f t="shared" si="141"/>
        <v>323455</v>
      </c>
      <c r="O212" s="16">
        <f t="shared" si="142"/>
        <v>38595.295566502464</v>
      </c>
      <c r="P212" s="41"/>
      <c r="Q212" s="17">
        <f t="shared" si="161"/>
        <v>323455</v>
      </c>
      <c r="R212" s="16"/>
      <c r="S212" s="60">
        <f t="shared" si="162"/>
        <v>7.6102867788941375E-2</v>
      </c>
      <c r="T212" s="16"/>
      <c r="U212" s="41"/>
      <c r="V212" s="10">
        <f t="shared" si="109"/>
        <v>104</v>
      </c>
      <c r="W212" s="34">
        <v>957</v>
      </c>
      <c r="X212" s="33"/>
      <c r="Y212" s="33"/>
      <c r="Z212" s="33"/>
      <c r="AA212" s="33">
        <f t="shared" si="143"/>
        <v>217738</v>
      </c>
      <c r="AB212" s="33"/>
      <c r="AC212" s="46">
        <f t="shared" si="144"/>
        <v>2.7790977358199173E-2</v>
      </c>
      <c r="AD212" s="33"/>
      <c r="AE212" s="33">
        <f t="shared" si="145"/>
        <v>1072.6009852216748</v>
      </c>
      <c r="AF212" s="50"/>
      <c r="AG212" s="33">
        <f t="shared" si="166"/>
        <v>4994</v>
      </c>
      <c r="AH212" s="33">
        <f t="shared" si="160"/>
        <v>797132954.34662843</v>
      </c>
      <c r="AI212" s="231">
        <f t="shared" si="147"/>
        <v>-2.3655913978494623E-2</v>
      </c>
      <c r="AJ212" s="50"/>
      <c r="AK212" s="10"/>
      <c r="AL212" s="23">
        <f t="shared" si="148"/>
        <v>41813</v>
      </c>
      <c r="AM212" s="24"/>
      <c r="AN212" s="24"/>
      <c r="AO212" s="24">
        <v>178263</v>
      </c>
      <c r="AP212" s="24">
        <v>5025193</v>
      </c>
      <c r="AQ212" s="24"/>
      <c r="AR212" s="504">
        <f t="shared" si="149"/>
        <v>8.3904899887225128E-3</v>
      </c>
      <c r="AS212" s="25"/>
      <c r="AT212" s="25"/>
      <c r="AU212" s="24"/>
      <c r="AV212" s="341">
        <f t="shared" si="150"/>
        <v>0.6413902253331113</v>
      </c>
      <c r="AW212" s="341"/>
      <c r="AX212" s="24">
        <f t="shared" si="151"/>
        <v>24754.645320197043</v>
      </c>
      <c r="AY212" s="351"/>
      <c r="AZ212" s="10"/>
      <c r="BA212" s="66">
        <f t="shared" si="152"/>
        <v>1184966</v>
      </c>
      <c r="BB212" s="67"/>
      <c r="BC212" s="67">
        <v>115343815</v>
      </c>
      <c r="BD212" s="67"/>
      <c r="BE212" s="67">
        <f t="shared" si="153"/>
        <v>57318</v>
      </c>
      <c r="BF212" s="67"/>
      <c r="BG212" s="156">
        <f t="shared" si="154"/>
        <v>4.8371008113312956E-2</v>
      </c>
      <c r="BH212" s="67"/>
      <c r="BI212" s="183"/>
      <c r="BJ212" s="67"/>
      <c r="BK212" s="67">
        <f t="shared" si="155"/>
        <v>6911855</v>
      </c>
      <c r="BL212" s="67"/>
      <c r="BM212" s="156">
        <f t="shared" si="156"/>
        <v>4.67971333310667E-2</v>
      </c>
      <c r="BN212" s="66">
        <f t="shared" si="157"/>
        <v>568196.13300492615</v>
      </c>
      <c r="BO212" s="67"/>
      <c r="BP212" s="67">
        <f t="shared" si="158"/>
        <v>7492198</v>
      </c>
      <c r="BQ212" s="67"/>
      <c r="BR212" s="478">
        <f t="shared" si="159"/>
        <v>6.4955351095331806E-2</v>
      </c>
      <c r="BS212" s="67"/>
      <c r="BT212" s="86"/>
      <c r="BU212" s="183"/>
      <c r="BV212" s="1"/>
      <c r="BW212" s="61">
        <f t="shared" si="164"/>
        <v>203</v>
      </c>
    </row>
    <row r="213" spans="2:75" x14ac:dyDescent="0.3">
      <c r="B213" s="171">
        <f t="shared" si="163"/>
        <v>44113</v>
      </c>
      <c r="C213" s="61"/>
      <c r="D213" s="17">
        <v>60983</v>
      </c>
      <c r="E213" s="16"/>
      <c r="F213" s="16"/>
      <c r="G213" s="16"/>
      <c r="H213" s="16">
        <f t="shared" ref="H213:H222" si="167">+H212+D213</f>
        <v>7895828</v>
      </c>
      <c r="I213" s="16"/>
      <c r="J213" s="479">
        <f t="shared" ref="J213:J222" si="168">+D213/H212</f>
        <v>7.783561767973712E-3</v>
      </c>
      <c r="K213" s="16"/>
      <c r="L213" s="16"/>
      <c r="M213" s="16"/>
      <c r="N213" s="16">
        <f>SUM(D207:D213)</f>
        <v>333035</v>
      </c>
      <c r="O213" s="16">
        <f t="shared" ref="O213:O222" si="169">+H213/BW213</f>
        <v>38705.039215686273</v>
      </c>
      <c r="P213" s="41"/>
      <c r="Q213" s="17">
        <f t="shared" si="161"/>
        <v>333035</v>
      </c>
      <c r="R213" s="16"/>
      <c r="S213" s="60">
        <f t="shared" si="162"/>
        <v>0.11624110955442193</v>
      </c>
      <c r="T213" s="16"/>
      <c r="U213" s="41"/>
      <c r="V213" s="10">
        <f t="shared" si="109"/>
        <v>105</v>
      </c>
      <c r="W213" s="34">
        <v>909</v>
      </c>
      <c r="X213" s="33"/>
      <c r="Y213" s="33"/>
      <c r="Z213" s="33"/>
      <c r="AA213" s="33">
        <f t="shared" ref="AA213:AA222" si="170">+AA212+W213</f>
        <v>218647</v>
      </c>
      <c r="AB213" s="33"/>
      <c r="AC213" s="46">
        <f t="shared" ref="AC213:AC222" si="171">+AA213/H213</f>
        <v>2.7691459337766729E-2</v>
      </c>
      <c r="AD213" s="33"/>
      <c r="AE213" s="33">
        <f t="shared" ref="AE213:AE222" si="172">+AA213/BW213</f>
        <v>1071.7990196078431</v>
      </c>
      <c r="AF213" s="50"/>
      <c r="AG213" s="33">
        <f t="shared" ref="AG213:AG222" si="173">SUM(W207:W213)</f>
        <v>5039</v>
      </c>
      <c r="AH213" s="33">
        <f t="shared" si="160"/>
        <v>797097711.34662843</v>
      </c>
      <c r="AI213" s="231">
        <f t="shared" ref="AI213:AI222" si="174">+(AG213-AG206)/AG206</f>
        <v>-8.8512981904012595E-3</v>
      </c>
      <c r="AJ213" s="50"/>
      <c r="AK213" s="10"/>
      <c r="AL213" s="23">
        <f t="shared" ref="AL213:AL222" si="175">+AP213-AP212</f>
        <v>39107</v>
      </c>
      <c r="AM213" s="24"/>
      <c r="AN213" s="24"/>
      <c r="AO213" s="24">
        <v>178263</v>
      </c>
      <c r="AP213" s="24">
        <v>5064300</v>
      </c>
      <c r="AQ213" s="24"/>
      <c r="AR213" s="504">
        <f t="shared" ref="AR213:AR222" si="176">+AL213/AP212</f>
        <v>7.7821886641965795E-3</v>
      </c>
      <c r="AS213" s="25"/>
      <c r="AT213" s="25"/>
      <c r="AU213" s="24"/>
      <c r="AV213" s="341">
        <f t="shared" ref="AV213:AV222" si="177">+AP213/H213</f>
        <v>0.64138935143977305</v>
      </c>
      <c r="AW213" s="341"/>
      <c r="AX213" s="24">
        <f t="shared" ref="AX213:AX222" si="178">+AP213/BW213</f>
        <v>24825</v>
      </c>
      <c r="AY213" s="351"/>
      <c r="AZ213" s="10"/>
      <c r="BA213" s="66">
        <f t="shared" ref="BA213:BA222" si="179">+BC213-BC212</f>
        <v>1154320</v>
      </c>
      <c r="BB213" s="67"/>
      <c r="BC213" s="67">
        <v>116498135</v>
      </c>
      <c r="BD213" s="67"/>
      <c r="BE213" s="67">
        <f t="shared" ref="BE213:BE222" si="180">+D213</f>
        <v>60983</v>
      </c>
      <c r="BF213" s="67"/>
      <c r="BG213" s="156">
        <f t="shared" ref="BG213:BG222" si="181">+BE213/BA213</f>
        <v>5.2830237715711416E-2</v>
      </c>
      <c r="BH213" s="67"/>
      <c r="BI213" s="183"/>
      <c r="BJ213" s="67"/>
      <c r="BK213" s="67">
        <f t="shared" ref="BK213:BK222" si="182">SUM(BA207:BA213)</f>
        <v>6927689</v>
      </c>
      <c r="BL213" s="67"/>
      <c r="BM213" s="156">
        <f t="shared" ref="BM213:BM222" si="183">+Q213/BK213</f>
        <v>4.8073029837222774E-2</v>
      </c>
      <c r="BN213" s="66">
        <f t="shared" ref="BN213:BN222" si="184">+BC213/BW213</f>
        <v>571069.28921568627</v>
      </c>
      <c r="BO213" s="67"/>
      <c r="BP213" s="67">
        <f t="shared" ref="BP213:BP222" si="185">+BP212+BE213</f>
        <v>7553181</v>
      </c>
      <c r="BQ213" s="67"/>
      <c r="BR213" s="478">
        <f t="shared" ref="BR213:BR222" si="186">+BP213/BC213</f>
        <v>6.4835209593698651E-2</v>
      </c>
      <c r="BS213" s="67"/>
      <c r="BT213" s="86"/>
      <c r="BU213" s="183"/>
      <c r="BV213" s="1"/>
      <c r="BW213" s="61">
        <f t="shared" si="164"/>
        <v>204</v>
      </c>
    </row>
    <row r="214" spans="2:75" x14ac:dyDescent="0.3">
      <c r="B214" s="171">
        <f t="shared" si="163"/>
        <v>44114</v>
      </c>
      <c r="C214" s="61"/>
      <c r="D214" s="17">
        <v>54235</v>
      </c>
      <c r="E214" s="16"/>
      <c r="F214" s="16"/>
      <c r="G214" s="16"/>
      <c r="H214" s="16">
        <f t="shared" si="167"/>
        <v>7950063</v>
      </c>
      <c r="I214" s="16"/>
      <c r="J214" s="479">
        <f t="shared" si="168"/>
        <v>6.8688173045309501E-3</v>
      </c>
      <c r="K214" s="16"/>
      <c r="L214" s="16"/>
      <c r="M214" s="16"/>
      <c r="N214" s="16">
        <f>SUM(D205:D214)</f>
        <v>486062</v>
      </c>
      <c r="O214" s="16">
        <f t="shared" si="169"/>
        <v>38780.795121951218</v>
      </c>
      <c r="P214" s="41"/>
      <c r="Q214" s="17">
        <f t="shared" si="161"/>
        <v>338345</v>
      </c>
      <c r="R214" s="16"/>
      <c r="S214" s="60">
        <f t="shared" si="162"/>
        <v>0.1127097769285665</v>
      </c>
      <c r="T214" s="16"/>
      <c r="U214" s="41"/>
      <c r="V214" s="10">
        <f t="shared" si="109"/>
        <v>106</v>
      </c>
      <c r="W214" s="34">
        <v>723</v>
      </c>
      <c r="X214" s="33"/>
      <c r="Y214" s="33"/>
      <c r="Z214" s="33"/>
      <c r="AA214" s="33">
        <f t="shared" si="170"/>
        <v>219370</v>
      </c>
      <c r="AB214" s="33"/>
      <c r="AC214" s="46">
        <f t="shared" si="171"/>
        <v>2.7593492026415388E-2</v>
      </c>
      <c r="AD214" s="33"/>
      <c r="AE214" s="33">
        <f t="shared" si="172"/>
        <v>1070.0975609756097</v>
      </c>
      <c r="AF214" s="50"/>
      <c r="AG214" s="33">
        <f t="shared" si="173"/>
        <v>5007</v>
      </c>
      <c r="AH214" s="33">
        <f t="shared" si="160"/>
        <v>797058900.34662843</v>
      </c>
      <c r="AI214" s="231">
        <f t="shared" si="174"/>
        <v>-1.8620148961191688E-2</v>
      </c>
      <c r="AJ214" s="50"/>
      <c r="AK214" s="10"/>
      <c r="AL214" s="23">
        <f t="shared" si="175"/>
        <v>25542</v>
      </c>
      <c r="AM214" s="24"/>
      <c r="AN214" s="24"/>
      <c r="AO214" s="24">
        <v>178263</v>
      </c>
      <c r="AP214" s="24">
        <v>5089842</v>
      </c>
      <c r="AQ214" s="24"/>
      <c r="AR214" s="504">
        <f t="shared" si="176"/>
        <v>5.0435400746401283E-3</v>
      </c>
      <c r="AS214" s="25"/>
      <c r="AT214" s="25"/>
      <c r="AU214" s="24"/>
      <c r="AV214" s="341">
        <f t="shared" si="177"/>
        <v>0.6402266246192011</v>
      </c>
      <c r="AW214" s="341"/>
      <c r="AX214" s="24">
        <f t="shared" si="178"/>
        <v>24828.497560975611</v>
      </c>
      <c r="AY214" s="351"/>
      <c r="AZ214" s="10"/>
      <c r="BA214" s="66">
        <f t="shared" si="179"/>
        <v>1103287</v>
      </c>
      <c r="BB214" s="67"/>
      <c r="BC214" s="67">
        <v>117601422</v>
      </c>
      <c r="BD214" s="67"/>
      <c r="BE214" s="67">
        <f t="shared" si="180"/>
        <v>54235</v>
      </c>
      <c r="BF214" s="67"/>
      <c r="BG214" s="156">
        <f t="shared" si="181"/>
        <v>4.9157653448286799E-2</v>
      </c>
      <c r="BH214" s="67"/>
      <c r="BI214" s="183"/>
      <c r="BJ214" s="67"/>
      <c r="BK214" s="67">
        <f t="shared" si="182"/>
        <v>7075139</v>
      </c>
      <c r="BL214" s="67"/>
      <c r="BM214" s="156">
        <f t="shared" si="183"/>
        <v>4.7821675305601767E-2</v>
      </c>
      <c r="BN214" s="66">
        <f t="shared" si="184"/>
        <v>573665.47317073168</v>
      </c>
      <c r="BO214" s="67"/>
      <c r="BP214" s="67">
        <f t="shared" si="185"/>
        <v>7607416</v>
      </c>
      <c r="BQ214" s="67"/>
      <c r="BR214" s="478">
        <f t="shared" si="186"/>
        <v>6.4688129366326882E-2</v>
      </c>
      <c r="BS214" s="67"/>
      <c r="BT214" s="86"/>
      <c r="BU214" s="183"/>
      <c r="BV214" s="1"/>
      <c r="BW214" s="61">
        <f t="shared" si="164"/>
        <v>205</v>
      </c>
    </row>
    <row r="215" spans="2:75" x14ac:dyDescent="0.3">
      <c r="B215" s="390">
        <f t="shared" si="163"/>
        <v>44115</v>
      </c>
      <c r="C215" s="61"/>
      <c r="D215" s="17">
        <v>41935</v>
      </c>
      <c r="E215" s="16"/>
      <c r="F215" s="16"/>
      <c r="G215" s="16"/>
      <c r="H215" s="16">
        <f t="shared" si="167"/>
        <v>7991998</v>
      </c>
      <c r="I215" s="16"/>
      <c r="J215" s="479">
        <f t="shared" si="168"/>
        <v>5.2748009669860482E-3</v>
      </c>
      <c r="K215" s="16"/>
      <c r="L215" s="16"/>
      <c r="M215" s="16"/>
      <c r="N215" s="469">
        <f t="shared" ref="N215:N222" si="187">SUM(D209:D215)</f>
        <v>346214</v>
      </c>
      <c r="O215" s="16">
        <f t="shared" si="169"/>
        <v>38796.106796116503</v>
      </c>
      <c r="P215" s="41"/>
      <c r="Q215" s="17">
        <f t="shared" si="161"/>
        <v>346214</v>
      </c>
      <c r="R215" s="16"/>
      <c r="S215" s="60">
        <f t="shared" si="162"/>
        <v>0.13752599743064889</v>
      </c>
      <c r="T215" s="16"/>
      <c r="U215" s="41"/>
      <c r="V215" s="391">
        <f t="shared" si="109"/>
        <v>107</v>
      </c>
      <c r="W215" s="34">
        <v>325</v>
      </c>
      <c r="X215" s="33"/>
      <c r="Y215" s="33"/>
      <c r="Z215" s="33"/>
      <c r="AA215" s="33">
        <f t="shared" si="170"/>
        <v>219695</v>
      </c>
      <c r="AB215" s="33"/>
      <c r="AC215" s="46">
        <f t="shared" si="171"/>
        <v>2.7489371243586396E-2</v>
      </c>
      <c r="AD215" s="33"/>
      <c r="AE215" s="33">
        <f t="shared" si="172"/>
        <v>1066.4805825242718</v>
      </c>
      <c r="AF215" s="50"/>
      <c r="AG215" s="33">
        <f t="shared" si="173"/>
        <v>5000</v>
      </c>
      <c r="AH215" s="33">
        <f t="shared" si="160"/>
        <v>797012300.34662843</v>
      </c>
      <c r="AI215" s="231">
        <f t="shared" si="174"/>
        <v>-3.0632027917797598E-2</v>
      </c>
      <c r="AJ215" s="50"/>
      <c r="AK215" s="10"/>
      <c r="AL215" s="23">
        <f t="shared" si="175"/>
        <v>38320</v>
      </c>
      <c r="AM215" s="24"/>
      <c r="AN215" s="24"/>
      <c r="AO215" s="24">
        <v>178263</v>
      </c>
      <c r="AP215" s="24">
        <v>5128162</v>
      </c>
      <c r="AQ215" s="24"/>
      <c r="AR215" s="504">
        <f t="shared" si="176"/>
        <v>7.5287209308265365E-3</v>
      </c>
      <c r="AS215" s="25"/>
      <c r="AT215" s="25"/>
      <c r="AU215" s="24"/>
      <c r="AV215" s="341">
        <f t="shared" si="177"/>
        <v>0.64166207248800611</v>
      </c>
      <c r="AW215" s="341"/>
      <c r="AX215" s="24">
        <f t="shared" si="178"/>
        <v>24893.990291262136</v>
      </c>
      <c r="AY215" s="351"/>
      <c r="AZ215" s="391"/>
      <c r="BA215" s="66">
        <f t="shared" si="179"/>
        <v>885476</v>
      </c>
      <c r="BB215" s="67"/>
      <c r="BC215" s="67">
        <v>118486898</v>
      </c>
      <c r="BD215" s="67"/>
      <c r="BE215" s="67">
        <f t="shared" si="180"/>
        <v>41935</v>
      </c>
      <c r="BF215" s="67"/>
      <c r="BG215" s="156">
        <f t="shared" si="181"/>
        <v>4.7358708762292825E-2</v>
      </c>
      <c r="BH215" s="67"/>
      <c r="BI215" s="183"/>
      <c r="BJ215" s="67"/>
      <c r="BK215" s="67">
        <f t="shared" si="182"/>
        <v>7016632</v>
      </c>
      <c r="BL215" s="67"/>
      <c r="BM215" s="156">
        <f t="shared" si="183"/>
        <v>4.9341906487328967E-2</v>
      </c>
      <c r="BN215" s="66">
        <f t="shared" si="184"/>
        <v>575179.11650485441</v>
      </c>
      <c r="BO215" s="67"/>
      <c r="BP215" s="67">
        <f t="shared" si="185"/>
        <v>7649351</v>
      </c>
      <c r="BQ215" s="67"/>
      <c r="BR215" s="478">
        <f t="shared" si="186"/>
        <v>6.4558623182117567E-2</v>
      </c>
      <c r="BS215" s="67"/>
      <c r="BT215" s="86"/>
      <c r="BU215" s="183"/>
      <c r="BV215" s="1"/>
      <c r="BW215" s="61">
        <f t="shared" si="164"/>
        <v>206</v>
      </c>
    </row>
    <row r="216" spans="2:75" x14ac:dyDescent="0.3">
      <c r="B216" s="171">
        <f t="shared" si="163"/>
        <v>44116</v>
      </c>
      <c r="C216" s="61"/>
      <c r="D216" s="17">
        <v>45791</v>
      </c>
      <c r="E216" s="16"/>
      <c r="F216" s="16"/>
      <c r="G216" s="16"/>
      <c r="H216" s="16">
        <f t="shared" si="167"/>
        <v>8037789</v>
      </c>
      <c r="I216" s="16"/>
      <c r="J216" s="479">
        <f t="shared" si="168"/>
        <v>5.7296060384399499E-3</v>
      </c>
      <c r="K216" s="16"/>
      <c r="L216" s="16"/>
      <c r="M216" s="16"/>
      <c r="N216" s="16">
        <f t="shared" si="187"/>
        <v>354288</v>
      </c>
      <c r="O216" s="16">
        <f t="shared" si="169"/>
        <v>38829.89855072464</v>
      </c>
      <c r="P216" s="41"/>
      <c r="Q216" s="17">
        <f t="shared" si="161"/>
        <v>354288</v>
      </c>
      <c r="R216" s="16"/>
      <c r="S216" s="60">
        <f t="shared" si="162"/>
        <v>0.16291161178509533</v>
      </c>
      <c r="T216" s="16"/>
      <c r="U216" s="41"/>
      <c r="V216" s="10">
        <f t="shared" si="109"/>
        <v>108</v>
      </c>
      <c r="W216" s="34">
        <v>316</v>
      </c>
      <c r="X216" s="33"/>
      <c r="Y216" s="33"/>
      <c r="Z216" s="33"/>
      <c r="AA216" s="33">
        <f t="shared" si="170"/>
        <v>220011</v>
      </c>
      <c r="AB216" s="33"/>
      <c r="AC216" s="46">
        <f t="shared" si="171"/>
        <v>2.7372079560685159E-2</v>
      </c>
      <c r="AD216" s="33"/>
      <c r="AE216" s="33">
        <f t="shared" si="172"/>
        <v>1062.855072463768</v>
      </c>
      <c r="AF216" s="50"/>
      <c r="AG216" s="33">
        <f t="shared" si="173"/>
        <v>4968</v>
      </c>
      <c r="AH216" s="33">
        <f t="shared" ref="AH216:AH247" si="188">SUM(D187:D387)</f>
        <v>796973018.34662843</v>
      </c>
      <c r="AI216" s="231">
        <f t="shared" si="174"/>
        <v>-3.5527082119976704E-2</v>
      </c>
      <c r="AJ216" s="50"/>
      <c r="AK216" s="10"/>
      <c r="AL216" s="23">
        <f t="shared" si="175"/>
        <v>56453</v>
      </c>
      <c r="AM216" s="24"/>
      <c r="AN216" s="24"/>
      <c r="AO216" s="24">
        <v>178263</v>
      </c>
      <c r="AP216" s="24">
        <v>5184615</v>
      </c>
      <c r="AQ216" s="24"/>
      <c r="AR216" s="504">
        <f t="shared" si="176"/>
        <v>1.1008427580875954E-2</v>
      </c>
      <c r="AS216" s="25"/>
      <c r="AT216" s="25"/>
      <c r="AU216" s="24"/>
      <c r="AV216" s="341">
        <f t="shared" si="177"/>
        <v>0.64502999518897552</v>
      </c>
      <c r="AW216" s="341"/>
      <c r="AX216" s="24">
        <f t="shared" si="178"/>
        <v>25046.44927536232</v>
      </c>
      <c r="AY216" s="351"/>
      <c r="AZ216" s="10"/>
      <c r="BA216" s="66">
        <f t="shared" si="179"/>
        <v>1010726</v>
      </c>
      <c r="BB216" s="67"/>
      <c r="BC216" s="67">
        <v>119497624</v>
      </c>
      <c r="BD216" s="67"/>
      <c r="BE216" s="67">
        <f t="shared" si="180"/>
        <v>45791</v>
      </c>
      <c r="BF216" s="67"/>
      <c r="BG216" s="156">
        <f t="shared" si="181"/>
        <v>4.5305057948444978E-2</v>
      </c>
      <c r="BH216" s="67"/>
      <c r="BI216" s="183"/>
      <c r="BJ216" s="67"/>
      <c r="BK216" s="67">
        <f t="shared" si="182"/>
        <v>7125450</v>
      </c>
      <c r="BL216" s="67"/>
      <c r="BM216" s="156">
        <f t="shared" si="183"/>
        <v>4.9721491274235315E-2</v>
      </c>
      <c r="BN216" s="66">
        <f t="shared" si="184"/>
        <v>577283.20772946859</v>
      </c>
      <c r="BO216" s="67"/>
      <c r="BP216" s="67">
        <f t="shared" si="185"/>
        <v>7695142</v>
      </c>
      <c r="BQ216" s="67"/>
      <c r="BR216" s="478">
        <f t="shared" si="186"/>
        <v>6.4395774095056479E-2</v>
      </c>
      <c r="BS216" s="67"/>
      <c r="BT216" s="86"/>
      <c r="BU216" s="183"/>
      <c r="BV216" s="1"/>
      <c r="BW216" s="61">
        <f t="shared" ref="BW216:BW298" si="189">+BW215+1</f>
        <v>207</v>
      </c>
    </row>
    <row r="217" spans="2:75" x14ac:dyDescent="0.3">
      <c r="B217" s="171">
        <f t="shared" si="163"/>
        <v>44117</v>
      </c>
      <c r="C217" s="61"/>
      <c r="D217" s="17">
        <v>51534</v>
      </c>
      <c r="E217" s="16"/>
      <c r="F217" s="16"/>
      <c r="G217" s="16"/>
      <c r="H217" s="16">
        <f t="shared" si="167"/>
        <v>8089323</v>
      </c>
      <c r="I217" s="16"/>
      <c r="J217" s="479">
        <f t="shared" si="168"/>
        <v>6.4114646453147751E-3</v>
      </c>
      <c r="K217" s="16"/>
      <c r="L217" s="16"/>
      <c r="M217" s="16"/>
      <c r="N217" s="16">
        <f t="shared" si="187"/>
        <v>361154</v>
      </c>
      <c r="O217" s="16">
        <f t="shared" si="169"/>
        <v>38890.975961538461</v>
      </c>
      <c r="P217" s="41"/>
      <c r="Q217" s="17">
        <f t="shared" si="161"/>
        <v>361154</v>
      </c>
      <c r="R217" s="16"/>
      <c r="S217" s="60">
        <f t="shared" si="162"/>
        <v>0.18373500886603278</v>
      </c>
      <c r="T217" s="16"/>
      <c r="U217" s="41"/>
      <c r="V217" s="10">
        <f t="shared" si="109"/>
        <v>109</v>
      </c>
      <c r="W217" s="34">
        <v>843</v>
      </c>
      <c r="X217" s="33"/>
      <c r="Y217" s="33"/>
      <c r="Z217" s="33"/>
      <c r="AA217" s="33">
        <f t="shared" si="170"/>
        <v>220854</v>
      </c>
      <c r="AB217" s="33"/>
      <c r="AC217" s="46">
        <f t="shared" si="171"/>
        <v>2.7301913893165101E-2</v>
      </c>
      <c r="AD217" s="33"/>
      <c r="AE217" s="33">
        <f t="shared" si="172"/>
        <v>1061.7980769230769</v>
      </c>
      <c r="AF217" s="50"/>
      <c r="AG217" s="33">
        <f t="shared" si="173"/>
        <v>5003</v>
      </c>
      <c r="AH217" s="33">
        <f t="shared" si="188"/>
        <v>796941161.34662843</v>
      </c>
      <c r="AI217" s="231">
        <f t="shared" si="174"/>
        <v>4.2151746286631878E-3</v>
      </c>
      <c r="AJ217" s="50"/>
      <c r="AK217" s="10"/>
      <c r="AL217" s="23">
        <f t="shared" si="175"/>
        <v>41812</v>
      </c>
      <c r="AM217" s="24"/>
      <c r="AN217" s="24"/>
      <c r="AO217" s="24">
        <v>178263</v>
      </c>
      <c r="AP217" s="24">
        <v>5226427</v>
      </c>
      <c r="AQ217" s="24"/>
      <c r="AR217" s="504">
        <f t="shared" si="176"/>
        <v>8.0646296783849908E-3</v>
      </c>
      <c r="AS217" s="25"/>
      <c r="AT217" s="25"/>
      <c r="AU217" s="24"/>
      <c r="AV217" s="341">
        <f t="shared" si="177"/>
        <v>0.64608954296917065</v>
      </c>
      <c r="AW217" s="341"/>
      <c r="AX217" s="24">
        <f t="shared" si="178"/>
        <v>25127.052884615383</v>
      </c>
      <c r="AY217" s="351"/>
      <c r="AZ217" s="10"/>
      <c r="BA217" s="66">
        <f t="shared" si="179"/>
        <v>1025948</v>
      </c>
      <c r="BB217" s="67"/>
      <c r="BC217" s="67">
        <v>120523572</v>
      </c>
      <c r="BD217" s="67"/>
      <c r="BE217" s="67">
        <f t="shared" si="180"/>
        <v>51534</v>
      </c>
      <c r="BF217" s="67"/>
      <c r="BG217" s="156">
        <f t="shared" si="181"/>
        <v>5.0230615976638193E-2</v>
      </c>
      <c r="BH217" s="67"/>
      <c r="BI217" s="183"/>
      <c r="BJ217" s="67"/>
      <c r="BK217" s="67">
        <f t="shared" si="182"/>
        <v>7204254</v>
      </c>
      <c r="BL217" s="67"/>
      <c r="BM217" s="156">
        <f t="shared" si="183"/>
        <v>5.0130658913469739E-2</v>
      </c>
      <c r="BN217" s="66">
        <f t="shared" si="184"/>
        <v>579440.25</v>
      </c>
      <c r="BO217" s="67"/>
      <c r="BP217" s="67">
        <f t="shared" si="185"/>
        <v>7746676</v>
      </c>
      <c r="BQ217" s="67"/>
      <c r="BR217" s="478">
        <f t="shared" si="186"/>
        <v>6.4275194233373703E-2</v>
      </c>
      <c r="BS217" s="67"/>
      <c r="BT217" s="86"/>
      <c r="BU217" s="183"/>
      <c r="BV217" s="1"/>
      <c r="BW217" s="61">
        <f t="shared" si="189"/>
        <v>208</v>
      </c>
    </row>
    <row r="218" spans="2:75" x14ac:dyDescent="0.3">
      <c r="B218" s="171">
        <f t="shared" si="163"/>
        <v>44118</v>
      </c>
      <c r="C218" s="61"/>
      <c r="D218" s="17">
        <v>59693</v>
      </c>
      <c r="E218" s="16"/>
      <c r="F218" s="16"/>
      <c r="G218" s="16"/>
      <c r="H218" s="16">
        <f t="shared" si="167"/>
        <v>8149016</v>
      </c>
      <c r="I218" s="16"/>
      <c r="J218" s="479">
        <f t="shared" si="168"/>
        <v>7.3792330952788011E-3</v>
      </c>
      <c r="K218" s="16"/>
      <c r="L218" s="16"/>
      <c r="M218" s="16"/>
      <c r="N218" s="16">
        <f t="shared" si="187"/>
        <v>371489</v>
      </c>
      <c r="O218" s="16">
        <f t="shared" si="169"/>
        <v>38990.507177033491</v>
      </c>
      <c r="P218" s="41"/>
      <c r="Q218" s="17">
        <f t="shared" si="161"/>
        <v>371489</v>
      </c>
      <c r="R218" s="16"/>
      <c r="S218" s="60">
        <f t="shared" si="162"/>
        <v>0.18487461964876917</v>
      </c>
      <c r="T218" s="16"/>
      <c r="U218" s="41"/>
      <c r="V218" s="10">
        <f t="shared" si="109"/>
        <v>110</v>
      </c>
      <c r="W218" s="34">
        <v>970</v>
      </c>
      <c r="X218" s="33"/>
      <c r="Y218" s="33"/>
      <c r="Z218" s="33"/>
      <c r="AA218" s="33">
        <f t="shared" si="170"/>
        <v>221824</v>
      </c>
      <c r="AB218" s="33"/>
      <c r="AC218" s="46">
        <f t="shared" si="171"/>
        <v>2.722095526625546E-2</v>
      </c>
      <c r="AD218" s="33"/>
      <c r="AE218" s="33">
        <f t="shared" si="172"/>
        <v>1061.3588516746411</v>
      </c>
      <c r="AF218" s="50"/>
      <c r="AG218" s="33">
        <f t="shared" si="173"/>
        <v>5043</v>
      </c>
      <c r="AH218" s="33">
        <f t="shared" si="188"/>
        <v>796903089.34662843</v>
      </c>
      <c r="AI218" s="231">
        <f t="shared" si="174"/>
        <v>1.7349203147064757E-2</v>
      </c>
      <c r="AJ218" s="50"/>
      <c r="AK218" s="10"/>
      <c r="AL218" s="23">
        <f t="shared" si="175"/>
        <v>52326</v>
      </c>
      <c r="AM218" s="24"/>
      <c r="AN218" s="24"/>
      <c r="AO218" s="24">
        <v>178263</v>
      </c>
      <c r="AP218" s="24">
        <v>5278753</v>
      </c>
      <c r="AQ218" s="24"/>
      <c r="AR218" s="504">
        <f t="shared" si="176"/>
        <v>1.0011811128329162E-2</v>
      </c>
      <c r="AS218" s="25"/>
      <c r="AT218" s="25"/>
      <c r="AU218" s="24"/>
      <c r="AV218" s="341">
        <f t="shared" si="177"/>
        <v>0.64777796484876216</v>
      </c>
      <c r="AW218" s="341"/>
      <c r="AX218" s="24">
        <f t="shared" si="178"/>
        <v>25257.191387559807</v>
      </c>
      <c r="AY218" s="351"/>
      <c r="AZ218" s="10"/>
      <c r="BA218" s="66">
        <f t="shared" si="179"/>
        <v>1043566</v>
      </c>
      <c r="BB218" s="67"/>
      <c r="BC218" s="67">
        <v>121567138</v>
      </c>
      <c r="BD218" s="67"/>
      <c r="BE218" s="67">
        <f t="shared" si="180"/>
        <v>59693</v>
      </c>
      <c r="BF218" s="67"/>
      <c r="BG218" s="156">
        <f t="shared" si="181"/>
        <v>5.7200982017428702E-2</v>
      </c>
      <c r="BH218" s="67"/>
      <c r="BI218" s="183"/>
      <c r="BJ218" s="67"/>
      <c r="BK218" s="67">
        <f t="shared" si="182"/>
        <v>7408289</v>
      </c>
      <c r="BL218" s="67"/>
      <c r="BM218" s="156">
        <f t="shared" si="183"/>
        <v>5.0145046987232815E-2</v>
      </c>
      <c r="BN218" s="66">
        <f t="shared" si="184"/>
        <v>581660.94736842101</v>
      </c>
      <c r="BO218" s="67"/>
      <c r="BP218" s="67">
        <f t="shared" si="185"/>
        <v>7806369</v>
      </c>
      <c r="BQ218" s="67"/>
      <c r="BR218" s="478">
        <f t="shared" si="186"/>
        <v>6.4214467235380671E-2</v>
      </c>
      <c r="BS218" s="67"/>
      <c r="BT218" s="86"/>
      <c r="BU218" s="183"/>
      <c r="BV218" s="1"/>
      <c r="BW218" s="61">
        <f t="shared" si="189"/>
        <v>209</v>
      </c>
    </row>
    <row r="219" spans="2:75" x14ac:dyDescent="0.3">
      <c r="B219" s="171">
        <f t="shared" si="163"/>
        <v>44119</v>
      </c>
      <c r="C219" s="61"/>
      <c r="D219" s="17">
        <v>66129</v>
      </c>
      <c r="E219" s="16"/>
      <c r="F219" s="16"/>
      <c r="G219" s="16"/>
      <c r="H219" s="16">
        <f t="shared" si="167"/>
        <v>8215145</v>
      </c>
      <c r="I219" s="16"/>
      <c r="J219" s="479">
        <f t="shared" si="168"/>
        <v>8.1149675003705964E-3</v>
      </c>
      <c r="K219" s="16"/>
      <c r="L219" s="16"/>
      <c r="M219" s="16"/>
      <c r="N219" s="16">
        <f t="shared" si="187"/>
        <v>380300</v>
      </c>
      <c r="O219" s="16">
        <f t="shared" si="169"/>
        <v>39119.738095238092</v>
      </c>
      <c r="P219" s="41"/>
      <c r="Q219" s="17">
        <f t="shared" si="161"/>
        <v>380300</v>
      </c>
      <c r="R219" s="16"/>
      <c r="S219" s="60">
        <f t="shared" si="162"/>
        <v>0.17574314819681253</v>
      </c>
      <c r="T219" s="16"/>
      <c r="U219" s="41"/>
      <c r="V219" s="10">
        <f t="shared" si="109"/>
        <v>111</v>
      </c>
      <c r="W219" s="34">
        <v>874</v>
      </c>
      <c r="X219" s="33"/>
      <c r="Y219" s="33"/>
      <c r="Z219" s="33"/>
      <c r="AA219" s="33">
        <f t="shared" si="170"/>
        <v>222698</v>
      </c>
      <c r="AB219" s="33"/>
      <c r="AC219" s="46">
        <f t="shared" si="171"/>
        <v>2.7108225113494651E-2</v>
      </c>
      <c r="AD219" s="33"/>
      <c r="AE219" s="33">
        <f t="shared" si="172"/>
        <v>1060.4666666666667</v>
      </c>
      <c r="AF219" s="50"/>
      <c r="AG219" s="33">
        <f t="shared" si="173"/>
        <v>4960</v>
      </c>
      <c r="AH219" s="33">
        <f t="shared" si="188"/>
        <v>796866642.34662843</v>
      </c>
      <c r="AI219" s="231">
        <f t="shared" si="174"/>
        <v>-6.8081698037645178E-3</v>
      </c>
      <c r="AJ219" s="50"/>
      <c r="AK219" s="10"/>
      <c r="AL219" s="23">
        <f t="shared" si="175"/>
        <v>41386</v>
      </c>
      <c r="AM219" s="24"/>
      <c r="AN219" s="24"/>
      <c r="AO219" s="24">
        <v>178263</v>
      </c>
      <c r="AP219" s="24">
        <v>5320139</v>
      </c>
      <c r="AQ219" s="24"/>
      <c r="AR219" s="504">
        <f t="shared" si="176"/>
        <v>7.8401092076102064E-3</v>
      </c>
      <c r="AS219" s="25"/>
      <c r="AT219" s="25"/>
      <c r="AU219" s="24"/>
      <c r="AV219" s="341">
        <f t="shared" si="177"/>
        <v>0.64760135091955162</v>
      </c>
      <c r="AW219" s="341"/>
      <c r="AX219" s="24">
        <f t="shared" si="178"/>
        <v>25333.995238095238</v>
      </c>
      <c r="AY219" s="351"/>
      <c r="AZ219" s="10"/>
      <c r="BA219" s="66">
        <f t="shared" si="179"/>
        <v>1128210</v>
      </c>
      <c r="BB219" s="67"/>
      <c r="BC219" s="67">
        <v>122695348</v>
      </c>
      <c r="BD219" s="67"/>
      <c r="BE219" s="67">
        <f t="shared" si="180"/>
        <v>66129</v>
      </c>
      <c r="BF219" s="67"/>
      <c r="BG219" s="156">
        <f t="shared" si="181"/>
        <v>5.8614087802802667E-2</v>
      </c>
      <c r="BH219" s="67"/>
      <c r="BI219" s="183"/>
      <c r="BJ219" s="67"/>
      <c r="BK219" s="67">
        <f t="shared" si="182"/>
        <v>7351533</v>
      </c>
      <c r="BL219" s="67"/>
      <c r="BM219" s="156">
        <f t="shared" si="183"/>
        <v>5.1730707051168785E-2</v>
      </c>
      <c r="BN219" s="66">
        <f t="shared" si="184"/>
        <v>584263.56190476194</v>
      </c>
      <c r="BO219" s="67"/>
      <c r="BP219" s="67">
        <f t="shared" si="185"/>
        <v>7872498</v>
      </c>
      <c r="BQ219" s="67"/>
      <c r="BR219" s="478">
        <f t="shared" si="186"/>
        <v>6.4162970547179995E-2</v>
      </c>
      <c r="BS219" s="67"/>
      <c r="BT219" s="86"/>
      <c r="BU219" s="183"/>
      <c r="BV219" s="1"/>
      <c r="BW219" s="61">
        <f t="shared" si="189"/>
        <v>210</v>
      </c>
    </row>
    <row r="220" spans="2:75" x14ac:dyDescent="0.3">
      <c r="B220" s="171">
        <f t="shared" si="163"/>
        <v>44120</v>
      </c>
      <c r="C220" s="61"/>
      <c r="D220" s="17">
        <v>71687</v>
      </c>
      <c r="E220" s="16"/>
      <c r="F220" s="16"/>
      <c r="G220" s="16"/>
      <c r="H220" s="16">
        <f t="shared" si="167"/>
        <v>8286832</v>
      </c>
      <c r="I220" s="16"/>
      <c r="J220" s="479">
        <f t="shared" si="168"/>
        <v>8.726200207056601E-3</v>
      </c>
      <c r="K220" s="16"/>
      <c r="L220" s="16"/>
      <c r="M220" s="16"/>
      <c r="N220" s="16">
        <f t="shared" si="187"/>
        <v>391004</v>
      </c>
      <c r="O220" s="16">
        <f t="shared" si="169"/>
        <v>39274.08530805687</v>
      </c>
      <c r="P220" s="41"/>
      <c r="Q220" s="17">
        <f t="shared" si="161"/>
        <v>391004</v>
      </c>
      <c r="R220" s="16"/>
      <c r="S220" s="60">
        <f t="shared" si="162"/>
        <v>0.17406278619364332</v>
      </c>
      <c r="T220" s="16"/>
      <c r="U220" s="41"/>
      <c r="V220" s="10">
        <f t="shared" si="109"/>
        <v>112</v>
      </c>
      <c r="W220" s="34">
        <v>928</v>
      </c>
      <c r="X220" s="33"/>
      <c r="Y220" s="33"/>
      <c r="Z220" s="33"/>
      <c r="AA220" s="33">
        <f t="shared" si="170"/>
        <v>223626</v>
      </c>
      <c r="AB220" s="33"/>
      <c r="AC220" s="46">
        <f t="shared" si="171"/>
        <v>2.6985704549096688E-2</v>
      </c>
      <c r="AD220" s="33"/>
      <c r="AE220" s="33">
        <f t="shared" si="172"/>
        <v>1059.8388625592418</v>
      </c>
      <c r="AF220" s="50"/>
      <c r="AG220" s="33">
        <f t="shared" si="173"/>
        <v>4979</v>
      </c>
      <c r="AH220" s="33">
        <f t="shared" si="188"/>
        <v>796826488.34662843</v>
      </c>
      <c r="AI220" s="231">
        <f t="shared" si="174"/>
        <v>-1.1907124429450288E-2</v>
      </c>
      <c r="AJ220" s="50"/>
      <c r="AK220" s="10"/>
      <c r="AL220" s="23">
        <f t="shared" si="175"/>
        <v>75262</v>
      </c>
      <c r="AM220" s="24"/>
      <c r="AN220" s="24"/>
      <c r="AO220" s="24">
        <v>178263</v>
      </c>
      <c r="AP220" s="24">
        <v>5395401</v>
      </c>
      <c r="AQ220" s="24"/>
      <c r="AR220" s="504">
        <f t="shared" si="176"/>
        <v>1.4146622860793675E-2</v>
      </c>
      <c r="AS220" s="25"/>
      <c r="AT220" s="25"/>
      <c r="AU220" s="24"/>
      <c r="AV220" s="341">
        <f t="shared" si="177"/>
        <v>0.6510812575903554</v>
      </c>
      <c r="AW220" s="341"/>
      <c r="AX220" s="24">
        <f t="shared" si="178"/>
        <v>25570.620853080567</v>
      </c>
      <c r="AY220" s="351"/>
      <c r="AZ220" s="10"/>
      <c r="BA220" s="66">
        <f t="shared" si="179"/>
        <v>1041099</v>
      </c>
      <c r="BB220" s="67"/>
      <c r="BC220" s="67">
        <v>123736447</v>
      </c>
      <c r="BD220" s="67"/>
      <c r="BE220" s="67">
        <f t="shared" si="180"/>
        <v>71687</v>
      </c>
      <c r="BF220" s="67"/>
      <c r="BG220" s="156">
        <f t="shared" si="181"/>
        <v>6.885704433488074E-2</v>
      </c>
      <c r="BH220" s="67"/>
      <c r="BI220" s="183"/>
      <c r="BJ220" s="67"/>
      <c r="BK220" s="67">
        <f t="shared" si="182"/>
        <v>7238312</v>
      </c>
      <c r="BL220" s="67"/>
      <c r="BM220" s="156">
        <f t="shared" si="183"/>
        <v>5.40186717566195E-2</v>
      </c>
      <c r="BN220" s="66">
        <f t="shared" si="184"/>
        <v>586428.65876777249</v>
      </c>
      <c r="BO220" s="67"/>
      <c r="BP220" s="67">
        <f t="shared" si="185"/>
        <v>7944185</v>
      </c>
      <c r="BQ220" s="67"/>
      <c r="BR220" s="478">
        <f t="shared" si="186"/>
        <v>6.4202465745602025E-2</v>
      </c>
      <c r="BS220" s="67"/>
      <c r="BT220" s="86"/>
      <c r="BU220" s="183"/>
      <c r="BV220" s="1"/>
      <c r="BW220" s="61">
        <f t="shared" si="189"/>
        <v>211</v>
      </c>
    </row>
    <row r="221" spans="2:75" x14ac:dyDescent="0.3">
      <c r="B221" s="171">
        <f t="shared" si="163"/>
        <v>44121</v>
      </c>
      <c r="C221" s="61"/>
      <c r="D221" s="17">
        <v>54232</v>
      </c>
      <c r="E221" s="16"/>
      <c r="F221" s="16"/>
      <c r="G221" s="16"/>
      <c r="H221" s="16">
        <f t="shared" si="167"/>
        <v>8341064</v>
      </c>
      <c r="I221" s="16"/>
      <c r="J221" s="479">
        <f t="shared" si="168"/>
        <v>6.5443585679062881E-3</v>
      </c>
      <c r="K221" s="16"/>
      <c r="L221" s="16"/>
      <c r="M221" s="16"/>
      <c r="N221" s="16">
        <f t="shared" si="187"/>
        <v>391001</v>
      </c>
      <c r="O221" s="16">
        <f t="shared" si="169"/>
        <v>39344.641509433961</v>
      </c>
      <c r="P221" s="41"/>
      <c r="Q221" s="17">
        <f t="shared" si="161"/>
        <v>391001</v>
      </c>
      <c r="R221" s="16"/>
      <c r="S221" s="60">
        <f t="shared" si="162"/>
        <v>0.15562813104966824</v>
      </c>
      <c r="T221" s="16"/>
      <c r="U221" s="41"/>
      <c r="V221" s="10">
        <f t="shared" si="109"/>
        <v>113</v>
      </c>
      <c r="W221" s="34">
        <v>638</v>
      </c>
      <c r="X221" s="33"/>
      <c r="Y221" s="33"/>
      <c r="Z221" s="33"/>
      <c r="AA221" s="33">
        <f t="shared" si="170"/>
        <v>224264</v>
      </c>
      <c r="AB221" s="33"/>
      <c r="AC221" s="46">
        <f t="shared" si="171"/>
        <v>2.6886737711160111E-2</v>
      </c>
      <c r="AD221" s="33"/>
      <c r="AE221" s="33">
        <f t="shared" si="172"/>
        <v>1057.8490566037735</v>
      </c>
      <c r="AF221" s="50"/>
      <c r="AG221" s="33">
        <f t="shared" si="173"/>
        <v>4894</v>
      </c>
      <c r="AH221" s="33">
        <f t="shared" si="188"/>
        <v>796780193.34662843</v>
      </c>
      <c r="AI221" s="231">
        <f t="shared" si="174"/>
        <v>-2.25684042340723E-2</v>
      </c>
      <c r="AJ221" s="50"/>
      <c r="AK221" s="10"/>
      <c r="AL221" s="23">
        <f t="shared" si="175"/>
        <v>36791</v>
      </c>
      <c r="AM221" s="24"/>
      <c r="AN221" s="24"/>
      <c r="AO221" s="24">
        <v>178263</v>
      </c>
      <c r="AP221" s="24">
        <v>5432192</v>
      </c>
      <c r="AQ221" s="24"/>
      <c r="AR221" s="504">
        <f t="shared" si="176"/>
        <v>6.8189556253557427E-3</v>
      </c>
      <c r="AS221" s="25"/>
      <c r="AT221" s="25"/>
      <c r="AU221" s="24"/>
      <c r="AV221" s="341">
        <f t="shared" si="177"/>
        <v>0.65125888016205125</v>
      </c>
      <c r="AW221" s="341"/>
      <c r="AX221" s="24">
        <f t="shared" si="178"/>
        <v>25623.547169811322</v>
      </c>
      <c r="AY221" s="351"/>
      <c r="AZ221" s="10"/>
      <c r="BA221" s="66">
        <f t="shared" si="179"/>
        <v>1056221</v>
      </c>
      <c r="BB221" s="67"/>
      <c r="BC221" s="67">
        <v>124792668</v>
      </c>
      <c r="BD221" s="67"/>
      <c r="BE221" s="67">
        <f t="shared" si="180"/>
        <v>54232</v>
      </c>
      <c r="BF221" s="67"/>
      <c r="BG221" s="156">
        <f t="shared" si="181"/>
        <v>5.1345315042969228E-2</v>
      </c>
      <c r="BH221" s="67"/>
      <c r="BI221" s="183"/>
      <c r="BJ221" s="67"/>
      <c r="BK221" s="67">
        <f t="shared" si="182"/>
        <v>7191246</v>
      </c>
      <c r="BL221" s="67"/>
      <c r="BM221" s="156">
        <f t="shared" si="183"/>
        <v>5.4371801493093133E-2</v>
      </c>
      <c r="BN221" s="66">
        <f t="shared" si="184"/>
        <v>588644.66037735844</v>
      </c>
      <c r="BO221" s="67"/>
      <c r="BP221" s="67">
        <f t="shared" si="185"/>
        <v>7998417</v>
      </c>
      <c r="BQ221" s="67"/>
      <c r="BR221" s="478">
        <f t="shared" si="186"/>
        <v>6.4093645309354227E-2</v>
      </c>
      <c r="BS221" s="67"/>
      <c r="BT221" s="86"/>
      <c r="BU221" s="183"/>
      <c r="BV221" s="1"/>
      <c r="BW221" s="61">
        <f t="shared" si="189"/>
        <v>212</v>
      </c>
    </row>
    <row r="222" spans="2:75" x14ac:dyDescent="0.3">
      <c r="B222" s="390">
        <f t="shared" si="163"/>
        <v>44122</v>
      </c>
      <c r="C222" s="61"/>
      <c r="D222" s="17">
        <v>44941</v>
      </c>
      <c r="E222" s="16"/>
      <c r="F222" s="16"/>
      <c r="G222" s="16"/>
      <c r="H222" s="16">
        <f t="shared" si="167"/>
        <v>8386005</v>
      </c>
      <c r="I222" s="16"/>
      <c r="J222" s="479">
        <f t="shared" si="168"/>
        <v>5.3879217327669465E-3</v>
      </c>
      <c r="K222" s="16"/>
      <c r="L222" s="16"/>
      <c r="M222" s="16"/>
      <c r="N222" s="16">
        <f t="shared" si="187"/>
        <v>394007</v>
      </c>
      <c r="O222" s="16">
        <f t="shared" si="169"/>
        <v>39370.915492957749</v>
      </c>
      <c r="P222" s="41"/>
      <c r="Q222" s="17">
        <f t="shared" si="161"/>
        <v>394007</v>
      </c>
      <c r="R222" s="16"/>
      <c r="S222" s="60">
        <f t="shared" si="162"/>
        <v>0.13804467756936462</v>
      </c>
      <c r="T222" s="16"/>
      <c r="U222" s="41"/>
      <c r="V222" s="391">
        <f t="shared" si="109"/>
        <v>114</v>
      </c>
      <c r="W222" s="34">
        <v>448</v>
      </c>
      <c r="X222" s="33"/>
      <c r="Y222" s="33"/>
      <c r="Z222" s="33"/>
      <c r="AA222" s="33">
        <f t="shared" si="170"/>
        <v>224712</v>
      </c>
      <c r="AB222" s="33"/>
      <c r="AC222" s="46">
        <f t="shared" si="171"/>
        <v>2.6796072742622978E-2</v>
      </c>
      <c r="AD222" s="33"/>
      <c r="AE222" s="33">
        <f t="shared" si="172"/>
        <v>1054.9859154929577</v>
      </c>
      <c r="AF222" s="50"/>
      <c r="AG222" s="33">
        <f t="shared" si="173"/>
        <v>5017</v>
      </c>
      <c r="AH222" s="33">
        <f t="shared" si="188"/>
        <v>796728848.34662843</v>
      </c>
      <c r="AI222" s="231">
        <f t="shared" si="174"/>
        <v>3.3999999999999998E-3</v>
      </c>
      <c r="AJ222" s="50"/>
      <c r="AK222" s="10"/>
      <c r="AL222" s="23">
        <f t="shared" si="175"/>
        <v>25492</v>
      </c>
      <c r="AM222" s="24"/>
      <c r="AN222" s="24"/>
      <c r="AO222" s="24">
        <v>178263</v>
      </c>
      <c r="AP222" s="24">
        <v>5457684</v>
      </c>
      <c r="AQ222" s="24"/>
      <c r="AR222" s="504">
        <f t="shared" si="176"/>
        <v>4.6927649096350057E-3</v>
      </c>
      <c r="AS222" s="25"/>
      <c r="AT222" s="25"/>
      <c r="AU222" s="24"/>
      <c r="AV222" s="341">
        <f t="shared" si="177"/>
        <v>0.65080857929371616</v>
      </c>
      <c r="AW222" s="341"/>
      <c r="AX222" s="24">
        <f t="shared" si="178"/>
        <v>25622.929577464787</v>
      </c>
      <c r="AY222" s="351"/>
      <c r="AZ222" s="391"/>
      <c r="BA222" s="66">
        <f t="shared" si="179"/>
        <v>891213</v>
      </c>
      <c r="BB222" s="67"/>
      <c r="BC222" s="67">
        <v>125683881</v>
      </c>
      <c r="BD222" s="67"/>
      <c r="BE222" s="67">
        <f t="shared" si="180"/>
        <v>44941</v>
      </c>
      <c r="BF222" s="67"/>
      <c r="BG222" s="156">
        <f t="shared" si="181"/>
        <v>5.0426777885870154E-2</v>
      </c>
      <c r="BH222" s="67"/>
      <c r="BI222" s="183"/>
      <c r="BJ222" s="67"/>
      <c r="BK222" s="67">
        <f t="shared" si="182"/>
        <v>7196983</v>
      </c>
      <c r="BL222" s="67"/>
      <c r="BM222" s="156">
        <f t="shared" si="183"/>
        <v>5.4746134595565946E-2</v>
      </c>
      <c r="BN222" s="66">
        <f t="shared" si="184"/>
        <v>590065.1690140845</v>
      </c>
      <c r="BO222" s="67"/>
      <c r="BP222" s="67">
        <f t="shared" si="185"/>
        <v>8043358</v>
      </c>
      <c r="BQ222" s="67"/>
      <c r="BR222" s="478">
        <f t="shared" si="186"/>
        <v>6.39967347921091E-2</v>
      </c>
      <c r="BS222" s="67"/>
      <c r="BT222" s="86"/>
      <c r="BU222" s="183"/>
      <c r="BV222" s="1"/>
      <c r="BW222" s="61">
        <f t="shared" si="189"/>
        <v>213</v>
      </c>
    </row>
    <row r="223" spans="2:75" x14ac:dyDescent="0.3">
      <c r="B223" s="171">
        <f t="shared" si="163"/>
        <v>44123</v>
      </c>
      <c r="C223" s="61"/>
      <c r="D223" s="17">
        <v>57327</v>
      </c>
      <c r="E223" s="16"/>
      <c r="F223" s="16"/>
      <c r="G223" s="16"/>
      <c r="H223" s="16">
        <f t="shared" ref="H223:H229" si="190">+H222+D223</f>
        <v>8443332</v>
      </c>
      <c r="I223" s="16"/>
      <c r="J223" s="479">
        <f t="shared" ref="J223:J229" si="191">+D223/H222</f>
        <v>6.8360321750344771E-3</v>
      </c>
      <c r="K223" s="16"/>
      <c r="L223" s="16"/>
      <c r="M223" s="16"/>
      <c r="N223" s="16">
        <f t="shared" ref="N223:N229" si="192">SUM(D217:D223)</f>
        <v>405543</v>
      </c>
      <c r="O223" s="16">
        <f t="shared" ref="O223:O229" si="193">+H223/BW223</f>
        <v>39454.82242990654</v>
      </c>
      <c r="P223" s="41"/>
      <c r="Q223" s="17">
        <f t="shared" si="161"/>
        <v>405543</v>
      </c>
      <c r="R223" s="16"/>
      <c r="S223" s="60">
        <f t="shared" si="162"/>
        <v>0.14467043761007994</v>
      </c>
      <c r="T223" s="16"/>
      <c r="U223" s="41"/>
      <c r="V223" s="10">
        <f t="shared" si="109"/>
        <v>115</v>
      </c>
      <c r="W223" s="34">
        <v>442</v>
      </c>
      <c r="X223" s="33"/>
      <c r="Y223" s="33"/>
      <c r="Z223" s="33"/>
      <c r="AA223" s="33">
        <f t="shared" ref="AA223:AA229" si="194">+AA222+W223</f>
        <v>225154</v>
      </c>
      <c r="AB223" s="33"/>
      <c r="AC223" s="46">
        <f t="shared" ref="AC223:AC229" si="195">+AA223/H223</f>
        <v>2.6666486642950911E-2</v>
      </c>
      <c r="AD223" s="33"/>
      <c r="AE223" s="33">
        <f t="shared" ref="AE223:AE229" si="196">+AA223/BW223</f>
        <v>1052.1214953271028</v>
      </c>
      <c r="AF223" s="50"/>
      <c r="AG223" s="33">
        <f t="shared" ref="AG223:AG229" si="197">SUM(W217:W223)</f>
        <v>5143</v>
      </c>
      <c r="AH223" s="33">
        <f t="shared" si="188"/>
        <v>796685235.34662843</v>
      </c>
      <c r="AI223" s="231">
        <f t="shared" ref="AI223:AI229" si="198">+(AG223-AG216)/AG216</f>
        <v>3.5225442834138483E-2</v>
      </c>
      <c r="AJ223" s="50"/>
      <c r="AK223" s="10"/>
      <c r="AL223" s="23">
        <f t="shared" ref="AL223:AL229" si="199">+AP223-AP222</f>
        <v>45584</v>
      </c>
      <c r="AM223" s="24"/>
      <c r="AN223" s="24"/>
      <c r="AO223" s="24">
        <v>178263</v>
      </c>
      <c r="AP223" s="24">
        <v>5503268</v>
      </c>
      <c r="AQ223" s="24"/>
      <c r="AR223" s="504">
        <f t="shared" ref="AR223:AR229" si="200">+AL223/AP222</f>
        <v>8.3522607758162622E-3</v>
      </c>
      <c r="AS223" s="25"/>
      <c r="AT223" s="25"/>
      <c r="AU223" s="24"/>
      <c r="AV223" s="341">
        <f t="shared" ref="AV223:AV229" si="201">+AP223/H223</f>
        <v>0.65178865405268915</v>
      </c>
      <c r="AW223" s="341"/>
      <c r="AX223" s="24">
        <f t="shared" ref="AX223:AX229" si="202">+AP223/BW223</f>
        <v>25716.205607476637</v>
      </c>
      <c r="AY223" s="351"/>
      <c r="AZ223" s="10"/>
      <c r="BA223" s="66">
        <f t="shared" ref="BA223:BA229" si="203">+BC223-BC222</f>
        <v>1373226</v>
      </c>
      <c r="BB223" s="67"/>
      <c r="BC223" s="67">
        <v>127057107</v>
      </c>
      <c r="BD223" s="67"/>
      <c r="BE223" s="67">
        <f t="shared" ref="BE223:BE229" si="204">+D223</f>
        <v>57327</v>
      </c>
      <c r="BF223" s="67"/>
      <c r="BG223" s="156">
        <f t="shared" ref="BG223:BG229" si="205">+BE223/BA223</f>
        <v>4.1746223855359567E-2</v>
      </c>
      <c r="BH223" s="67"/>
      <c r="BI223" s="183"/>
      <c r="BJ223" s="67"/>
      <c r="BK223" s="67">
        <f t="shared" ref="BK223:BK229" si="206">SUM(BA217:BA223)</f>
        <v>7559483</v>
      </c>
      <c r="BL223" s="67"/>
      <c r="BM223" s="156">
        <f t="shared" ref="BM223:BM229" si="207">+Q223/BK223</f>
        <v>5.3646922679765272E-2</v>
      </c>
      <c r="BN223" s="66">
        <f t="shared" ref="BN223:BN229" si="208">+BC223/BW223</f>
        <v>593724.79906542052</v>
      </c>
      <c r="BO223" s="67"/>
      <c r="BP223" s="67">
        <f t="shared" ref="BP223:BP229" si="209">+BP222+BE223</f>
        <v>8100685</v>
      </c>
      <c r="BQ223" s="67"/>
      <c r="BR223" s="478">
        <f t="shared" ref="BR223:BR229" si="210">+BP223/BC223</f>
        <v>6.3756252532965352E-2</v>
      </c>
      <c r="BS223" s="67"/>
      <c r="BT223" s="86"/>
      <c r="BU223" s="183"/>
      <c r="BV223" s="1"/>
      <c r="BW223" s="61">
        <f t="shared" si="189"/>
        <v>214</v>
      </c>
    </row>
    <row r="224" spans="2:75" x14ac:dyDescent="0.3">
      <c r="B224" s="171">
        <f t="shared" si="163"/>
        <v>44124</v>
      </c>
      <c r="C224" s="61"/>
      <c r="D224" s="17">
        <v>62072</v>
      </c>
      <c r="E224" s="16"/>
      <c r="F224" s="16"/>
      <c r="G224" s="16"/>
      <c r="H224" s="16">
        <f t="shared" si="190"/>
        <v>8505404</v>
      </c>
      <c r="I224" s="16"/>
      <c r="J224" s="479">
        <f t="shared" si="191"/>
        <v>7.3516000555231041E-3</v>
      </c>
      <c r="K224" s="16"/>
      <c r="L224" s="16"/>
      <c r="M224" s="16"/>
      <c r="N224" s="16">
        <f t="shared" si="192"/>
        <v>416081</v>
      </c>
      <c r="O224" s="16">
        <f t="shared" si="193"/>
        <v>39560.018604651166</v>
      </c>
      <c r="P224" s="41"/>
      <c r="Q224" s="17">
        <f t="shared" si="161"/>
        <v>416081</v>
      </c>
      <c r="R224" s="16"/>
      <c r="S224" s="60">
        <f t="shared" si="162"/>
        <v>0.15208747514910537</v>
      </c>
      <c r="T224" s="16"/>
      <c r="U224" s="41"/>
      <c r="V224" s="10">
        <f t="shared" si="109"/>
        <v>116</v>
      </c>
      <c r="W224" s="34">
        <v>952</v>
      </c>
      <c r="X224" s="33"/>
      <c r="Y224" s="33"/>
      <c r="Z224" s="33"/>
      <c r="AA224" s="33">
        <f t="shared" si="194"/>
        <v>226106</v>
      </c>
      <c r="AB224" s="33"/>
      <c r="AC224" s="46">
        <f t="shared" si="195"/>
        <v>2.6583804837489202E-2</v>
      </c>
      <c r="AD224" s="33"/>
      <c r="AE224" s="33">
        <f t="shared" si="196"/>
        <v>1051.6558139534884</v>
      </c>
      <c r="AF224" s="50"/>
      <c r="AG224" s="33">
        <f t="shared" si="197"/>
        <v>5252</v>
      </c>
      <c r="AH224" s="33">
        <f t="shared" si="188"/>
        <v>796651849.34662843</v>
      </c>
      <c r="AI224" s="231">
        <f t="shared" si="198"/>
        <v>4.977013791724965E-2</v>
      </c>
      <c r="AJ224" s="50"/>
      <c r="AK224" s="10"/>
      <c r="AL224" s="23">
        <f t="shared" si="199"/>
        <v>42351</v>
      </c>
      <c r="AM224" s="24"/>
      <c r="AN224" s="24"/>
      <c r="AO224" s="24">
        <v>178263</v>
      </c>
      <c r="AP224" s="24">
        <v>5545619</v>
      </c>
      <c r="AQ224" s="24"/>
      <c r="AR224" s="504">
        <f t="shared" si="200"/>
        <v>7.6956092270992439E-3</v>
      </c>
      <c r="AS224" s="25"/>
      <c r="AT224" s="25"/>
      <c r="AU224" s="24"/>
      <c r="AV224" s="341">
        <f t="shared" si="201"/>
        <v>0.65201123897230517</v>
      </c>
      <c r="AW224" s="341"/>
      <c r="AX224" s="24">
        <f t="shared" si="202"/>
        <v>25793.576744186048</v>
      </c>
      <c r="AY224" s="351"/>
      <c r="AZ224" s="10"/>
      <c r="BA224" s="66">
        <f t="shared" si="203"/>
        <v>777769</v>
      </c>
      <c r="BB224" s="67"/>
      <c r="BC224" s="67">
        <v>127834876</v>
      </c>
      <c r="BD224" s="67"/>
      <c r="BE224" s="67">
        <f t="shared" si="204"/>
        <v>62072</v>
      </c>
      <c r="BF224" s="67"/>
      <c r="BG224" s="156">
        <f t="shared" si="205"/>
        <v>7.9807757830409803E-2</v>
      </c>
      <c r="BH224" s="67"/>
      <c r="BI224" s="183"/>
      <c r="BJ224" s="67"/>
      <c r="BK224" s="67">
        <f t="shared" si="206"/>
        <v>7311304</v>
      </c>
      <c r="BL224" s="67"/>
      <c r="BM224" s="156">
        <f t="shared" si="207"/>
        <v>5.6909273639832239E-2</v>
      </c>
      <c r="BN224" s="66">
        <f t="shared" si="208"/>
        <v>594580.81860465114</v>
      </c>
      <c r="BO224" s="67"/>
      <c r="BP224" s="67">
        <f t="shared" si="209"/>
        <v>8162757</v>
      </c>
      <c r="BQ224" s="67"/>
      <c r="BR224" s="478">
        <f t="shared" si="210"/>
        <v>6.3853912605195476E-2</v>
      </c>
      <c r="BS224" s="67"/>
      <c r="BT224" s="86"/>
      <c r="BU224" s="183"/>
      <c r="BV224" s="1"/>
      <c r="BW224" s="61">
        <f t="shared" si="189"/>
        <v>215</v>
      </c>
    </row>
    <row r="225" spans="2:75" x14ac:dyDescent="0.3">
      <c r="B225" s="171">
        <f t="shared" si="163"/>
        <v>44125</v>
      </c>
      <c r="C225" s="61"/>
      <c r="D225" s="17">
        <v>63663</v>
      </c>
      <c r="E225" s="16"/>
      <c r="F225" s="16"/>
      <c r="G225" s="16"/>
      <c r="H225" s="16">
        <f t="shared" si="190"/>
        <v>8569067</v>
      </c>
      <c r="I225" s="16"/>
      <c r="J225" s="479">
        <f t="shared" si="191"/>
        <v>7.4850060032421737E-3</v>
      </c>
      <c r="K225" s="16"/>
      <c r="L225" s="16"/>
      <c r="M225" s="16"/>
      <c r="N225" s="16">
        <f t="shared" si="192"/>
        <v>420051</v>
      </c>
      <c r="O225" s="16">
        <f t="shared" si="193"/>
        <v>39671.606481481482</v>
      </c>
      <c r="P225" s="41"/>
      <c r="Q225" s="17">
        <f t="shared" si="161"/>
        <v>420051</v>
      </c>
      <c r="R225" s="16"/>
      <c r="S225" s="60">
        <f t="shared" si="162"/>
        <v>0.13072257859586689</v>
      </c>
      <c r="T225" s="16"/>
      <c r="U225" s="41"/>
      <c r="V225" s="10">
        <f t="shared" si="109"/>
        <v>117</v>
      </c>
      <c r="W225" s="34">
        <v>1225</v>
      </c>
      <c r="X225" s="33"/>
      <c r="Y225" s="33"/>
      <c r="Z225" s="33"/>
      <c r="AA225" s="33">
        <f t="shared" si="194"/>
        <v>227331</v>
      </c>
      <c r="AB225" s="33"/>
      <c r="AC225" s="46">
        <f t="shared" si="195"/>
        <v>2.6529259253078544E-2</v>
      </c>
      <c r="AD225" s="33"/>
      <c r="AE225" s="33">
        <f t="shared" si="196"/>
        <v>1052.4583333333333</v>
      </c>
      <c r="AF225" s="50"/>
      <c r="AG225" s="33">
        <f t="shared" si="197"/>
        <v>5507</v>
      </c>
      <c r="AH225" s="33">
        <f t="shared" si="188"/>
        <v>796615045.34662843</v>
      </c>
      <c r="AI225" s="231">
        <f t="shared" si="198"/>
        <v>9.2008724965298438E-2</v>
      </c>
      <c r="AJ225" s="50"/>
      <c r="AK225" s="10"/>
      <c r="AL225" s="23">
        <f t="shared" si="199"/>
        <v>56497</v>
      </c>
      <c r="AM225" s="24"/>
      <c r="AN225" s="24"/>
      <c r="AO225" s="24">
        <v>178263</v>
      </c>
      <c r="AP225" s="24">
        <v>5602116</v>
      </c>
      <c r="AQ225" s="24"/>
      <c r="AR225" s="504">
        <f t="shared" si="200"/>
        <v>1.0187681483347486E-2</v>
      </c>
      <c r="AS225" s="25"/>
      <c r="AT225" s="25"/>
      <c r="AU225" s="24"/>
      <c r="AV225" s="341">
        <f t="shared" si="201"/>
        <v>0.65376032186467903</v>
      </c>
      <c r="AW225" s="341"/>
      <c r="AX225" s="24">
        <f t="shared" si="202"/>
        <v>25935.722222222223</v>
      </c>
      <c r="AY225" s="351"/>
      <c r="AZ225" s="10"/>
      <c r="BA225" s="66">
        <f t="shared" si="203"/>
        <v>815281</v>
      </c>
      <c r="BB225" s="67"/>
      <c r="BC225" s="67">
        <v>128650157</v>
      </c>
      <c r="BD225" s="67"/>
      <c r="BE225" s="67">
        <f t="shared" si="204"/>
        <v>63663</v>
      </c>
      <c r="BF225" s="67"/>
      <c r="BG225" s="156">
        <f t="shared" si="205"/>
        <v>7.8087187117079876E-2</v>
      </c>
      <c r="BH225" s="67"/>
      <c r="BI225" s="183"/>
      <c r="BJ225" s="67"/>
      <c r="BK225" s="67">
        <f t="shared" si="206"/>
        <v>7083019</v>
      </c>
      <c r="BL225" s="67"/>
      <c r="BM225" s="156">
        <f t="shared" si="207"/>
        <v>5.9303949347022787E-2</v>
      </c>
      <c r="BN225" s="66">
        <f t="shared" si="208"/>
        <v>595602.57870370371</v>
      </c>
      <c r="BO225" s="67"/>
      <c r="BP225" s="67">
        <f t="shared" si="209"/>
        <v>8226420</v>
      </c>
      <c r="BQ225" s="67"/>
      <c r="BR225" s="478">
        <f t="shared" si="210"/>
        <v>6.3944111626696262E-2</v>
      </c>
      <c r="BS225" s="67"/>
      <c r="BT225" s="86"/>
      <c r="BU225" s="183"/>
      <c r="BV225" s="1"/>
      <c r="BW225" s="61">
        <f t="shared" si="189"/>
        <v>216</v>
      </c>
    </row>
    <row r="226" spans="2:75" x14ac:dyDescent="0.3">
      <c r="B226" s="171">
        <f t="shared" si="163"/>
        <v>44126</v>
      </c>
      <c r="C226" s="61"/>
      <c r="D226" s="17">
        <v>74301</v>
      </c>
      <c r="E226" s="16"/>
      <c r="F226" s="16"/>
      <c r="G226" s="16"/>
      <c r="H226" s="16">
        <f t="shared" si="190"/>
        <v>8643368</v>
      </c>
      <c r="I226" s="16"/>
      <c r="J226" s="479">
        <f t="shared" si="191"/>
        <v>8.6708389606476415E-3</v>
      </c>
      <c r="K226" s="16"/>
      <c r="L226" s="16"/>
      <c r="M226" s="16"/>
      <c r="N226" s="16">
        <f t="shared" si="192"/>
        <v>428223</v>
      </c>
      <c r="O226" s="16">
        <f t="shared" si="193"/>
        <v>39831.188940092165</v>
      </c>
      <c r="P226" s="41"/>
      <c r="Q226" s="17">
        <f t="shared" si="161"/>
        <v>428223</v>
      </c>
      <c r="R226" s="16"/>
      <c r="S226" s="60">
        <f t="shared" si="162"/>
        <v>0.12601367341572442</v>
      </c>
      <c r="T226" s="16"/>
      <c r="U226" s="41"/>
      <c r="V226" s="10">
        <f t="shared" si="109"/>
        <v>118</v>
      </c>
      <c r="W226" s="34">
        <v>973</v>
      </c>
      <c r="X226" s="33"/>
      <c r="Y226" s="33"/>
      <c r="Z226" s="33"/>
      <c r="AA226" s="33">
        <f t="shared" si="194"/>
        <v>228304</v>
      </c>
      <c r="AB226" s="33"/>
      <c r="AC226" s="46">
        <f t="shared" si="195"/>
        <v>2.6413777592253392E-2</v>
      </c>
      <c r="AD226" s="33"/>
      <c r="AE226" s="33">
        <f t="shared" si="196"/>
        <v>1052.0921658986176</v>
      </c>
      <c r="AF226" s="50"/>
      <c r="AG226" s="33">
        <f t="shared" si="197"/>
        <v>5606</v>
      </c>
      <c r="AH226" s="33">
        <f t="shared" si="188"/>
        <v>796579349.34662843</v>
      </c>
      <c r="AI226" s="231">
        <f t="shared" si="198"/>
        <v>0.13024193548387097</v>
      </c>
      <c r="AJ226" s="50"/>
      <c r="AK226" s="10"/>
      <c r="AL226" s="23">
        <f t="shared" si="199"/>
        <v>53185</v>
      </c>
      <c r="AM226" s="24"/>
      <c r="AN226" s="24"/>
      <c r="AO226" s="24">
        <v>178263</v>
      </c>
      <c r="AP226" s="24">
        <v>5655301</v>
      </c>
      <c r="AQ226" s="24"/>
      <c r="AR226" s="504">
        <f t="shared" si="200"/>
        <v>9.4937341533092145E-3</v>
      </c>
      <c r="AS226" s="25"/>
      <c r="AT226" s="25"/>
      <c r="AU226" s="24"/>
      <c r="AV226" s="341">
        <f t="shared" si="201"/>
        <v>0.65429367348468792</v>
      </c>
      <c r="AW226" s="341"/>
      <c r="AX226" s="24">
        <f t="shared" si="202"/>
        <v>26061.294930875578</v>
      </c>
      <c r="AY226" s="351"/>
      <c r="AZ226" s="10"/>
      <c r="BA226" s="66">
        <f t="shared" si="203"/>
        <v>1154411</v>
      </c>
      <c r="BB226" s="67"/>
      <c r="BC226" s="67">
        <v>129804568</v>
      </c>
      <c r="BD226" s="67"/>
      <c r="BE226" s="67">
        <f t="shared" si="204"/>
        <v>74301</v>
      </c>
      <c r="BF226" s="67"/>
      <c r="BG226" s="156">
        <f t="shared" si="205"/>
        <v>6.4362692316687897E-2</v>
      </c>
      <c r="BH226" s="67"/>
      <c r="BI226" s="183"/>
      <c r="BJ226" s="67"/>
      <c r="BK226" s="67">
        <f t="shared" si="206"/>
        <v>7109220</v>
      </c>
      <c r="BL226" s="67"/>
      <c r="BM226" s="156">
        <f t="shared" si="207"/>
        <v>6.0234878087891498E-2</v>
      </c>
      <c r="BN226" s="66">
        <f t="shared" si="208"/>
        <v>598177.73271889403</v>
      </c>
      <c r="BO226" s="67"/>
      <c r="BP226" s="67">
        <f t="shared" si="209"/>
        <v>8300721</v>
      </c>
      <c r="BQ226" s="67"/>
      <c r="BR226" s="478">
        <f t="shared" si="210"/>
        <v>6.3947834254954719E-2</v>
      </c>
      <c r="BS226" s="67"/>
      <c r="BT226" s="86"/>
      <c r="BU226" s="183"/>
      <c r="BV226" s="1"/>
      <c r="BW226" s="61">
        <f t="shared" si="189"/>
        <v>217</v>
      </c>
    </row>
    <row r="227" spans="2:75" x14ac:dyDescent="0.3">
      <c r="B227" s="171">
        <f t="shared" si="163"/>
        <v>44127</v>
      </c>
      <c r="C227" s="61"/>
      <c r="D227" s="17">
        <v>81414</v>
      </c>
      <c r="E227" s="16"/>
      <c r="F227" s="16"/>
      <c r="G227" s="16"/>
      <c r="H227" s="16">
        <f t="shared" si="190"/>
        <v>8724782</v>
      </c>
      <c r="I227" s="16"/>
      <c r="J227" s="479">
        <f t="shared" si="191"/>
        <v>9.4192449054581497E-3</v>
      </c>
      <c r="K227" s="16"/>
      <c r="L227" s="16"/>
      <c r="M227" s="16"/>
      <c r="N227" s="16">
        <f t="shared" si="192"/>
        <v>437950</v>
      </c>
      <c r="O227" s="16">
        <f t="shared" si="193"/>
        <v>40021.935779816515</v>
      </c>
      <c r="P227" s="41"/>
      <c r="Q227" s="17">
        <f t="shared" si="161"/>
        <v>437950</v>
      </c>
      <c r="R227" s="16"/>
      <c r="S227" s="60">
        <f t="shared" si="162"/>
        <v>0.12006526787449745</v>
      </c>
      <c r="T227" s="16"/>
      <c r="U227" s="41"/>
      <c r="V227" s="10">
        <f t="shared" si="109"/>
        <v>119</v>
      </c>
      <c r="W227" s="34">
        <v>903</v>
      </c>
      <c r="X227" s="33"/>
      <c r="Y227" s="33"/>
      <c r="Z227" s="33"/>
      <c r="AA227" s="33">
        <f t="shared" si="194"/>
        <v>229207</v>
      </c>
      <c r="AB227" s="33"/>
      <c r="AC227" s="46">
        <f t="shared" si="195"/>
        <v>2.627079966009466E-2</v>
      </c>
      <c r="AD227" s="33"/>
      <c r="AE227" s="33">
        <f t="shared" si="196"/>
        <v>1051.4082568807339</v>
      </c>
      <c r="AF227" s="50"/>
      <c r="AG227" s="33">
        <f t="shared" si="197"/>
        <v>5581</v>
      </c>
      <c r="AH227" s="33">
        <f t="shared" si="188"/>
        <v>796537733.34662843</v>
      </c>
      <c r="AI227" s="231">
        <f t="shared" si="198"/>
        <v>0.12090781281381803</v>
      </c>
      <c r="AJ227" s="50"/>
      <c r="AK227" s="10"/>
      <c r="AL227" s="23">
        <f t="shared" si="199"/>
        <v>42860</v>
      </c>
      <c r="AM227" s="24"/>
      <c r="AN227" s="24"/>
      <c r="AO227" s="24">
        <v>178263</v>
      </c>
      <c r="AP227" s="24">
        <v>5698161</v>
      </c>
      <c r="AQ227" s="24"/>
      <c r="AR227" s="504">
        <f t="shared" si="200"/>
        <v>7.5787301153378041E-3</v>
      </c>
      <c r="AS227" s="25"/>
      <c r="AT227" s="25"/>
      <c r="AU227" s="24"/>
      <c r="AV227" s="341">
        <f t="shared" si="201"/>
        <v>0.65310067346095291</v>
      </c>
      <c r="AW227" s="341"/>
      <c r="AX227" s="24">
        <f t="shared" si="202"/>
        <v>26138.353211009173</v>
      </c>
      <c r="AY227" s="351"/>
      <c r="AZ227" s="10"/>
      <c r="BA227" s="66">
        <f t="shared" si="203"/>
        <v>1252145</v>
      </c>
      <c r="BB227" s="67"/>
      <c r="BC227" s="67">
        <v>131056713</v>
      </c>
      <c r="BD227" s="67"/>
      <c r="BE227" s="67">
        <f t="shared" si="204"/>
        <v>81414</v>
      </c>
      <c r="BF227" s="67"/>
      <c r="BG227" s="156">
        <f t="shared" si="205"/>
        <v>6.501962632123276E-2</v>
      </c>
      <c r="BH227" s="67"/>
      <c r="BI227" s="183"/>
      <c r="BJ227" s="67"/>
      <c r="BK227" s="67">
        <f t="shared" si="206"/>
        <v>7320266</v>
      </c>
      <c r="BL227" s="67"/>
      <c r="BM227" s="156">
        <f t="shared" si="207"/>
        <v>5.9827060929206671E-2</v>
      </c>
      <c r="BN227" s="66">
        <f t="shared" si="208"/>
        <v>601177.58256880729</v>
      </c>
      <c r="BO227" s="67"/>
      <c r="BP227" s="67">
        <f t="shared" si="209"/>
        <v>8382135</v>
      </c>
      <c r="BQ227" s="67"/>
      <c r="BR227" s="478">
        <f t="shared" si="210"/>
        <v>6.3958074394861411E-2</v>
      </c>
      <c r="BS227" s="67"/>
      <c r="BT227" s="86"/>
      <c r="BU227" s="183"/>
      <c r="BV227" s="1"/>
      <c r="BW227" s="61">
        <f t="shared" si="189"/>
        <v>218</v>
      </c>
    </row>
    <row r="228" spans="2:75" x14ac:dyDescent="0.3">
      <c r="B228" s="171">
        <f t="shared" si="163"/>
        <v>44128</v>
      </c>
      <c r="C228" s="61"/>
      <c r="D228" s="17">
        <v>79449</v>
      </c>
      <c r="E228" s="16"/>
      <c r="F228" s="16"/>
      <c r="G228" s="16"/>
      <c r="H228" s="16">
        <f t="shared" si="190"/>
        <v>8804231</v>
      </c>
      <c r="I228" s="16"/>
      <c r="J228" s="479">
        <f t="shared" si="191"/>
        <v>9.1061301015887847E-3</v>
      </c>
      <c r="K228" s="16"/>
      <c r="L228" s="16"/>
      <c r="M228" s="16"/>
      <c r="N228" s="16">
        <f t="shared" si="192"/>
        <v>463167</v>
      </c>
      <c r="O228" s="16">
        <f t="shared" si="193"/>
        <v>40201.968036529681</v>
      </c>
      <c r="P228" s="41"/>
      <c r="Q228" s="17">
        <f t="shared" si="161"/>
        <v>463167</v>
      </c>
      <c r="R228" s="16"/>
      <c r="S228" s="60">
        <f t="shared" si="162"/>
        <v>0.18456730289692352</v>
      </c>
      <c r="T228" s="16"/>
      <c r="U228" s="41"/>
      <c r="V228" s="10">
        <f t="shared" si="109"/>
        <v>120</v>
      </c>
      <c r="W228" s="34">
        <v>784</v>
      </c>
      <c r="X228" s="33"/>
      <c r="Y228" s="33"/>
      <c r="Z228" s="33"/>
      <c r="AA228" s="33">
        <f t="shared" si="194"/>
        <v>229991</v>
      </c>
      <c r="AB228" s="33"/>
      <c r="AC228" s="46">
        <f t="shared" si="195"/>
        <v>2.6122781194632443E-2</v>
      </c>
      <c r="AD228" s="33"/>
      <c r="AE228" s="33">
        <f t="shared" si="196"/>
        <v>1050.1872146118722</v>
      </c>
      <c r="AF228" s="50"/>
      <c r="AG228" s="33">
        <f t="shared" si="197"/>
        <v>5727</v>
      </c>
      <c r="AH228" s="33">
        <f t="shared" si="188"/>
        <v>796492378.34662843</v>
      </c>
      <c r="AI228" s="231">
        <f t="shared" si="198"/>
        <v>0.17020841847159787</v>
      </c>
      <c r="AJ228" s="50"/>
      <c r="AK228" s="10"/>
      <c r="AL228" s="23">
        <f t="shared" si="199"/>
        <v>43450</v>
      </c>
      <c r="AM228" s="24"/>
      <c r="AN228" s="24"/>
      <c r="AO228" s="24">
        <v>178263</v>
      </c>
      <c r="AP228" s="24">
        <v>5741611</v>
      </c>
      <c r="AQ228" s="24"/>
      <c r="AR228" s="504">
        <f t="shared" si="200"/>
        <v>7.625267169530661E-3</v>
      </c>
      <c r="AS228" s="25"/>
      <c r="AT228" s="25"/>
      <c r="AU228" s="24"/>
      <c r="AV228" s="341">
        <f t="shared" si="201"/>
        <v>0.65214224842578528</v>
      </c>
      <c r="AW228" s="341"/>
      <c r="AX228" s="24">
        <f t="shared" si="202"/>
        <v>26217.40182648402</v>
      </c>
      <c r="AY228" s="351"/>
      <c r="AZ228" s="10"/>
      <c r="BA228" s="66">
        <f t="shared" si="203"/>
        <v>1151780</v>
      </c>
      <c r="BB228" s="67"/>
      <c r="BC228" s="67">
        <v>132208493</v>
      </c>
      <c r="BD228" s="67"/>
      <c r="BE228" s="67">
        <f t="shared" si="204"/>
        <v>79449</v>
      </c>
      <c r="BF228" s="67"/>
      <c r="BG228" s="156">
        <f t="shared" si="205"/>
        <v>6.8979318967163875E-2</v>
      </c>
      <c r="BH228" s="67"/>
      <c r="BI228" s="183"/>
      <c r="BJ228" s="67"/>
      <c r="BK228" s="67">
        <f t="shared" si="206"/>
        <v>7415825</v>
      </c>
      <c r="BL228" s="67"/>
      <c r="BM228" s="156">
        <f t="shared" si="207"/>
        <v>6.2456570914227343E-2</v>
      </c>
      <c r="BN228" s="66">
        <f t="shared" si="208"/>
        <v>603691.74885844754</v>
      </c>
      <c r="BO228" s="67"/>
      <c r="BP228" s="67">
        <f t="shared" si="209"/>
        <v>8461584</v>
      </c>
      <c r="BQ228" s="67"/>
      <c r="BR228" s="478">
        <f t="shared" si="210"/>
        <v>6.4001818703129765E-2</v>
      </c>
      <c r="BS228" s="67"/>
      <c r="BT228" s="86"/>
      <c r="BU228" s="183"/>
      <c r="BV228" s="1"/>
      <c r="BW228" s="61">
        <f t="shared" si="189"/>
        <v>219</v>
      </c>
    </row>
    <row r="229" spans="2:75" x14ac:dyDescent="0.3">
      <c r="B229" s="390">
        <f t="shared" si="163"/>
        <v>44129</v>
      </c>
      <c r="C229" s="61"/>
      <c r="D229" s="17">
        <v>60889</v>
      </c>
      <c r="E229" s="16"/>
      <c r="F229" s="16"/>
      <c r="G229" s="16"/>
      <c r="H229" s="16">
        <f t="shared" si="190"/>
        <v>8865120</v>
      </c>
      <c r="I229" s="16"/>
      <c r="J229" s="479">
        <f t="shared" si="191"/>
        <v>6.9158794220642323E-3</v>
      </c>
      <c r="K229" s="16"/>
      <c r="L229" s="16"/>
      <c r="M229" s="16"/>
      <c r="N229" s="16">
        <f t="shared" si="192"/>
        <v>479115</v>
      </c>
      <c r="O229" s="16">
        <f t="shared" si="193"/>
        <v>40296</v>
      </c>
      <c r="P229" s="41"/>
      <c r="Q229" s="17">
        <f t="shared" si="161"/>
        <v>479115</v>
      </c>
      <c r="R229" s="16"/>
      <c r="S229" s="60">
        <f t="shared" si="162"/>
        <v>0.21600631460862371</v>
      </c>
      <c r="T229" s="16"/>
      <c r="U229" s="41"/>
      <c r="V229" s="391">
        <f t="shared" si="109"/>
        <v>121</v>
      </c>
      <c r="W229" s="34">
        <v>442</v>
      </c>
      <c r="X229" s="33"/>
      <c r="Y229" s="33"/>
      <c r="Z229" s="33"/>
      <c r="AA229" s="33">
        <f t="shared" si="194"/>
        <v>230433</v>
      </c>
      <c r="AB229" s="33"/>
      <c r="AC229" s="46">
        <f t="shared" si="195"/>
        <v>2.5993218365910443E-2</v>
      </c>
      <c r="AD229" s="33"/>
      <c r="AE229" s="33">
        <f t="shared" si="196"/>
        <v>1047.4227272727273</v>
      </c>
      <c r="AF229" s="50"/>
      <c r="AG229" s="33">
        <f t="shared" si="197"/>
        <v>5721</v>
      </c>
      <c r="AH229" s="33">
        <f t="shared" si="188"/>
        <v>796438749.34662843</v>
      </c>
      <c r="AI229" s="231">
        <f t="shared" si="198"/>
        <v>0.14032290213274864</v>
      </c>
      <c r="AJ229" s="50"/>
      <c r="AK229" s="10"/>
      <c r="AL229" s="23">
        <f t="shared" si="199"/>
        <v>30887</v>
      </c>
      <c r="AM229" s="24"/>
      <c r="AN229" s="24"/>
      <c r="AO229" s="24">
        <v>178263</v>
      </c>
      <c r="AP229" s="24">
        <v>5772498</v>
      </c>
      <c r="AQ229" s="24"/>
      <c r="AR229" s="504">
        <f t="shared" si="200"/>
        <v>5.379500631442987E-3</v>
      </c>
      <c r="AS229" s="25"/>
      <c r="AT229" s="25"/>
      <c r="AU229" s="24"/>
      <c r="AV229" s="341">
        <f t="shared" si="201"/>
        <v>0.6511471925929937</v>
      </c>
      <c r="AW229" s="341"/>
      <c r="AX229" s="24">
        <f t="shared" si="202"/>
        <v>26238.627272727274</v>
      </c>
      <c r="AY229" s="351"/>
      <c r="AZ229" s="391"/>
      <c r="BA229" s="66">
        <f t="shared" si="203"/>
        <v>1020835</v>
      </c>
      <c r="BB229" s="67"/>
      <c r="BC229" s="67">
        <v>133229328</v>
      </c>
      <c r="BD229" s="67"/>
      <c r="BE229" s="67">
        <f t="shared" si="204"/>
        <v>60889</v>
      </c>
      <c r="BF229" s="67"/>
      <c r="BG229" s="156">
        <f t="shared" si="205"/>
        <v>5.964626996527353E-2</v>
      </c>
      <c r="BH229" s="67"/>
      <c r="BI229" s="183"/>
      <c r="BJ229" s="67"/>
      <c r="BK229" s="67">
        <f t="shared" si="206"/>
        <v>7545447</v>
      </c>
      <c r="BL229" s="67"/>
      <c r="BM229" s="156">
        <f t="shared" si="207"/>
        <v>6.349723217193097E-2</v>
      </c>
      <c r="BN229" s="66">
        <f t="shared" si="208"/>
        <v>605587.85454545449</v>
      </c>
      <c r="BO229" s="67"/>
      <c r="BP229" s="67">
        <f t="shared" si="209"/>
        <v>8522473</v>
      </c>
      <c r="BQ229" s="67"/>
      <c r="BR229" s="478">
        <f t="shared" si="210"/>
        <v>6.3968445446185837E-2</v>
      </c>
      <c r="BS229" s="67"/>
      <c r="BT229" s="86"/>
      <c r="BU229" s="183"/>
      <c r="BV229" s="1"/>
      <c r="BW229" s="61">
        <f t="shared" si="189"/>
        <v>220</v>
      </c>
    </row>
    <row r="230" spans="2:75" x14ac:dyDescent="0.3">
      <c r="B230" s="171">
        <f t="shared" si="163"/>
        <v>44130</v>
      </c>
      <c r="C230" s="61"/>
      <c r="D230" s="17">
        <v>69841</v>
      </c>
      <c r="E230" s="16"/>
      <c r="F230" s="16"/>
      <c r="G230" s="16"/>
      <c r="H230" s="16">
        <f t="shared" ref="H230" si="211">+H229+D230</f>
        <v>8934961</v>
      </c>
      <c r="I230" s="16"/>
      <c r="J230" s="479">
        <f t="shared" ref="J230" si="212">+D230/H229</f>
        <v>7.8781787499774391E-3</v>
      </c>
      <c r="K230" s="16"/>
      <c r="L230" s="16"/>
      <c r="M230" s="16"/>
      <c r="N230" s="16">
        <f t="shared" ref="N230" si="213">SUM(D224:D230)</f>
        <v>491629</v>
      </c>
      <c r="O230" s="16">
        <f t="shared" ref="O230" si="214">+H230/BW230</f>
        <v>40429.687782805428</v>
      </c>
      <c r="P230" s="41"/>
      <c r="Q230" s="17">
        <f t="shared" si="161"/>
        <v>491629</v>
      </c>
      <c r="R230" s="16"/>
      <c r="S230" s="60">
        <f t="shared" si="162"/>
        <v>0.21227342106755634</v>
      </c>
      <c r="T230" s="16"/>
      <c r="U230" s="41"/>
      <c r="V230" s="10">
        <f t="shared" si="109"/>
        <v>122</v>
      </c>
      <c r="W230" s="34">
        <v>529</v>
      </c>
      <c r="X230" s="33"/>
      <c r="Y230" s="33"/>
      <c r="Z230" s="33"/>
      <c r="AA230" s="33">
        <f t="shared" ref="AA230" si="215">+AA229+W230</f>
        <v>230962</v>
      </c>
      <c r="AB230" s="33"/>
      <c r="AC230" s="46">
        <f t="shared" ref="AC230" si="216">+AA230/H230</f>
        <v>2.5849245452778138E-2</v>
      </c>
      <c r="AD230" s="33"/>
      <c r="AE230" s="33">
        <f t="shared" ref="AE230" si="217">+AA230/BW230</f>
        <v>1045.0769230769231</v>
      </c>
      <c r="AF230" s="50"/>
      <c r="AG230" s="33">
        <f t="shared" ref="AG230" si="218">SUM(W224:W230)</f>
        <v>5808</v>
      </c>
      <c r="AH230" s="33">
        <f t="shared" si="188"/>
        <v>796395543.34662843</v>
      </c>
      <c r="AI230" s="231">
        <f t="shared" ref="AI230" si="219">+(AG230-AG223)/AG223</f>
        <v>0.12930196383433792</v>
      </c>
      <c r="AJ230" s="50"/>
      <c r="AK230" s="10"/>
      <c r="AL230" s="23">
        <f t="shared" ref="AL230" si="220">+AP230-AP229</f>
        <v>61326</v>
      </c>
      <c r="AM230" s="24"/>
      <c r="AN230" s="24"/>
      <c r="AO230" s="24">
        <v>178263</v>
      </c>
      <c r="AP230" s="24">
        <v>5833824</v>
      </c>
      <c r="AQ230" s="24"/>
      <c r="AR230" s="504">
        <f t="shared" ref="AR230" si="221">+AL230/AP229</f>
        <v>1.0623823516266269E-2</v>
      </c>
      <c r="AS230" s="25"/>
      <c r="AT230" s="25"/>
      <c r="AU230" s="24"/>
      <c r="AV230" s="341">
        <f t="shared" ref="AV230" si="222">+AP230/H230</f>
        <v>0.65292103681258373</v>
      </c>
      <c r="AW230" s="341"/>
      <c r="AX230" s="24">
        <f t="shared" ref="AX230" si="223">+AP230/BW230</f>
        <v>26397.393665158372</v>
      </c>
      <c r="AY230" s="351"/>
      <c r="AZ230" s="10"/>
      <c r="BA230" s="66">
        <f t="shared" ref="BA230" si="224">+BC230-BC229</f>
        <v>1246764</v>
      </c>
      <c r="BB230" s="67"/>
      <c r="BC230" s="67">
        <v>134476092</v>
      </c>
      <c r="BD230" s="67"/>
      <c r="BE230" s="67">
        <f t="shared" ref="BE230" si="225">+D230</f>
        <v>69841</v>
      </c>
      <c r="BF230" s="67"/>
      <c r="BG230" s="156">
        <f t="shared" ref="BG230" si="226">+BE230/BA230</f>
        <v>5.6017818929645066E-2</v>
      </c>
      <c r="BH230" s="67"/>
      <c r="BI230" s="183"/>
      <c r="BJ230" s="67"/>
      <c r="BK230" s="67">
        <f t="shared" ref="BK230" si="227">SUM(BA224:BA230)</f>
        <v>7418985</v>
      </c>
      <c r="BL230" s="67"/>
      <c r="BM230" s="156">
        <f t="shared" ref="BM230" si="228">+Q230/BK230</f>
        <v>6.6266342363544339E-2</v>
      </c>
      <c r="BN230" s="66">
        <f t="shared" ref="BN230" si="229">+BC230/BW230</f>
        <v>608489.10407239816</v>
      </c>
      <c r="BO230" s="67"/>
      <c r="BP230" s="67">
        <f t="shared" ref="BP230" si="230">+BP229+BE230</f>
        <v>8592314</v>
      </c>
      <c r="BQ230" s="67"/>
      <c r="BR230" s="478">
        <f t="shared" ref="BR230" si="231">+BP230/BC230</f>
        <v>6.3894733050392338E-2</v>
      </c>
      <c r="BS230" s="67"/>
      <c r="BT230" s="86"/>
      <c r="BU230" s="183"/>
      <c r="BV230" s="1"/>
      <c r="BW230" s="61">
        <f t="shared" si="189"/>
        <v>221</v>
      </c>
    </row>
    <row r="231" spans="2:75" x14ac:dyDescent="0.3">
      <c r="B231" s="171">
        <f t="shared" si="163"/>
        <v>44131</v>
      </c>
      <c r="C231" s="61"/>
      <c r="D231" s="17">
        <v>75072</v>
      </c>
      <c r="E231" s="16"/>
      <c r="F231" s="16"/>
      <c r="G231" s="16"/>
      <c r="H231" s="16">
        <f t="shared" ref="H231" si="232">+H230+D231</f>
        <v>9010033</v>
      </c>
      <c r="I231" s="16"/>
      <c r="J231" s="479">
        <f t="shared" ref="J231" si="233">+D231/H230</f>
        <v>8.4020512232789828E-3</v>
      </c>
      <c r="K231" s="16"/>
      <c r="L231" s="16"/>
      <c r="M231" s="16"/>
      <c r="N231" s="16">
        <f t="shared" ref="N231" si="234">SUM(D225:D231)</f>
        <v>504629</v>
      </c>
      <c r="O231" s="16">
        <f t="shared" ref="O231" si="235">+H231/BW231</f>
        <v>40585.734234234231</v>
      </c>
      <c r="P231" s="41"/>
      <c r="Q231" s="17">
        <f t="shared" si="161"/>
        <v>504629</v>
      </c>
      <c r="R231" s="16"/>
      <c r="S231" s="60">
        <f t="shared" si="162"/>
        <v>0.21281433182481296</v>
      </c>
      <c r="T231" s="16"/>
      <c r="U231" s="41"/>
      <c r="V231" s="10">
        <f t="shared" si="109"/>
        <v>123</v>
      </c>
      <c r="W231" s="34">
        <v>1039</v>
      </c>
      <c r="X231" s="33"/>
      <c r="Y231" s="33"/>
      <c r="Z231" s="33"/>
      <c r="AA231" s="33">
        <f t="shared" ref="AA231" si="236">+AA230+W231</f>
        <v>232001</v>
      </c>
      <c r="AB231" s="33"/>
      <c r="AC231" s="46">
        <f t="shared" ref="AC231" si="237">+AA231/H231</f>
        <v>2.5749184270468267E-2</v>
      </c>
      <c r="AD231" s="33"/>
      <c r="AE231" s="33">
        <f t="shared" ref="AE231" si="238">+AA231/BW231</f>
        <v>1045.0495495495495</v>
      </c>
      <c r="AF231" s="50"/>
      <c r="AG231" s="33">
        <f t="shared" ref="AG231" si="239">SUM(W225:W231)</f>
        <v>5895</v>
      </c>
      <c r="AH231" s="33">
        <f t="shared" si="188"/>
        <v>796361761.34662843</v>
      </c>
      <c r="AI231" s="231">
        <f t="shared" ref="AI231" si="240">+(AG231-AG224)/AG224</f>
        <v>0.12242955064737243</v>
      </c>
      <c r="AJ231" s="50"/>
      <c r="AK231" s="10"/>
      <c r="AL231" s="23">
        <f t="shared" ref="AL231" si="241">+AP231-AP230</f>
        <v>44140</v>
      </c>
      <c r="AM231" s="24"/>
      <c r="AN231" s="24"/>
      <c r="AO231" s="24">
        <v>178263</v>
      </c>
      <c r="AP231" s="24">
        <v>5877964</v>
      </c>
      <c r="AQ231" s="24"/>
      <c r="AR231" s="504">
        <f t="shared" ref="AR231" si="242">+AL231/AP230</f>
        <v>7.5662207156060928E-3</v>
      </c>
      <c r="AS231" s="25"/>
      <c r="AT231" s="25"/>
      <c r="AU231" s="24"/>
      <c r="AV231" s="341">
        <f t="shared" ref="AV231" si="243">+AP231/H231</f>
        <v>0.65237985254881969</v>
      </c>
      <c r="AW231" s="341"/>
      <c r="AX231" s="24">
        <f t="shared" ref="AX231" si="244">+AP231/BW231</f>
        <v>26477.315315315314</v>
      </c>
      <c r="AY231" s="351"/>
      <c r="AZ231" s="10"/>
      <c r="BA231" s="66">
        <f t="shared" ref="BA231" si="245">+BC231-BC230</f>
        <v>948841</v>
      </c>
      <c r="BB231" s="67"/>
      <c r="BC231" s="67">
        <v>135424933</v>
      </c>
      <c r="BD231" s="67"/>
      <c r="BE231" s="67">
        <f t="shared" ref="BE231" si="246">+D231</f>
        <v>75072</v>
      </c>
      <c r="BF231" s="67"/>
      <c r="BG231" s="156">
        <f t="shared" ref="BG231" si="247">+BE231/BA231</f>
        <v>7.9119683909105953E-2</v>
      </c>
      <c r="BH231" s="67"/>
      <c r="BI231" s="183"/>
      <c r="BJ231" s="67"/>
      <c r="BK231" s="67">
        <f t="shared" ref="BK231" si="248">SUM(BA225:BA231)</f>
        <v>7590057</v>
      </c>
      <c r="BL231" s="67"/>
      <c r="BM231" s="156">
        <f t="shared" ref="BM231" si="249">+Q231/BK231</f>
        <v>6.6485534957115608E-2</v>
      </c>
      <c r="BN231" s="66">
        <f t="shared" ref="BN231" si="250">+BC231/BW231</f>
        <v>610022.22072072071</v>
      </c>
      <c r="BO231" s="67"/>
      <c r="BP231" s="67">
        <f t="shared" ref="BP231" si="251">+BP230+BE231</f>
        <v>8667386</v>
      </c>
      <c r="BQ231" s="67"/>
      <c r="BR231" s="478">
        <f t="shared" ref="BR231" si="252">+BP231/BC231</f>
        <v>6.4001405117918728E-2</v>
      </c>
      <c r="BS231" s="67"/>
      <c r="BT231" s="86"/>
      <c r="BU231" s="183"/>
      <c r="BV231" s="1"/>
      <c r="BW231" s="61">
        <f t="shared" si="189"/>
        <v>222</v>
      </c>
    </row>
    <row r="232" spans="2:75" x14ac:dyDescent="0.3">
      <c r="B232" s="171">
        <f t="shared" si="163"/>
        <v>44132</v>
      </c>
      <c r="C232" s="61"/>
      <c r="D232" s="17">
        <v>81581</v>
      </c>
      <c r="E232" s="16"/>
      <c r="F232" s="16"/>
      <c r="G232" s="16"/>
      <c r="H232" s="16">
        <f t="shared" ref="H232" si="253">+H231+D232</f>
        <v>9091614</v>
      </c>
      <c r="I232" s="16"/>
      <c r="J232" s="479">
        <f t="shared" ref="J232" si="254">+D232/H231</f>
        <v>9.0544618427035733E-3</v>
      </c>
      <c r="K232" s="16"/>
      <c r="L232" s="16"/>
      <c r="M232" s="16"/>
      <c r="N232" s="16">
        <f t="shared" ref="N232" si="255">SUM(D226:D232)</f>
        <v>522547</v>
      </c>
      <c r="O232" s="16">
        <f t="shared" ref="O232" si="256">+H232/BW232</f>
        <v>40769.569506726461</v>
      </c>
      <c r="P232" s="41"/>
      <c r="Q232" s="17">
        <f t="shared" si="161"/>
        <v>522547</v>
      </c>
      <c r="R232" s="16"/>
      <c r="S232" s="60">
        <f t="shared" si="162"/>
        <v>0.24400846563869624</v>
      </c>
      <c r="T232" s="16"/>
      <c r="U232" s="41"/>
      <c r="V232" s="10">
        <f t="shared" si="109"/>
        <v>124</v>
      </c>
      <c r="W232" s="34">
        <v>1030</v>
      </c>
      <c r="X232" s="33"/>
      <c r="Y232" s="33"/>
      <c r="Z232" s="33"/>
      <c r="AA232" s="33">
        <f t="shared" ref="AA232" si="257">+AA231+W232</f>
        <v>233031</v>
      </c>
      <c r="AB232" s="33"/>
      <c r="AC232" s="46">
        <f t="shared" ref="AC232" si="258">+AA232/H232</f>
        <v>2.5631422539496289E-2</v>
      </c>
      <c r="AD232" s="33"/>
      <c r="AE232" s="33">
        <f t="shared" ref="AE232" si="259">+AA232/BW232</f>
        <v>1044.982062780269</v>
      </c>
      <c r="AF232" s="50"/>
      <c r="AG232" s="33">
        <f t="shared" ref="AG232" si="260">SUM(W226:W232)</f>
        <v>5700</v>
      </c>
      <c r="AH232" s="33">
        <f t="shared" si="188"/>
        <v>796324343.34662843</v>
      </c>
      <c r="AI232" s="231">
        <f t="shared" ref="AI232" si="261">+(AG232-AG225)/AG225</f>
        <v>3.5046304703105137E-2</v>
      </c>
      <c r="AJ232" s="50"/>
      <c r="AK232" s="10"/>
      <c r="AL232" s="23">
        <f t="shared" ref="AL232" si="262">+AP232-AP231</f>
        <v>55248</v>
      </c>
      <c r="AM232" s="24"/>
      <c r="AN232" s="24"/>
      <c r="AO232" s="24">
        <v>178263</v>
      </c>
      <c r="AP232" s="24">
        <v>5933212</v>
      </c>
      <c r="AQ232" s="24"/>
      <c r="AR232" s="504">
        <f t="shared" ref="AR232" si="263">+AL232/AP231</f>
        <v>9.3991729108922756E-3</v>
      </c>
      <c r="AS232" s="25"/>
      <c r="AT232" s="25"/>
      <c r="AU232" s="24"/>
      <c r="AV232" s="341">
        <f t="shared" ref="AV232" si="264">+AP232/H232</f>
        <v>0.65260271718530949</v>
      </c>
      <c r="AW232" s="341"/>
      <c r="AX232" s="24">
        <f t="shared" ref="AX232" si="265">+AP232/BW232</f>
        <v>26606.331838565024</v>
      </c>
      <c r="AY232" s="351"/>
      <c r="AZ232" s="10"/>
      <c r="BA232" s="66">
        <f t="shared" ref="BA232" si="266">+BC232-BC231</f>
        <v>4769881</v>
      </c>
      <c r="BB232" s="67"/>
      <c r="BC232" s="67">
        <v>140194814</v>
      </c>
      <c r="BD232" s="67"/>
      <c r="BE232" s="67">
        <f t="shared" ref="BE232" si="267">+D232</f>
        <v>81581</v>
      </c>
      <c r="BF232" s="67"/>
      <c r="BG232" s="156">
        <f t="shared" ref="BG232" si="268">+BE232/BA232</f>
        <v>1.710336169812203E-2</v>
      </c>
      <c r="BH232" s="67"/>
      <c r="BI232" s="183"/>
      <c r="BJ232" s="67"/>
      <c r="BK232" s="67">
        <f t="shared" ref="BK232" si="269">SUM(BA226:BA232)</f>
        <v>11544657</v>
      </c>
      <c r="BL232" s="67"/>
      <c r="BM232" s="156">
        <f t="shared" ref="BM232" si="270">+Q232/BK232</f>
        <v>4.5263103096090253E-2</v>
      </c>
      <c r="BN232" s="66">
        <f t="shared" ref="BN232" si="271">+BC232/BW232</f>
        <v>628676.29596412554</v>
      </c>
      <c r="BO232" s="67"/>
      <c r="BP232" s="67">
        <f t="shared" ref="BP232" si="272">+BP231+BE232</f>
        <v>8748967</v>
      </c>
      <c r="BQ232" s="67"/>
      <c r="BR232" s="478">
        <f t="shared" ref="BR232" si="273">+BP232/BC232</f>
        <v>6.2405781999896229E-2</v>
      </c>
      <c r="BS232" s="67"/>
      <c r="BT232" s="86"/>
      <c r="BU232" s="183"/>
      <c r="BV232" s="1"/>
      <c r="BW232" s="61">
        <f t="shared" si="189"/>
        <v>223</v>
      </c>
    </row>
    <row r="233" spans="2:75" x14ac:dyDescent="0.3">
      <c r="B233" s="171">
        <f t="shared" si="163"/>
        <v>44133</v>
      </c>
      <c r="C233" s="61"/>
      <c r="D233" s="17">
        <v>91530</v>
      </c>
      <c r="E233" s="16"/>
      <c r="F233" s="16"/>
      <c r="G233" s="16"/>
      <c r="H233" s="16">
        <f t="shared" ref="H233" si="274">+H232+D233</f>
        <v>9183144</v>
      </c>
      <c r="I233" s="16"/>
      <c r="J233" s="479">
        <f t="shared" ref="J233" si="275">+D233/H232</f>
        <v>1.0067519364548473E-2</v>
      </c>
      <c r="K233" s="16"/>
      <c r="L233" s="16"/>
      <c r="M233" s="16"/>
      <c r="N233" s="16">
        <f t="shared" ref="N233" si="276">SUM(D227:D233)</f>
        <v>539776</v>
      </c>
      <c r="O233" s="16">
        <f t="shared" ref="O233" si="277">+H233/BW233</f>
        <v>40996.178571428572</v>
      </c>
      <c r="P233" s="41"/>
      <c r="Q233" s="17">
        <f t="shared" si="161"/>
        <v>539776</v>
      </c>
      <c r="R233" s="16"/>
      <c r="S233" s="60">
        <f t="shared" si="162"/>
        <v>0.2605021215581601</v>
      </c>
      <c r="T233" s="16"/>
      <c r="U233" s="41"/>
      <c r="V233" s="10">
        <f t="shared" si="109"/>
        <v>125</v>
      </c>
      <c r="W233" s="34">
        <v>1047</v>
      </c>
      <c r="X233" s="33"/>
      <c r="Y233" s="33"/>
      <c r="Z233" s="33"/>
      <c r="AA233" s="33">
        <f t="shared" ref="AA233" si="278">+AA232+W233</f>
        <v>234078</v>
      </c>
      <c r="AB233" s="33"/>
      <c r="AC233" s="46">
        <f t="shared" ref="AC233" si="279">+AA233/H233</f>
        <v>2.5489962914661907E-2</v>
      </c>
      <c r="AD233" s="33"/>
      <c r="AE233" s="33">
        <f t="shared" ref="AE233" si="280">+AA233/BW233</f>
        <v>1044.9910714285713</v>
      </c>
      <c r="AF233" s="50"/>
      <c r="AG233" s="33">
        <f t="shared" ref="AG233" si="281">SUM(W227:W233)</f>
        <v>5774</v>
      </c>
      <c r="AH233" s="33">
        <f t="shared" ref="AH233" si="282">SUM(D204:D404)</f>
        <v>796280116.34662843</v>
      </c>
      <c r="AI233" s="231">
        <f t="shared" ref="AI233" si="283">+(AG233-AG226)/AG226</f>
        <v>2.9967891544773455E-2</v>
      </c>
      <c r="AJ233" s="50"/>
      <c r="AK233" s="10"/>
      <c r="AL233" s="23">
        <f t="shared" ref="AL233" si="284">+AP233-AP232</f>
        <v>50133</v>
      </c>
      <c r="AM233" s="24"/>
      <c r="AN233" s="24"/>
      <c r="AO233" s="24">
        <v>178263</v>
      </c>
      <c r="AP233" s="24">
        <v>5983345</v>
      </c>
      <c r="AQ233" s="24"/>
      <c r="AR233" s="504">
        <f t="shared" ref="AR233" si="285">+AL233/AP232</f>
        <v>8.449554811120856E-3</v>
      </c>
      <c r="AS233" s="25"/>
      <c r="AT233" s="25"/>
      <c r="AU233" s="24"/>
      <c r="AV233" s="341">
        <f t="shared" ref="AV233" si="286">+AP233/H233</f>
        <v>0.65155735334216691</v>
      </c>
      <c r="AW233" s="341"/>
      <c r="AX233" s="24">
        <f t="shared" ref="AX233" si="287">+AP233/BW233</f>
        <v>26711.361607142859</v>
      </c>
      <c r="AY233" s="351"/>
      <c r="AZ233" s="10"/>
      <c r="BA233" s="66">
        <f t="shared" ref="BA233" si="288">+BC233-BC232</f>
        <v>1474514</v>
      </c>
      <c r="BB233" s="67"/>
      <c r="BC233" s="67">
        <v>141669328</v>
      </c>
      <c r="BD233" s="67"/>
      <c r="BE233" s="67">
        <f t="shared" ref="BE233" si="289">+D233</f>
        <v>91530</v>
      </c>
      <c r="BF233" s="67"/>
      <c r="BG233" s="156">
        <f t="shared" ref="BG233" si="290">+BE233/BA233</f>
        <v>6.2074690372556654E-2</v>
      </c>
      <c r="BH233" s="67"/>
      <c r="BI233" s="183"/>
      <c r="BJ233" s="67"/>
      <c r="BK233" s="67">
        <f t="shared" ref="BK233" si="291">SUM(BA227:BA233)</f>
        <v>11864760</v>
      </c>
      <c r="BL233" s="67"/>
      <c r="BM233" s="156">
        <f t="shared" ref="BM233" si="292">+Q233/BK233</f>
        <v>4.5494051291387269E-2</v>
      </c>
      <c r="BN233" s="66">
        <f t="shared" ref="BN233" si="293">+BC233/BW233</f>
        <v>632452.35714285716</v>
      </c>
      <c r="BO233" s="67"/>
      <c r="BP233" s="67">
        <f t="shared" ref="BP233" si="294">+BP232+BE233</f>
        <v>8840497</v>
      </c>
      <c r="BQ233" s="67"/>
      <c r="BR233" s="478">
        <f t="shared" ref="BR233" si="295">+BP233/BC233</f>
        <v>6.2402335952352367E-2</v>
      </c>
      <c r="BS233" s="67"/>
      <c r="BT233" s="86"/>
      <c r="BU233" s="183"/>
      <c r="BV233" s="1"/>
      <c r="BW233" s="61">
        <f t="shared" si="189"/>
        <v>224</v>
      </c>
    </row>
    <row r="234" spans="2:75" x14ac:dyDescent="0.3">
      <c r="B234" s="171">
        <f t="shared" si="163"/>
        <v>44134</v>
      </c>
      <c r="C234" s="61"/>
      <c r="D234" s="17">
        <v>101461</v>
      </c>
      <c r="E234" s="16"/>
      <c r="F234" s="16"/>
      <c r="G234" s="16"/>
      <c r="H234" s="16">
        <f t="shared" ref="H234" si="296">+H233+D234</f>
        <v>9284605</v>
      </c>
      <c r="I234" s="16"/>
      <c r="J234" s="479">
        <f t="shared" ref="J234" si="297">+D234/H233</f>
        <v>1.1048612544897477E-2</v>
      </c>
      <c r="K234" s="16"/>
      <c r="L234" s="16"/>
      <c r="M234" s="16"/>
      <c r="N234" s="16">
        <f t="shared" ref="N234" si="298">SUM(D228:D234)</f>
        <v>559823</v>
      </c>
      <c r="O234" s="16">
        <f t="shared" ref="O234" si="299">+H234/BW234</f>
        <v>41264.911111111112</v>
      </c>
      <c r="P234" s="41"/>
      <c r="Q234" s="17">
        <f t="shared" si="161"/>
        <v>559823</v>
      </c>
      <c r="R234" s="16"/>
      <c r="S234" s="60">
        <f t="shared" si="162"/>
        <v>0.27828062564219658</v>
      </c>
      <c r="T234" s="16"/>
      <c r="U234" s="41"/>
      <c r="V234" s="10">
        <f t="shared" si="109"/>
        <v>126</v>
      </c>
      <c r="W234" s="34">
        <v>988</v>
      </c>
      <c r="X234" s="33"/>
      <c r="Y234" s="33"/>
      <c r="Z234" s="33"/>
      <c r="AA234" s="33">
        <f t="shared" ref="AA234" si="300">+AA233+W234</f>
        <v>235066</v>
      </c>
      <c r="AB234" s="33"/>
      <c r="AC234" s="46">
        <f t="shared" ref="AC234" si="301">+AA234/H234</f>
        <v>2.5317824506266018E-2</v>
      </c>
      <c r="AD234" s="33"/>
      <c r="AE234" s="33">
        <f t="shared" ref="AE234" si="302">+AA234/BW234</f>
        <v>1044.7377777777779</v>
      </c>
      <c r="AF234" s="50"/>
      <c r="AG234" s="33">
        <f t="shared" ref="AG234" si="303">SUM(W228:W234)</f>
        <v>5859</v>
      </c>
      <c r="AH234" s="33">
        <f t="shared" ref="AH234" si="304">SUM(D205:D405)</f>
        <v>796239187.34662843</v>
      </c>
      <c r="AI234" s="231">
        <f t="shared" ref="AI234" si="305">+(AG234-AG227)/AG227</f>
        <v>4.9811861673535206E-2</v>
      </c>
      <c r="AJ234" s="50"/>
      <c r="AK234" s="10"/>
      <c r="AL234" s="23">
        <f t="shared" ref="AL234" si="306">+AP234-AP233</f>
        <v>41167</v>
      </c>
      <c r="AM234" s="24"/>
      <c r="AN234" s="24"/>
      <c r="AO234" s="24">
        <v>178263</v>
      </c>
      <c r="AP234" s="24">
        <v>6024512</v>
      </c>
      <c r="AQ234" s="24"/>
      <c r="AR234" s="504">
        <f t="shared" ref="AR234" si="307">+AL234/AP233</f>
        <v>6.8802651359732726E-3</v>
      </c>
      <c r="AS234" s="25"/>
      <c r="AT234" s="25"/>
      <c r="AU234" s="24"/>
      <c r="AV234" s="341">
        <f t="shared" ref="AV234" si="308">+AP234/H234</f>
        <v>0.64887111514167806</v>
      </c>
      <c r="AW234" s="341"/>
      <c r="AX234" s="24">
        <f t="shared" ref="AX234" si="309">+AP234/BW234</f>
        <v>26775.608888888888</v>
      </c>
      <c r="AY234" s="351"/>
      <c r="AZ234" s="10"/>
      <c r="BA234" s="66">
        <f t="shared" ref="BA234" si="310">+BC234-BC233</f>
        <v>1281025</v>
      </c>
      <c r="BB234" s="67"/>
      <c r="BC234" s="67">
        <v>142950353</v>
      </c>
      <c r="BD234" s="67"/>
      <c r="BE234" s="67">
        <f t="shared" ref="BE234" si="311">+D234</f>
        <v>101461</v>
      </c>
      <c r="BF234" s="67"/>
      <c r="BG234" s="156">
        <f t="shared" ref="BG234" si="312">+BE234/BA234</f>
        <v>7.9202981987080659E-2</v>
      </c>
      <c r="BH234" s="67"/>
      <c r="BI234" s="183"/>
      <c r="BJ234" s="67"/>
      <c r="BK234" s="67">
        <f t="shared" ref="BK234" si="313">SUM(BA228:BA234)</f>
        <v>11893640</v>
      </c>
      <c r="BL234" s="67"/>
      <c r="BM234" s="156">
        <f t="shared" ref="BM234" si="314">+Q234/BK234</f>
        <v>4.7069105841441305E-2</v>
      </c>
      <c r="BN234" s="66">
        <f t="shared" ref="BN234" si="315">+BC234/BW234</f>
        <v>635334.90222222218</v>
      </c>
      <c r="BO234" s="67"/>
      <c r="BP234" s="67">
        <f t="shared" ref="BP234" si="316">+BP233+BE234</f>
        <v>8941958</v>
      </c>
      <c r="BQ234" s="67"/>
      <c r="BR234" s="478">
        <f t="shared" ref="BR234" si="317">+BP234/BC234</f>
        <v>6.2552892051969955E-2</v>
      </c>
      <c r="BS234" s="67"/>
      <c r="BT234" s="86"/>
      <c r="BU234" s="183"/>
      <c r="BV234" s="1"/>
      <c r="BW234" s="61">
        <f t="shared" si="189"/>
        <v>225</v>
      </c>
    </row>
    <row r="235" spans="2:75" x14ac:dyDescent="0.3">
      <c r="B235" s="171">
        <f t="shared" si="163"/>
        <v>44135</v>
      </c>
      <c r="C235" s="61"/>
      <c r="D235" s="17">
        <v>86293</v>
      </c>
      <c r="E235" s="16"/>
      <c r="F235" s="16"/>
      <c r="G235" s="16"/>
      <c r="H235" s="16">
        <f t="shared" ref="H235" si="318">+H234+D235</f>
        <v>9370898</v>
      </c>
      <c r="I235" s="16"/>
      <c r="J235" s="479">
        <f t="shared" ref="J235" si="319">+D235/H234</f>
        <v>9.2942026074345659E-3</v>
      </c>
      <c r="K235" s="16"/>
      <c r="L235" s="16"/>
      <c r="M235" s="16"/>
      <c r="N235" s="16">
        <f>SUM(D205:D235)</f>
        <v>1906897</v>
      </c>
      <c r="O235" s="16">
        <f t="shared" ref="O235" si="320">+H235/BW235</f>
        <v>41464.150442477876</v>
      </c>
      <c r="P235" s="41"/>
      <c r="Q235" s="17">
        <f t="shared" si="161"/>
        <v>566667</v>
      </c>
      <c r="R235" s="16"/>
      <c r="S235" s="60">
        <f t="shared" si="162"/>
        <v>0.22346151604065057</v>
      </c>
      <c r="T235" s="16"/>
      <c r="U235" s="41"/>
      <c r="V235" s="10">
        <f t="shared" si="109"/>
        <v>127</v>
      </c>
      <c r="W235" s="34">
        <v>914</v>
      </c>
      <c r="X235" s="33"/>
      <c r="Y235" s="33"/>
      <c r="Z235" s="33"/>
      <c r="AA235" s="33">
        <f t="shared" ref="AA235" si="321">+AA234+W235</f>
        <v>235980</v>
      </c>
      <c r="AB235" s="33"/>
      <c r="AC235" s="46">
        <f t="shared" ref="AC235" si="322">+AA235/H235</f>
        <v>2.5182218395718318E-2</v>
      </c>
      <c r="AD235" s="33"/>
      <c r="AE235" s="33">
        <f t="shared" ref="AE235" si="323">+AA235/BW235</f>
        <v>1044.1592920353983</v>
      </c>
      <c r="AF235" s="50"/>
      <c r="AG235" s="33">
        <f t="shared" ref="AG235" si="324">SUM(W229:W235)</f>
        <v>5989</v>
      </c>
      <c r="AH235" s="33">
        <f t="shared" ref="AH235" si="325">SUM(D206:D406)</f>
        <v>796191798.34662843</v>
      </c>
      <c r="AI235" s="231">
        <f t="shared" ref="AI235" si="326">+(AG235-AG228)/AG228</f>
        <v>4.5748210232233279E-2</v>
      </c>
      <c r="AJ235" s="50"/>
      <c r="AK235" s="10"/>
      <c r="AL235" s="23">
        <f t="shared" ref="AL235" si="327">+AP235-AP234</f>
        <v>37926</v>
      </c>
      <c r="AM235" s="24"/>
      <c r="AN235" s="24"/>
      <c r="AO235" s="24">
        <v>178263</v>
      </c>
      <c r="AP235" s="24">
        <v>6062438</v>
      </c>
      <c r="AQ235" s="24"/>
      <c r="AR235" s="504">
        <f t="shared" ref="AR235" si="328">+AL235/AP234</f>
        <v>6.2952816759266148E-3</v>
      </c>
      <c r="AS235" s="25"/>
      <c r="AT235" s="25"/>
      <c r="AU235" s="24"/>
      <c r="AV235" s="341">
        <f t="shared" ref="AV235" si="329">+AP235/H235</f>
        <v>0.6469431211395108</v>
      </c>
      <c r="AW235" s="341"/>
      <c r="AX235" s="24">
        <f t="shared" ref="AX235" si="330">+AP235/BW235</f>
        <v>26824.946902654869</v>
      </c>
      <c r="AY235" s="351"/>
      <c r="AZ235" s="10"/>
      <c r="BA235" s="66">
        <f t="shared" ref="BA235" si="331">+BC235-BC234</f>
        <v>1235921</v>
      </c>
      <c r="BB235" s="67"/>
      <c r="BC235" s="67">
        <v>144186274</v>
      </c>
      <c r="BD235" s="67"/>
      <c r="BE235" s="67">
        <f t="shared" ref="BE235" si="332">+D235</f>
        <v>86293</v>
      </c>
      <c r="BF235" s="67"/>
      <c r="BG235" s="156">
        <f t="shared" ref="BG235" si="333">+BE235/BA235</f>
        <v>6.9820805698746116E-2</v>
      </c>
      <c r="BH235" s="67"/>
      <c r="BI235" s="183"/>
      <c r="BJ235" s="67"/>
      <c r="BK235" s="67">
        <f t="shared" ref="BK235" si="334">SUM(BA229:BA235)</f>
        <v>11977781</v>
      </c>
      <c r="BL235" s="67"/>
      <c r="BM235" s="156">
        <f t="shared" ref="BM235" si="335">+Q235/BK235</f>
        <v>4.7309848126293179E-2</v>
      </c>
      <c r="BN235" s="66">
        <f t="shared" ref="BN235" si="336">+BC235/BW235</f>
        <v>637992.36283185845</v>
      </c>
      <c r="BO235" s="67"/>
      <c r="BP235" s="67">
        <f t="shared" ref="BP235" si="337">+BP234+BE235</f>
        <v>9028251</v>
      </c>
      <c r="BQ235" s="67"/>
      <c r="BR235" s="478">
        <f t="shared" ref="BR235" si="338">+BP235/BC235</f>
        <v>6.2615190402936685E-2</v>
      </c>
      <c r="BS235" s="67"/>
      <c r="BT235" s="86"/>
      <c r="BU235" s="183"/>
      <c r="BV235" s="1"/>
      <c r="BW235" s="61">
        <f t="shared" si="189"/>
        <v>226</v>
      </c>
    </row>
    <row r="236" spans="2:75" x14ac:dyDescent="0.3">
      <c r="B236" s="390">
        <f t="shared" si="163"/>
        <v>44136</v>
      </c>
      <c r="C236" s="61"/>
      <c r="D236" s="17">
        <v>71321</v>
      </c>
      <c r="E236" s="16"/>
      <c r="F236" s="16"/>
      <c r="G236" s="16"/>
      <c r="H236" s="16">
        <f t="shared" ref="H236" si="339">+H235+D236</f>
        <v>9442219</v>
      </c>
      <c r="I236" s="16"/>
      <c r="J236" s="479">
        <f t="shared" ref="J236" si="340">+D236/H235</f>
        <v>7.6109034587720408E-3</v>
      </c>
      <c r="K236" s="16"/>
      <c r="L236" s="16"/>
      <c r="M236" s="16"/>
      <c r="N236" s="16">
        <f t="shared" ref="N236" si="341">SUM(D230:D236)</f>
        <v>577099</v>
      </c>
      <c r="O236" s="16">
        <f t="shared" ref="O236" si="342">+H236/BW236</f>
        <v>41595.678414096918</v>
      </c>
      <c r="P236" s="41"/>
      <c r="Q236" s="17">
        <f t="shared" si="161"/>
        <v>577099</v>
      </c>
      <c r="R236" s="16"/>
      <c r="S236" s="60">
        <f t="shared" si="162"/>
        <v>0.20451039938219426</v>
      </c>
      <c r="T236" s="16"/>
      <c r="U236" s="41"/>
      <c r="V236" s="10">
        <f t="shared" si="109"/>
        <v>128</v>
      </c>
      <c r="W236" s="34">
        <v>399</v>
      </c>
      <c r="X236" s="33"/>
      <c r="Y236" s="33"/>
      <c r="Z236" s="33"/>
      <c r="AA236" s="33">
        <f t="shared" ref="AA236" si="343">+AA235+W236</f>
        <v>236379</v>
      </c>
      <c r="AB236" s="33"/>
      <c r="AC236" s="46">
        <f t="shared" ref="AC236" si="344">+AA236/H236</f>
        <v>2.5034263661963357E-2</v>
      </c>
      <c r="AD236" s="33"/>
      <c r="AE236" s="33">
        <f t="shared" ref="AE236" si="345">+AA236/BW236</f>
        <v>1041.3171806167402</v>
      </c>
      <c r="AF236" s="50"/>
      <c r="AG236" s="33">
        <f t="shared" ref="AG236" si="346">SUM(W230:W236)</f>
        <v>5946</v>
      </c>
      <c r="AH236" s="33">
        <f t="shared" ref="AH236" si="347">SUM(D207:D407)</f>
        <v>796140395.34662843</v>
      </c>
      <c r="AI236" s="231">
        <f t="shared" ref="AI236" si="348">+(AG236-AG229)/AG229</f>
        <v>3.9328788673308863E-2</v>
      </c>
      <c r="AJ236" s="50"/>
      <c r="AK236" s="391"/>
      <c r="AL236" s="23">
        <f t="shared" ref="AL236" si="349">+AP236-AP235</f>
        <v>41167</v>
      </c>
      <c r="AM236" s="24"/>
      <c r="AN236" s="24"/>
      <c r="AO236" s="24">
        <v>178263</v>
      </c>
      <c r="AP236" s="24">
        <v>6103605</v>
      </c>
      <c r="AQ236" s="24"/>
      <c r="AR236" s="504">
        <f t="shared" ref="AR236" si="350">+AL236/AP235</f>
        <v>6.7905024348290238E-3</v>
      </c>
      <c r="AS236" s="25"/>
      <c r="AT236" s="25"/>
      <c r="AU236" s="24"/>
      <c r="AV236" s="341">
        <f t="shared" ref="AV236" si="351">+AP236/H236</f>
        <v>0.64641637733672563</v>
      </c>
      <c r="AW236" s="341"/>
      <c r="AX236" s="24">
        <f t="shared" ref="AX236" si="352">+AP236/BW236</f>
        <v>26888.127753303965</v>
      </c>
      <c r="AY236" s="351"/>
      <c r="AZ236" s="391"/>
      <c r="BA236" s="66">
        <f t="shared" ref="BA236" si="353">+BC236-BC235</f>
        <v>851151</v>
      </c>
      <c r="BB236" s="67"/>
      <c r="BC236" s="67">
        <v>145037425</v>
      </c>
      <c r="BD236" s="67"/>
      <c r="BE236" s="67">
        <f t="shared" ref="BE236" si="354">+D236</f>
        <v>71321</v>
      </c>
      <c r="BF236" s="67"/>
      <c r="BG236" s="156">
        <f t="shared" ref="BG236" si="355">+BE236/BA236</f>
        <v>8.3793592441294196E-2</v>
      </c>
      <c r="BH236" s="67"/>
      <c r="BI236" s="183"/>
      <c r="BJ236" s="67"/>
      <c r="BK236" s="67">
        <f t="shared" ref="BK236" si="356">SUM(BA230:BA236)</f>
        <v>11808097</v>
      </c>
      <c r="BL236" s="67"/>
      <c r="BM236" s="156">
        <f t="shared" ref="BM236" si="357">+Q236/BK236</f>
        <v>4.8873158816361346E-2</v>
      </c>
      <c r="BN236" s="66">
        <f t="shared" ref="BN236" si="358">+BC236/BW236</f>
        <v>638931.38766519818</v>
      </c>
      <c r="BO236" s="67"/>
      <c r="BP236" s="67">
        <f t="shared" ref="BP236" si="359">+BP235+BE236</f>
        <v>9099572</v>
      </c>
      <c r="BQ236" s="67"/>
      <c r="BR236" s="478">
        <f t="shared" ref="BR236" si="360">+BP236/BC236</f>
        <v>6.2739475690498508E-2</v>
      </c>
      <c r="BS236" s="67"/>
      <c r="BT236" s="86"/>
      <c r="BU236" s="183"/>
      <c r="BV236" s="1"/>
      <c r="BW236" s="61">
        <f t="shared" si="189"/>
        <v>227</v>
      </c>
    </row>
    <row r="237" spans="2:75" x14ac:dyDescent="0.3">
      <c r="B237" s="171">
        <f t="shared" si="163"/>
        <v>44137</v>
      </c>
      <c r="C237" s="61"/>
      <c r="D237" s="17">
        <v>88905</v>
      </c>
      <c r="E237" s="16"/>
      <c r="F237" s="16"/>
      <c r="G237" s="16"/>
      <c r="H237" s="16">
        <f t="shared" ref="H237" si="361">+H236+D237</f>
        <v>9531124</v>
      </c>
      <c r="I237" s="16"/>
      <c r="J237" s="479">
        <f t="shared" ref="J237" si="362">+D237/H236</f>
        <v>9.4156892569426734E-3</v>
      </c>
      <c r="K237" s="16"/>
      <c r="L237" s="16"/>
      <c r="M237" s="16"/>
      <c r="N237" s="16">
        <f t="shared" ref="N237" si="363">SUM(D231:D237)</f>
        <v>596163</v>
      </c>
      <c r="O237" s="16">
        <f t="shared" ref="O237" si="364">+H237/BW237</f>
        <v>41803.175438596489</v>
      </c>
      <c r="P237" s="41"/>
      <c r="Q237" s="17">
        <f t="shared" ref="Q237" si="365">SUM(D231:D237)</f>
        <v>596163</v>
      </c>
      <c r="R237" s="16"/>
      <c r="S237" s="60">
        <f t="shared" ref="S237" si="366">+(Q237-Q230)/Q230</f>
        <v>0.21262781487666513</v>
      </c>
      <c r="T237" s="16"/>
      <c r="U237" s="41"/>
      <c r="V237" s="10">
        <f t="shared" si="109"/>
        <v>129</v>
      </c>
      <c r="W237" s="34">
        <v>522</v>
      </c>
      <c r="X237" s="33"/>
      <c r="Y237" s="33"/>
      <c r="Z237" s="33"/>
      <c r="AA237" s="33">
        <f t="shared" ref="AA237" si="367">+AA236+W237</f>
        <v>236901</v>
      </c>
      <c r="AB237" s="33"/>
      <c r="AC237" s="46">
        <f t="shared" ref="AC237" si="368">+AA237/H237</f>
        <v>2.4855515467011025E-2</v>
      </c>
      <c r="AD237" s="33"/>
      <c r="AE237" s="33">
        <f t="shared" ref="AE237" si="369">+AA237/BW237</f>
        <v>1039.0394736842106</v>
      </c>
      <c r="AF237" s="50"/>
      <c r="AG237" s="33">
        <f t="shared" ref="AG237" si="370">SUM(W231:W237)</f>
        <v>5939</v>
      </c>
      <c r="AH237" s="33">
        <f t="shared" ref="AH237" si="371">SUM(D208:D408)</f>
        <v>796091470.34662843</v>
      </c>
      <c r="AI237" s="231">
        <f t="shared" ref="AI237" si="372">+(AG237-AG230)/AG230</f>
        <v>2.2555096418732781E-2</v>
      </c>
      <c r="AJ237" s="50"/>
      <c r="AK237" s="10"/>
      <c r="AL237" s="23">
        <f t="shared" ref="AL237" si="373">+AP237-AP236</f>
        <v>67797</v>
      </c>
      <c r="AM237" s="24"/>
      <c r="AN237" s="24"/>
      <c r="AO237" s="24">
        <v>178263</v>
      </c>
      <c r="AP237" s="24">
        <v>6171402</v>
      </c>
      <c r="AQ237" s="24"/>
      <c r="AR237" s="504">
        <f t="shared" ref="AR237" si="374">+AL237/AP236</f>
        <v>1.1107697827759168E-2</v>
      </c>
      <c r="AS237" s="25"/>
      <c r="AT237" s="25"/>
      <c r="AU237" s="24"/>
      <c r="AV237" s="341">
        <f t="shared" ref="AV237" si="375">+AP237/H237</f>
        <v>0.6474999171136584</v>
      </c>
      <c r="AW237" s="341"/>
      <c r="AX237" s="24">
        <f t="shared" ref="AX237" si="376">+AP237/BW237</f>
        <v>27067.552631578947</v>
      </c>
      <c r="AY237" s="351"/>
      <c r="AZ237" s="10"/>
      <c r="BA237" s="66">
        <f t="shared" ref="BA237" si="377">+BC237-BC236</f>
        <v>4657343</v>
      </c>
      <c r="BB237" s="67"/>
      <c r="BC237" s="67">
        <v>149694768</v>
      </c>
      <c r="BD237" s="67"/>
      <c r="BE237" s="67">
        <f t="shared" ref="BE237" si="378">+D237</f>
        <v>88905</v>
      </c>
      <c r="BF237" s="67"/>
      <c r="BG237" s="156">
        <f t="shared" ref="BG237" si="379">+BE237/BA237</f>
        <v>1.9089210307250293E-2</v>
      </c>
      <c r="BH237" s="67"/>
      <c r="BI237" s="183"/>
      <c r="BJ237" s="67"/>
      <c r="BK237" s="67">
        <f t="shared" ref="BK237" si="380">SUM(BA231:BA237)</f>
        <v>15218676</v>
      </c>
      <c r="BL237" s="67"/>
      <c r="BM237" s="156">
        <f t="shared" ref="BM237" si="381">+Q237/BK237</f>
        <v>3.9173118607689655E-2</v>
      </c>
      <c r="BN237" s="66">
        <f t="shared" ref="BN237" si="382">+BC237/BW237</f>
        <v>656556</v>
      </c>
      <c r="BO237" s="67"/>
      <c r="BP237" s="67">
        <f t="shared" ref="BP237" si="383">+BP236+BE237</f>
        <v>9188477</v>
      </c>
      <c r="BQ237" s="67"/>
      <c r="BR237" s="478">
        <f t="shared" ref="BR237" si="384">+BP237/BC237</f>
        <v>6.1381417151466507E-2</v>
      </c>
      <c r="BS237" s="67"/>
      <c r="BT237" s="86"/>
      <c r="BU237" s="183"/>
      <c r="BV237" s="1"/>
      <c r="BW237" s="61">
        <f t="shared" si="189"/>
        <v>228</v>
      </c>
    </row>
    <row r="238" spans="2:75" x14ac:dyDescent="0.3">
      <c r="B238" s="171">
        <f t="shared" si="163"/>
        <v>44138</v>
      </c>
      <c r="C238" s="61"/>
      <c r="D238" s="17">
        <v>94467</v>
      </c>
      <c r="E238" s="16"/>
      <c r="F238" s="16"/>
      <c r="G238" s="16"/>
      <c r="H238" s="16">
        <f t="shared" ref="H238" si="385">+H237+D238</f>
        <v>9625591</v>
      </c>
      <c r="I238" s="16"/>
      <c r="J238" s="479">
        <f t="shared" ref="J238" si="386">+D238/H237</f>
        <v>9.9114228290388424E-3</v>
      </c>
      <c r="K238" s="16"/>
      <c r="L238" s="16"/>
      <c r="M238" s="16"/>
      <c r="N238" s="16">
        <f t="shared" ref="N238" si="387">SUM(D232:D238)</f>
        <v>615558</v>
      </c>
      <c r="O238" s="16">
        <f t="shared" ref="O238" si="388">+H238/BW238</f>
        <v>42033.148471615721</v>
      </c>
      <c r="P238" s="41"/>
      <c r="Q238" s="17">
        <f t="shared" ref="Q238" si="389">SUM(D232:D238)</f>
        <v>615558</v>
      </c>
      <c r="R238" s="16"/>
      <c r="S238" s="60">
        <f t="shared" ref="S238" si="390">+(Q238-Q231)/Q231</f>
        <v>0.21982287977900597</v>
      </c>
      <c r="T238" s="16"/>
      <c r="U238" s="41"/>
      <c r="V238" s="10">
        <f t="shared" si="109"/>
        <v>130</v>
      </c>
      <c r="W238" s="34">
        <v>1187</v>
      </c>
      <c r="X238" s="33"/>
      <c r="Y238" s="33"/>
      <c r="Z238" s="33"/>
      <c r="AA238" s="33">
        <f t="shared" ref="AA238" si="391">+AA237+W238</f>
        <v>238088</v>
      </c>
      <c r="AB238" s="33"/>
      <c r="AC238" s="46">
        <f t="shared" ref="AC238" si="392">+AA238/H238</f>
        <v>2.4734896797505731E-2</v>
      </c>
      <c r="AD238" s="33"/>
      <c r="AE238" s="33">
        <f t="shared" ref="AE238" si="393">+AA238/BW238</f>
        <v>1039.6855895196506</v>
      </c>
      <c r="AF238" s="50"/>
      <c r="AG238" s="33">
        <f t="shared" ref="AG238" si="394">SUM(W232:W238)</f>
        <v>6087</v>
      </c>
      <c r="AH238" s="33">
        <f t="shared" ref="AH238" si="395">SUM(D209:D409)</f>
        <v>796057404.34662843</v>
      </c>
      <c r="AI238" s="231">
        <f t="shared" ref="AI238" si="396">+(AG238-AG231)/AG231</f>
        <v>3.2569974554707379E-2</v>
      </c>
      <c r="AJ238" s="50"/>
      <c r="AK238" s="10"/>
      <c r="AL238" s="23">
        <f t="shared" ref="AL238" si="397">+AP238-AP237</f>
        <v>64768</v>
      </c>
      <c r="AM238" s="24"/>
      <c r="AN238" s="24"/>
      <c r="AO238" s="24">
        <v>178263</v>
      </c>
      <c r="AP238" s="24">
        <v>6236170</v>
      </c>
      <c r="AQ238" s="24"/>
      <c r="AR238" s="504">
        <f t="shared" ref="AR238" si="398">+AL238/AP237</f>
        <v>1.0494860001017597E-2</v>
      </c>
      <c r="AS238" s="25"/>
      <c r="AT238" s="25"/>
      <c r="AU238" s="24"/>
      <c r="AV238" s="341">
        <f t="shared" ref="AV238" si="399">+AP238/H238</f>
        <v>0.64787398508829219</v>
      </c>
      <c r="AW238" s="341"/>
      <c r="AX238" s="24">
        <f t="shared" ref="AX238" si="400">+AP238/BW238</f>
        <v>27232.183406113538</v>
      </c>
      <c r="AY238" s="351"/>
      <c r="AZ238" s="10"/>
      <c r="BA238" s="66">
        <f t="shared" ref="BA238" si="401">+BC238-BC237</f>
        <v>1154241</v>
      </c>
      <c r="BB238" s="67"/>
      <c r="BC238" s="67">
        <v>150849009</v>
      </c>
      <c r="BD238" s="67"/>
      <c r="BE238" s="67">
        <f t="shared" ref="BE238" si="402">+D238</f>
        <v>94467</v>
      </c>
      <c r="BF238" s="67"/>
      <c r="BG238" s="156">
        <f t="shared" ref="BG238" si="403">+BE238/BA238</f>
        <v>8.1843393190850086E-2</v>
      </c>
      <c r="BH238" s="67"/>
      <c r="BI238" s="183"/>
      <c r="BJ238" s="67"/>
      <c r="BK238" s="67">
        <f t="shared" ref="BK238" si="404">SUM(BA232:BA238)</f>
        <v>15424076</v>
      </c>
      <c r="BL238" s="67"/>
      <c r="BM238" s="156">
        <f t="shared" ref="BM238" si="405">+Q238/BK238</f>
        <v>3.9908906050514795E-2</v>
      </c>
      <c r="BN238" s="66">
        <f t="shared" ref="BN238" si="406">+BC238/BW238</f>
        <v>658729.29694323149</v>
      </c>
      <c r="BO238" s="67"/>
      <c r="BP238" s="67">
        <f t="shared" ref="BP238" si="407">+BP237+BE238</f>
        <v>9282944</v>
      </c>
      <c r="BQ238" s="67"/>
      <c r="BR238" s="478">
        <f t="shared" ref="BR238" si="408">+BP238/BC238</f>
        <v>6.1537984647946874E-2</v>
      </c>
      <c r="BS238" s="67"/>
      <c r="BT238" s="86"/>
      <c r="BU238" s="183"/>
      <c r="BV238" s="1"/>
      <c r="BW238" s="61">
        <f t="shared" si="189"/>
        <v>229</v>
      </c>
    </row>
    <row r="239" spans="2:75" x14ac:dyDescent="0.3">
      <c r="B239" s="171">
        <f t="shared" si="163"/>
        <v>44139</v>
      </c>
      <c r="C239" s="61"/>
      <c r="D239" s="17">
        <v>108389</v>
      </c>
      <c r="E239" s="16"/>
      <c r="F239" s="16"/>
      <c r="G239" s="16"/>
      <c r="H239" s="16">
        <f t="shared" ref="H239" si="409">+H238+D239</f>
        <v>9733980</v>
      </c>
      <c r="I239" s="16"/>
      <c r="J239" s="479">
        <f t="shared" ref="J239" si="410">+D239/H238</f>
        <v>1.1260503381039148E-2</v>
      </c>
      <c r="K239" s="16"/>
      <c r="L239" s="16"/>
      <c r="M239" s="16"/>
      <c r="N239" s="16">
        <f t="shared" ref="N239" si="411">SUM(D233:D239)</f>
        <v>642366</v>
      </c>
      <c r="O239" s="16">
        <f t="shared" ref="O239" si="412">+H239/BW239</f>
        <v>42321.65217391304</v>
      </c>
      <c r="P239" s="41"/>
      <c r="Q239" s="17">
        <f t="shared" ref="Q239" si="413">SUM(D233:D239)</f>
        <v>642366</v>
      </c>
      <c r="R239" s="16"/>
      <c r="S239" s="60">
        <f t="shared" ref="S239" si="414">+(Q239-Q232)/Q232</f>
        <v>0.22929803443517999</v>
      </c>
      <c r="T239" s="16"/>
      <c r="U239" s="41"/>
      <c r="V239" s="10">
        <f t="shared" si="109"/>
        <v>131</v>
      </c>
      <c r="W239" s="34">
        <v>1201</v>
      </c>
      <c r="X239" s="33"/>
      <c r="Y239" s="33"/>
      <c r="Z239" s="33"/>
      <c r="AA239" s="33">
        <f t="shared" ref="AA239" si="415">+AA238+W239</f>
        <v>239289</v>
      </c>
      <c r="AB239" s="33"/>
      <c r="AC239" s="46">
        <f t="shared" ref="AC239" si="416">+AA239/H239</f>
        <v>2.4582853057022923E-2</v>
      </c>
      <c r="AD239" s="33"/>
      <c r="AE239" s="33">
        <f t="shared" ref="AE239" si="417">+AA239/BW239</f>
        <v>1040.3869565217392</v>
      </c>
      <c r="AF239" s="50"/>
      <c r="AG239" s="33">
        <f t="shared" ref="AG239" si="418">SUM(W233:W239)</f>
        <v>6258</v>
      </c>
      <c r="AH239" s="33">
        <f t="shared" ref="AH239" si="419">SUM(D210:D410)</f>
        <v>796019687.34662843</v>
      </c>
      <c r="AI239" s="231">
        <f t="shared" ref="AI239" si="420">+(AG239-AG232)/AG232</f>
        <v>9.7894736842105257E-2</v>
      </c>
      <c r="AJ239" s="50"/>
      <c r="AK239" s="10"/>
      <c r="AL239" s="23">
        <f t="shared" ref="AL239" si="421">+AP239-AP238</f>
        <v>55849</v>
      </c>
      <c r="AM239" s="24"/>
      <c r="AN239" s="24"/>
      <c r="AO239" s="24">
        <v>178263</v>
      </c>
      <c r="AP239" s="24">
        <v>6292019</v>
      </c>
      <c r="AQ239" s="24"/>
      <c r="AR239" s="504">
        <f t="shared" ref="AR239" si="422">+AL239/AP238</f>
        <v>8.9556570779821595E-3</v>
      </c>
      <c r="AS239" s="25"/>
      <c r="AT239" s="25"/>
      <c r="AU239" s="24"/>
      <c r="AV239" s="341">
        <f t="shared" ref="AV239" si="423">+AP239/H239</f>
        <v>0.64639736264097525</v>
      </c>
      <c r="AW239" s="341"/>
      <c r="AX239" s="24">
        <f t="shared" ref="AX239" si="424">+AP239/BW239</f>
        <v>27356.604347826087</v>
      </c>
      <c r="AY239" s="351"/>
      <c r="AZ239" s="10"/>
      <c r="BA239" s="66">
        <f t="shared" ref="BA239" si="425">+BC239-BC238</f>
        <v>1201405</v>
      </c>
      <c r="BB239" s="67"/>
      <c r="BC239" s="67">
        <v>152050414</v>
      </c>
      <c r="BD239" s="67"/>
      <c r="BE239" s="67">
        <f t="shared" ref="BE239" si="426">+D239</f>
        <v>108389</v>
      </c>
      <c r="BF239" s="67"/>
      <c r="BG239" s="156">
        <f t="shared" ref="BG239" si="427">+BE239/BA239</f>
        <v>9.0218535797670224E-2</v>
      </c>
      <c r="BH239" s="67"/>
      <c r="BI239" s="183"/>
      <c r="BJ239" s="67"/>
      <c r="BK239" s="67">
        <f t="shared" ref="BK239" si="428">SUM(BA233:BA239)</f>
        <v>11855600</v>
      </c>
      <c r="BL239" s="67"/>
      <c r="BM239" s="156">
        <f t="shared" ref="BM239" si="429">+Q239/BK239</f>
        <v>5.4182496035628733E-2</v>
      </c>
      <c r="BN239" s="66">
        <f t="shared" ref="BN239" si="430">+BC239/BW239</f>
        <v>661088.75652173918</v>
      </c>
      <c r="BO239" s="67"/>
      <c r="BP239" s="67">
        <f t="shared" ref="BP239" si="431">+BP238+BE239</f>
        <v>9391333</v>
      </c>
      <c r="BQ239" s="67"/>
      <c r="BR239" s="478">
        <f t="shared" ref="BR239" si="432">+BP239/BC239</f>
        <v>6.176459999641961E-2</v>
      </c>
      <c r="BS239" s="67"/>
      <c r="BT239" s="86"/>
      <c r="BU239" s="183"/>
      <c r="BV239" s="1"/>
      <c r="BW239" s="61">
        <f t="shared" si="189"/>
        <v>230</v>
      </c>
    </row>
    <row r="240" spans="2:75" x14ac:dyDescent="0.3">
      <c r="B240" s="171">
        <f t="shared" si="163"/>
        <v>44140</v>
      </c>
      <c r="C240" s="61"/>
      <c r="D240" s="17">
        <v>118319</v>
      </c>
      <c r="E240" s="16"/>
      <c r="F240" s="16"/>
      <c r="G240" s="16"/>
      <c r="H240" s="16">
        <f t="shared" ref="H240" si="433">+H239+D240</f>
        <v>9852299</v>
      </c>
      <c r="I240" s="16"/>
      <c r="J240" s="479">
        <f t="shared" ref="J240" si="434">+D240/H239</f>
        <v>1.2155254068736529E-2</v>
      </c>
      <c r="K240" s="16"/>
      <c r="L240" s="16"/>
      <c r="M240" s="16"/>
      <c r="N240" s="16">
        <f t="shared" ref="N240" si="435">SUM(D234:D240)</f>
        <v>669155</v>
      </c>
      <c r="O240" s="16">
        <f t="shared" ref="O240" si="436">+H240/BW240</f>
        <v>42650.645021645025</v>
      </c>
      <c r="P240" s="41"/>
      <c r="Q240" s="17">
        <f t="shared" ref="Q240" si="437">SUM(D234:D240)</f>
        <v>669155</v>
      </c>
      <c r="R240" s="16"/>
      <c r="S240" s="60">
        <f t="shared" ref="S240" si="438">+(Q240-Q233)/Q233</f>
        <v>0.23969016777329855</v>
      </c>
      <c r="T240" s="16"/>
      <c r="U240" s="41"/>
      <c r="V240" s="10">
        <f t="shared" si="109"/>
        <v>132</v>
      </c>
      <c r="W240" s="34">
        <v>1127</v>
      </c>
      <c r="X240" s="33"/>
      <c r="Y240" s="33"/>
      <c r="Z240" s="33"/>
      <c r="AA240" s="33">
        <f t="shared" ref="AA240" si="439">+AA239+W240</f>
        <v>240416</v>
      </c>
      <c r="AB240" s="33"/>
      <c r="AC240" s="46">
        <f t="shared" ref="AC240" si="440">+AA240/H240</f>
        <v>2.4402020279733695E-2</v>
      </c>
      <c r="AD240" s="33"/>
      <c r="AE240" s="33">
        <f t="shared" ref="AE240" si="441">+AA240/BW240</f>
        <v>1040.7619047619048</v>
      </c>
      <c r="AF240" s="50"/>
      <c r="AG240" s="33">
        <f t="shared" ref="AG240" si="442">SUM(W234:W240)</f>
        <v>6338</v>
      </c>
      <c r="AH240" s="33">
        <f t="shared" ref="AH240" si="443">SUM(D211:D411)</f>
        <v>795975019.34662843</v>
      </c>
      <c r="AI240" s="231">
        <f t="shared" ref="AI240" si="444">+(AG240-AG233)/AG233</f>
        <v>9.767925181849671E-2</v>
      </c>
      <c r="AJ240" s="50"/>
      <c r="AK240" s="10"/>
      <c r="AL240" s="23">
        <f t="shared" ref="AL240" si="445">+AP240-AP239</f>
        <v>48467</v>
      </c>
      <c r="AM240" s="24"/>
      <c r="AN240" s="24"/>
      <c r="AO240" s="24">
        <v>178263</v>
      </c>
      <c r="AP240" s="24">
        <v>6340486</v>
      </c>
      <c r="AQ240" s="24"/>
      <c r="AR240" s="504">
        <f t="shared" ref="AR240" si="446">+AL240/AP239</f>
        <v>7.7029328741696429E-3</v>
      </c>
      <c r="AS240" s="25"/>
      <c r="AT240" s="25"/>
      <c r="AU240" s="24"/>
      <c r="AV240" s="341">
        <f t="shared" ref="AV240" si="447">+AP240/H240</f>
        <v>0.64355395628979595</v>
      </c>
      <c r="AW240" s="341"/>
      <c r="AX240" s="24">
        <f t="shared" ref="AX240" si="448">+AP240/BW240</f>
        <v>27447.991341991343</v>
      </c>
      <c r="AY240" s="351"/>
      <c r="AZ240" s="10"/>
      <c r="BA240" s="66">
        <f t="shared" ref="BA240" si="449">+BC240-BC239</f>
        <v>1544407</v>
      </c>
      <c r="BB240" s="67"/>
      <c r="BC240" s="67">
        <v>153594821</v>
      </c>
      <c r="BD240" s="67"/>
      <c r="BE240" s="67">
        <f t="shared" ref="BE240" si="450">+D240</f>
        <v>118319</v>
      </c>
      <c r="BF240" s="67"/>
      <c r="BG240" s="156">
        <f t="shared" ref="BG240" si="451">+BE240/BA240</f>
        <v>7.6611281870646794E-2</v>
      </c>
      <c r="BH240" s="67"/>
      <c r="BI240" s="183"/>
      <c r="BJ240" s="67"/>
      <c r="BK240" s="67">
        <f t="shared" ref="BK240" si="452">SUM(BA234:BA240)</f>
        <v>11925493</v>
      </c>
      <c r="BL240" s="67"/>
      <c r="BM240" s="156">
        <f t="shared" ref="BM240" si="453">+Q240/BK240</f>
        <v>5.6111307096486492E-2</v>
      </c>
      <c r="BN240" s="66">
        <f t="shared" ref="BN240" si="454">+BC240/BW240</f>
        <v>664912.645021645</v>
      </c>
      <c r="BO240" s="67"/>
      <c r="BP240" s="67">
        <f t="shared" ref="BP240" si="455">+BP239+BE240</f>
        <v>9509652</v>
      </c>
      <c r="BQ240" s="67"/>
      <c r="BR240" s="478">
        <f t="shared" ref="BR240" si="456">+BP240/BC240</f>
        <v>6.1913884453174368E-2</v>
      </c>
      <c r="BS240" s="67"/>
      <c r="BT240" s="86"/>
      <c r="BU240" s="183"/>
      <c r="BV240" s="1"/>
      <c r="BW240" s="61">
        <f t="shared" si="189"/>
        <v>231</v>
      </c>
    </row>
    <row r="241" spans="2:75" x14ac:dyDescent="0.3">
      <c r="B241" s="171">
        <f t="shared" si="163"/>
        <v>44141</v>
      </c>
      <c r="C241" s="61"/>
      <c r="D241" s="17">
        <v>132541</v>
      </c>
      <c r="E241" s="16"/>
      <c r="F241" s="16"/>
      <c r="G241" s="16"/>
      <c r="H241" s="16">
        <f t="shared" ref="H241" si="457">+H240+D241</f>
        <v>9984840</v>
      </c>
      <c r="I241" s="16"/>
      <c r="J241" s="479">
        <f t="shared" ref="J241" si="458">+D241/H240</f>
        <v>1.3452799189305968E-2</v>
      </c>
      <c r="K241" s="16"/>
      <c r="L241" s="16"/>
      <c r="M241" s="16"/>
      <c r="N241" s="16">
        <f t="shared" ref="N241" si="459">SUM(D235:D241)</f>
        <v>700235</v>
      </c>
      <c r="O241" s="16">
        <f t="shared" ref="O241" si="460">+H241/BW241</f>
        <v>43038.103448275862</v>
      </c>
      <c r="P241" s="41"/>
      <c r="Q241" s="17">
        <f t="shared" ref="Q241" si="461">SUM(D235:D241)</f>
        <v>700235</v>
      </c>
      <c r="R241" s="16"/>
      <c r="S241" s="60">
        <f t="shared" ref="S241" si="462">+(Q241-Q234)/Q234</f>
        <v>0.25081498973782784</v>
      </c>
      <c r="T241" s="16"/>
      <c r="U241" s="41"/>
      <c r="V241" s="10">
        <f t="shared" si="109"/>
        <v>133</v>
      </c>
      <c r="W241" s="34">
        <v>1244</v>
      </c>
      <c r="X241" s="33"/>
      <c r="Y241" s="33"/>
      <c r="Z241" s="33"/>
      <c r="AA241" s="33">
        <f t="shared" ref="AA241" si="463">+AA240+W241</f>
        <v>241660</v>
      </c>
      <c r="AB241" s="33"/>
      <c r="AC241" s="46">
        <f t="shared" ref="AC241" si="464">+AA241/H241</f>
        <v>2.420269127998045E-2</v>
      </c>
      <c r="AD241" s="33"/>
      <c r="AE241" s="33">
        <f t="shared" ref="AE241" si="465">+AA241/BW241</f>
        <v>1041.6379310344828</v>
      </c>
      <c r="AF241" s="50"/>
      <c r="AG241" s="33">
        <f t="shared" ref="AG241" si="466">SUM(W235:W241)</f>
        <v>6594</v>
      </c>
      <c r="AH241" s="33">
        <f t="shared" ref="AH241" si="467">SUM(D212:D412)</f>
        <v>795925661.34662843</v>
      </c>
      <c r="AI241" s="231">
        <f t="shared" ref="AI241" si="468">+(AG241-AG234)/AG234</f>
        <v>0.12544802867383512</v>
      </c>
      <c r="AJ241" s="50"/>
      <c r="AK241" s="10"/>
      <c r="AL241" s="23">
        <f t="shared" ref="AL241" si="469">+AP241-AP240</f>
        <v>50722</v>
      </c>
      <c r="AM241" s="24"/>
      <c r="AN241" s="24"/>
      <c r="AO241" s="24">
        <v>178263</v>
      </c>
      <c r="AP241" s="24">
        <v>6391208</v>
      </c>
      <c r="AQ241" s="24"/>
      <c r="AR241" s="504">
        <f t="shared" ref="AR241" si="470">+AL241/AP240</f>
        <v>7.999702231027717E-3</v>
      </c>
      <c r="AS241" s="25"/>
      <c r="AT241" s="25"/>
      <c r="AU241" s="24"/>
      <c r="AV241" s="341">
        <f t="shared" ref="AV241" si="471">+AP241/H241</f>
        <v>0.64009117822619088</v>
      </c>
      <c r="AW241" s="341"/>
      <c r="AX241" s="24">
        <f t="shared" ref="AX241" si="472">+AP241/BW241</f>
        <v>27548.310344827587</v>
      </c>
      <c r="AY241" s="351"/>
      <c r="AZ241" s="10"/>
      <c r="BA241" s="66">
        <f t="shared" ref="BA241" si="473">+BC241-BC240</f>
        <v>1425131</v>
      </c>
      <c r="BB241" s="67"/>
      <c r="BC241" s="67">
        <v>155019952</v>
      </c>
      <c r="BD241" s="67"/>
      <c r="BE241" s="67">
        <f t="shared" ref="BE241" si="474">+D241</f>
        <v>132541</v>
      </c>
      <c r="BF241" s="67"/>
      <c r="BG241" s="156">
        <f t="shared" ref="BG241" si="475">+BE241/BA241</f>
        <v>9.3002678350270956E-2</v>
      </c>
      <c r="BH241" s="67"/>
      <c r="BI241" s="183"/>
      <c r="BJ241" s="67"/>
      <c r="BK241" s="67">
        <f t="shared" ref="BK241" si="476">SUM(BA235:BA241)</f>
        <v>12069599</v>
      </c>
      <c r="BL241" s="67"/>
      <c r="BM241" s="156">
        <f t="shared" ref="BM241" si="477">+Q241/BK241</f>
        <v>5.8016426229239262E-2</v>
      </c>
      <c r="BN241" s="66">
        <f t="shared" ref="BN241" si="478">+BC241/BW241</f>
        <v>668189.44827586203</v>
      </c>
      <c r="BO241" s="67"/>
      <c r="BP241" s="67">
        <f t="shared" ref="BP241" si="479">+BP240+BE241</f>
        <v>9642193</v>
      </c>
      <c r="BQ241" s="67"/>
      <c r="BR241" s="478">
        <f t="shared" ref="BR241" si="480">+BP241/BC241</f>
        <v>6.219969026954672E-2</v>
      </c>
      <c r="BS241" s="67"/>
      <c r="BT241" s="86"/>
      <c r="BU241" s="183"/>
      <c r="BV241" s="1"/>
      <c r="BW241" s="61">
        <f t="shared" si="189"/>
        <v>232</v>
      </c>
    </row>
    <row r="242" spans="2:75" x14ac:dyDescent="0.3">
      <c r="B242" s="171">
        <f t="shared" si="163"/>
        <v>44142</v>
      </c>
      <c r="C242" s="61"/>
      <c r="D242" s="17">
        <v>124390</v>
      </c>
      <c r="E242" s="16"/>
      <c r="F242" s="16"/>
      <c r="G242" s="16"/>
      <c r="H242" s="16">
        <f t="shared" ref="H242" si="481">+H241+D242</f>
        <v>10109230</v>
      </c>
      <c r="I242" s="16"/>
      <c r="J242" s="479">
        <f t="shared" ref="J242" si="482">+D242/H241</f>
        <v>1.2457886155411603E-2</v>
      </c>
      <c r="K242" s="16"/>
      <c r="L242" s="16"/>
      <c r="M242" s="16"/>
      <c r="N242" s="16">
        <f t="shared" ref="N242" si="483">SUM(D236:D242)</f>
        <v>738332</v>
      </c>
      <c r="O242" s="16">
        <f t="shared" ref="O242" si="484">+H242/BW242</f>
        <v>43387.253218884121</v>
      </c>
      <c r="P242" s="41"/>
      <c r="Q242" s="17">
        <f t="shared" ref="Q242" si="485">SUM(D236:D242)</f>
        <v>738332</v>
      </c>
      <c r="R242" s="16"/>
      <c r="S242" s="60">
        <f t="shared" ref="S242" si="486">+(Q242-Q235)/Q235</f>
        <v>0.3029380570952605</v>
      </c>
      <c r="T242" s="16"/>
      <c r="U242" s="41"/>
      <c r="V242" s="10">
        <f t="shared" si="109"/>
        <v>134</v>
      </c>
      <c r="W242" s="34">
        <v>1031</v>
      </c>
      <c r="X242" s="33"/>
      <c r="Y242" s="33"/>
      <c r="Z242" s="33"/>
      <c r="AA242" s="33">
        <f t="shared" ref="AA242" si="487">+AA241+W242</f>
        <v>242691</v>
      </c>
      <c r="AB242" s="33"/>
      <c r="AC242" s="46">
        <f t="shared" ref="AC242" si="488">+AA242/H242</f>
        <v>2.400687292701818E-2</v>
      </c>
      <c r="AD242" s="33"/>
      <c r="AE242" s="33">
        <f t="shared" ref="AE242" si="489">+AA242/BW242</f>
        <v>1041.5922746781116</v>
      </c>
      <c r="AF242" s="50"/>
      <c r="AG242" s="33">
        <f t="shared" ref="AG242" si="490">SUM(W236:W242)</f>
        <v>6711</v>
      </c>
      <c r="AH242" s="33">
        <f t="shared" ref="AH242" si="491">SUM(D213:D413)</f>
        <v>795868343.34662843</v>
      </c>
      <c r="AI242" s="231">
        <f t="shared" ref="AI242" si="492">+(AG242-AG235)/AG235</f>
        <v>0.12055434964100852</v>
      </c>
      <c r="AJ242" s="50"/>
      <c r="AK242" s="10"/>
      <c r="AL242" s="23">
        <f t="shared" ref="AL242" si="493">+AP242-AP241</f>
        <v>50540</v>
      </c>
      <c r="AM242" s="24"/>
      <c r="AN242" s="24"/>
      <c r="AO242" s="24">
        <v>178263</v>
      </c>
      <c r="AP242" s="24">
        <v>6441748</v>
      </c>
      <c r="AQ242" s="24"/>
      <c r="AR242" s="504">
        <f t="shared" ref="AR242" si="494">+AL242/AP241</f>
        <v>7.9077382554283947E-3</v>
      </c>
      <c r="AS242" s="25"/>
      <c r="AT242" s="25"/>
      <c r="AU242" s="24"/>
      <c r="AV242" s="341">
        <f t="shared" ref="AV242" si="495">+AP242/H242</f>
        <v>0.63721450595149187</v>
      </c>
      <c r="AW242" s="341"/>
      <c r="AX242" s="24">
        <f t="shared" ref="AX242" si="496">+AP242/BW242</f>
        <v>27646.987124463518</v>
      </c>
      <c r="AY242" s="351"/>
      <c r="AZ242" s="10"/>
      <c r="BA242" s="66">
        <f t="shared" ref="BA242" si="497">+BC242-BC241</f>
        <v>1534974</v>
      </c>
      <c r="BB242" s="67"/>
      <c r="BC242" s="67">
        <v>156554926</v>
      </c>
      <c r="BD242" s="67"/>
      <c r="BE242" s="67">
        <f t="shared" ref="BE242" si="498">+D242</f>
        <v>124390</v>
      </c>
      <c r="BF242" s="67"/>
      <c r="BG242" s="156">
        <f t="shared" ref="BG242" si="499">+BE242/BA242</f>
        <v>8.1037203236015723E-2</v>
      </c>
      <c r="BH242" s="67"/>
      <c r="BI242" s="183"/>
      <c r="BJ242" s="67"/>
      <c r="BK242" s="67">
        <f t="shared" ref="BK242" si="500">SUM(BA236:BA242)</f>
        <v>12368652</v>
      </c>
      <c r="BL242" s="67"/>
      <c r="BM242" s="156">
        <f t="shared" ref="BM242" si="501">+Q242/BK242</f>
        <v>5.9693813036376157E-2</v>
      </c>
      <c r="BN242" s="66">
        <f t="shared" ref="BN242" si="502">+BC242/BW242</f>
        <v>671909.55364806869</v>
      </c>
      <c r="BO242" s="67"/>
      <c r="BP242" s="67">
        <f t="shared" ref="BP242" si="503">+BP241+BE242</f>
        <v>9766583</v>
      </c>
      <c r="BQ242" s="67"/>
      <c r="BR242" s="478">
        <f t="shared" ref="BR242" si="504">+BP242/BC242</f>
        <v>6.2384386422947816E-2</v>
      </c>
      <c r="BS242" s="67"/>
      <c r="BT242" s="86"/>
      <c r="BU242" s="183"/>
      <c r="BV242" s="1"/>
      <c r="BW242" s="61">
        <f t="shared" si="189"/>
        <v>233</v>
      </c>
    </row>
    <row r="243" spans="2:75" x14ac:dyDescent="0.3">
      <c r="B243" s="390">
        <f t="shared" si="163"/>
        <v>44143</v>
      </c>
      <c r="C243" s="61"/>
      <c r="D243" s="17">
        <v>102726</v>
      </c>
      <c r="E243" s="16"/>
      <c r="F243" s="16"/>
      <c r="G243" s="16"/>
      <c r="H243" s="16">
        <f t="shared" ref="H243" si="505">+H242+D243</f>
        <v>10211956</v>
      </c>
      <c r="I243" s="16"/>
      <c r="J243" s="479">
        <f t="shared" ref="J243" si="506">+D243/H242</f>
        <v>1.0161604790869335E-2</v>
      </c>
      <c r="K243" s="16"/>
      <c r="L243" s="16"/>
      <c r="M243" s="16"/>
      <c r="N243" s="16">
        <f t="shared" ref="N243" si="507">SUM(D237:D243)</f>
        <v>769737</v>
      </c>
      <c r="O243" s="16">
        <f t="shared" ref="O243" si="508">+H243/BW243</f>
        <v>43640.837606837609</v>
      </c>
      <c r="P243" s="41"/>
      <c r="Q243" s="17">
        <f t="shared" ref="Q243" si="509">SUM(D237:D243)</f>
        <v>769737</v>
      </c>
      <c r="R243" s="16"/>
      <c r="S243" s="60">
        <f t="shared" ref="S243" si="510">+(Q243-Q236)/Q236</f>
        <v>0.33380407867627565</v>
      </c>
      <c r="T243" s="16"/>
      <c r="U243" s="41"/>
      <c r="V243" s="10">
        <f t="shared" si="109"/>
        <v>135</v>
      </c>
      <c r="W243" s="34">
        <v>512</v>
      </c>
      <c r="X243" s="33"/>
      <c r="Y243" s="33"/>
      <c r="Z243" s="33"/>
      <c r="AA243" s="33">
        <f t="shared" ref="AA243" si="511">+AA242+W243</f>
        <v>243203</v>
      </c>
      <c r="AB243" s="33"/>
      <c r="AC243" s="46">
        <f t="shared" ref="AC243" si="512">+AA243/H243</f>
        <v>2.3815515852203047E-2</v>
      </c>
      <c r="AD243" s="33"/>
      <c r="AE243" s="33">
        <f t="shared" ref="AE243" si="513">+AA243/BW243</f>
        <v>1039.3290598290598</v>
      </c>
      <c r="AF243" s="50"/>
      <c r="AG243" s="33">
        <f t="shared" ref="AG243" si="514">SUM(W237:W243)</f>
        <v>6824</v>
      </c>
      <c r="AH243" s="33">
        <f t="shared" ref="AH243" si="515">SUM(D214:D414)</f>
        <v>795807360.34662843</v>
      </c>
      <c r="AI243" s="231">
        <f t="shared" ref="AI243" si="516">+(AG243-AG236)/AG236</f>
        <v>0.14766229397914565</v>
      </c>
      <c r="AJ243" s="50"/>
      <c r="AK243" s="391"/>
      <c r="AL243" s="23">
        <f t="shared" ref="AL243" si="517">+AP243-AP242</f>
        <v>41672</v>
      </c>
      <c r="AM243" s="24"/>
      <c r="AN243" s="24"/>
      <c r="AO243" s="24">
        <v>178263</v>
      </c>
      <c r="AP243" s="24">
        <v>6483420</v>
      </c>
      <c r="AQ243" s="24"/>
      <c r="AR243" s="504">
        <f t="shared" ref="AR243" si="518">+AL243/AP242</f>
        <v>6.4690515679905513E-3</v>
      </c>
      <c r="AS243" s="25"/>
      <c r="AT243" s="25"/>
      <c r="AU243" s="24"/>
      <c r="AV243" s="341">
        <f t="shared" ref="AV243" si="519">+AP243/H243</f>
        <v>0.63488522668918668</v>
      </c>
      <c r="AW243" s="341"/>
      <c r="AX243" s="24">
        <f t="shared" ref="AX243" si="520">+AP243/BW243</f>
        <v>27706.923076923078</v>
      </c>
      <c r="AY243" s="351"/>
      <c r="AZ243" s="391"/>
      <c r="BA243" s="66">
        <f t="shared" ref="BA243" si="521">+BC243-BC242</f>
        <v>1047931</v>
      </c>
      <c r="BB243" s="67"/>
      <c r="BC243" s="67">
        <v>157602857</v>
      </c>
      <c r="BD243" s="67"/>
      <c r="BE243" s="67">
        <f t="shared" ref="BE243" si="522">+D243</f>
        <v>102726</v>
      </c>
      <c r="BF243" s="67"/>
      <c r="BG243" s="156">
        <f t="shared" ref="BG243" si="523">+BE243/BA243</f>
        <v>9.8027446463555323E-2</v>
      </c>
      <c r="BH243" s="67"/>
      <c r="BI243" s="183"/>
      <c r="BJ243" s="67"/>
      <c r="BK243" s="67">
        <f t="shared" ref="BK243" si="524">SUM(BA237:BA243)</f>
        <v>12565432</v>
      </c>
      <c r="BL243" s="67"/>
      <c r="BM243" s="156">
        <f t="shared" ref="BM243" si="525">+Q243/BK243</f>
        <v>6.1258299754437411E-2</v>
      </c>
      <c r="BN243" s="66">
        <f t="shared" ref="BN243" si="526">+BC243/BW243</f>
        <v>673516.48290598288</v>
      </c>
      <c r="BO243" s="67"/>
      <c r="BP243" s="67">
        <f t="shared" ref="BP243" si="527">+BP242+BE243</f>
        <v>9869309</v>
      </c>
      <c r="BQ243" s="67"/>
      <c r="BR243" s="478">
        <f t="shared" ref="BR243" si="528">+BP243/BC243</f>
        <v>6.2621383824279273E-2</v>
      </c>
      <c r="BS243" s="67"/>
      <c r="BT243" s="86"/>
      <c r="BU243" s="183"/>
      <c r="BV243" s="1"/>
      <c r="BW243" s="61">
        <f t="shared" si="189"/>
        <v>234</v>
      </c>
    </row>
    <row r="244" spans="2:75" x14ac:dyDescent="0.3">
      <c r="B244" s="171">
        <f t="shared" si="163"/>
        <v>44144</v>
      </c>
      <c r="C244" s="61"/>
      <c r="D244" s="17">
        <v>125689</v>
      </c>
      <c r="E244" s="16"/>
      <c r="F244" s="16"/>
      <c r="G244" s="16"/>
      <c r="H244" s="16">
        <f t="shared" ref="H244" si="529">+H243+D244</f>
        <v>10337645</v>
      </c>
      <c r="I244" s="16"/>
      <c r="J244" s="479">
        <f t="shared" ref="J244" si="530">+D244/H243</f>
        <v>1.2308024045540345E-2</v>
      </c>
      <c r="K244" s="16"/>
      <c r="L244" s="16"/>
      <c r="M244" s="16"/>
      <c r="N244" s="16">
        <f t="shared" ref="N244" si="531">SUM(D238:D244)</f>
        <v>806521</v>
      </c>
      <c r="O244" s="16">
        <f t="shared" ref="O244" si="532">+H244/BW244</f>
        <v>43989.978723404252</v>
      </c>
      <c r="P244" s="41"/>
      <c r="Q244" s="17">
        <f t="shared" ref="Q244" si="533">SUM(D238:D244)</f>
        <v>806521</v>
      </c>
      <c r="R244" s="16"/>
      <c r="S244" s="60">
        <f t="shared" ref="S244" si="534">+(Q244-Q237)/Q237</f>
        <v>0.35285316264176075</v>
      </c>
      <c r="T244" s="16"/>
      <c r="U244" s="41"/>
      <c r="V244" s="10">
        <f t="shared" si="109"/>
        <v>136</v>
      </c>
      <c r="W244" s="34">
        <v>641</v>
      </c>
      <c r="X244" s="33"/>
      <c r="Y244" s="33"/>
      <c r="Z244" s="33"/>
      <c r="AA244" s="33">
        <f t="shared" ref="AA244" si="535">+AA243+W244</f>
        <v>243844</v>
      </c>
      <c r="AB244" s="33"/>
      <c r="AC244" s="46">
        <f t="shared" ref="AC244" si="536">+AA244/H244</f>
        <v>2.3587964183331891E-2</v>
      </c>
      <c r="AD244" s="33"/>
      <c r="AE244" s="33">
        <f t="shared" ref="AE244" si="537">+AA244/BW244</f>
        <v>1037.6340425531914</v>
      </c>
      <c r="AF244" s="50"/>
      <c r="AG244" s="33">
        <f t="shared" ref="AG244" si="538">SUM(W238:W244)</f>
        <v>6943</v>
      </c>
      <c r="AH244" s="33">
        <f t="shared" ref="AH244" si="539">SUM(D215:D415)</f>
        <v>795753125.34662843</v>
      </c>
      <c r="AI244" s="231">
        <f t="shared" ref="AI244" si="540">+(AG244-AG237)/AG237</f>
        <v>0.16905202896110455</v>
      </c>
      <c r="AJ244" s="50"/>
      <c r="AK244" s="10"/>
      <c r="AL244" s="23">
        <f t="shared" ref="AL244" si="541">+AP244-AP243</f>
        <v>69190</v>
      </c>
      <c r="AM244" s="24"/>
      <c r="AN244" s="24"/>
      <c r="AO244" s="24">
        <v>178263</v>
      </c>
      <c r="AP244" s="24">
        <v>6552610</v>
      </c>
      <c r="AQ244" s="24"/>
      <c r="AR244" s="504">
        <f t="shared" ref="AR244" si="542">+AL244/AP243</f>
        <v>1.0671836777503231E-2</v>
      </c>
      <c r="AS244" s="25"/>
      <c r="AT244" s="25"/>
      <c r="AU244" s="24"/>
      <c r="AV244" s="341">
        <f t="shared" ref="AV244" si="543">+AP244/H244</f>
        <v>0.63385906558021676</v>
      </c>
      <c r="AW244" s="341"/>
      <c r="AX244" s="24">
        <f t="shared" ref="AX244" si="544">+AP244/BW244</f>
        <v>27883.446808510638</v>
      </c>
      <c r="AY244" s="351"/>
      <c r="AZ244" s="10"/>
      <c r="BA244" s="66">
        <f t="shared" ref="BA244" si="545">+BC244-BC243</f>
        <v>1681256</v>
      </c>
      <c r="BB244" s="67"/>
      <c r="BC244" s="67">
        <v>159284113</v>
      </c>
      <c r="BD244" s="67"/>
      <c r="BE244" s="67">
        <f t="shared" ref="BE244" si="546">+D244</f>
        <v>125689</v>
      </c>
      <c r="BF244" s="67"/>
      <c r="BG244" s="156">
        <f t="shared" ref="BG244" si="547">+BE244/BA244</f>
        <v>7.475898970769472E-2</v>
      </c>
      <c r="BH244" s="67"/>
      <c r="BI244" s="183"/>
      <c r="BJ244" s="67"/>
      <c r="BK244" s="67">
        <f t="shared" ref="BK244" si="548">SUM(BA238:BA244)</f>
        <v>9589345</v>
      </c>
      <c r="BL244" s="67"/>
      <c r="BM244" s="156">
        <f t="shared" ref="BM244" si="549">+Q244/BK244</f>
        <v>8.4105953013474857E-2</v>
      </c>
      <c r="BN244" s="66">
        <f t="shared" ref="BN244" si="550">+BC244/BW244</f>
        <v>677804.73617021274</v>
      </c>
      <c r="BO244" s="67"/>
      <c r="BP244" s="67">
        <f t="shared" ref="BP244" si="551">+BP243+BE244</f>
        <v>9994998</v>
      </c>
      <c r="BQ244" s="67"/>
      <c r="BR244" s="478">
        <f t="shared" ref="BR244" si="552">+BP244/BC244</f>
        <v>6.2749497183061817E-2</v>
      </c>
      <c r="BS244" s="67"/>
      <c r="BT244" s="86"/>
      <c r="BU244" s="183"/>
      <c r="BV244" s="1"/>
      <c r="BW244" s="61">
        <f t="shared" si="189"/>
        <v>235</v>
      </c>
    </row>
    <row r="245" spans="2:75" x14ac:dyDescent="0.3">
      <c r="B245" s="171">
        <f t="shared" si="163"/>
        <v>44145</v>
      </c>
      <c r="C245" s="61"/>
      <c r="D245" s="17">
        <v>135653</v>
      </c>
      <c r="E245" s="16"/>
      <c r="F245" s="16"/>
      <c r="G245" s="16"/>
      <c r="H245" s="16">
        <f t="shared" ref="H245" si="553">+H244+D245</f>
        <v>10473298</v>
      </c>
      <c r="I245" s="16"/>
      <c r="J245" s="479">
        <f t="shared" ref="J245" si="554">+D245/H244</f>
        <v>1.3122234319325146E-2</v>
      </c>
      <c r="K245" s="16"/>
      <c r="L245" s="16"/>
      <c r="M245" s="16"/>
      <c r="N245" s="16">
        <f t="shared" ref="N245" si="555">SUM(D239:D245)</f>
        <v>847707</v>
      </c>
      <c r="O245" s="16">
        <f t="shared" ref="O245" si="556">+H245/BW245</f>
        <v>44378.381355932201</v>
      </c>
      <c r="P245" s="41"/>
      <c r="Q245" s="17">
        <f t="shared" ref="Q245" si="557">SUM(D239:D245)</f>
        <v>847707</v>
      </c>
      <c r="R245" s="16"/>
      <c r="S245" s="60">
        <f t="shared" ref="S245" si="558">+(Q245-Q238)/Q238</f>
        <v>0.37713586696948137</v>
      </c>
      <c r="T245" s="16"/>
      <c r="U245" s="41"/>
      <c r="V245" s="10">
        <f t="shared" si="109"/>
        <v>137</v>
      </c>
      <c r="W245" s="34">
        <v>1346</v>
      </c>
      <c r="X245" s="33"/>
      <c r="Y245" s="33"/>
      <c r="Z245" s="33"/>
      <c r="AA245" s="33">
        <f t="shared" ref="AA245" si="559">+AA244+W245</f>
        <v>245190</v>
      </c>
      <c r="AB245" s="33"/>
      <c r="AC245" s="46">
        <f t="shared" ref="AC245" si="560">+AA245/H245</f>
        <v>2.3410963767096095E-2</v>
      </c>
      <c r="AD245" s="33"/>
      <c r="AE245" s="33">
        <f t="shared" ref="AE245" si="561">+AA245/BW245</f>
        <v>1038.9406779661017</v>
      </c>
      <c r="AF245" s="50"/>
      <c r="AG245" s="33">
        <f t="shared" ref="AG245" si="562">SUM(W239:W245)</f>
        <v>7102</v>
      </c>
      <c r="AH245" s="33">
        <f t="shared" ref="AH245" si="563">SUM(D216:D416)</f>
        <v>795711190.34662843</v>
      </c>
      <c r="AI245" s="231">
        <f t="shared" ref="AI245" si="564">+(AG245-AG238)/AG238</f>
        <v>0.16674880893707902</v>
      </c>
      <c r="AJ245" s="50"/>
      <c r="AK245" s="10"/>
      <c r="AL245" s="23">
        <f t="shared" ref="AL245" si="565">+AP245-AP244</f>
        <v>48728</v>
      </c>
      <c r="AM245" s="24"/>
      <c r="AN245" s="24"/>
      <c r="AO245" s="24">
        <v>178263</v>
      </c>
      <c r="AP245" s="24">
        <v>6601338</v>
      </c>
      <c r="AQ245" s="24"/>
      <c r="AR245" s="504">
        <f t="shared" ref="AR245" si="566">+AL245/AP244</f>
        <v>7.4364260958610382E-3</v>
      </c>
      <c r="AS245" s="25"/>
      <c r="AT245" s="25"/>
      <c r="AU245" s="24"/>
      <c r="AV245" s="341">
        <f t="shared" ref="AV245" si="567">+AP245/H245</f>
        <v>0.63030174449347287</v>
      </c>
      <c r="AW245" s="341"/>
      <c r="AX245" s="24">
        <f t="shared" ref="AX245" si="568">+AP245/BW245</f>
        <v>27971.771186440677</v>
      </c>
      <c r="AY245" s="351"/>
      <c r="AZ245" s="10"/>
      <c r="BA245" s="66">
        <f t="shared" ref="BA245" si="569">+BC245-BC244</f>
        <v>1311466</v>
      </c>
      <c r="BB245" s="67"/>
      <c r="BC245" s="67">
        <v>160595579</v>
      </c>
      <c r="BD245" s="67"/>
      <c r="BE245" s="67">
        <f t="shared" ref="BE245" si="570">+D245</f>
        <v>135653</v>
      </c>
      <c r="BF245" s="67"/>
      <c r="BG245" s="156">
        <f t="shared" ref="BG245" si="571">+BE245/BA245</f>
        <v>0.10343615465440964</v>
      </c>
      <c r="BH245" s="67"/>
      <c r="BI245" s="183"/>
      <c r="BJ245" s="67"/>
      <c r="BK245" s="67">
        <f t="shared" ref="BK245" si="572">SUM(BA239:BA245)</f>
        <v>9746570</v>
      </c>
      <c r="BL245" s="67"/>
      <c r="BM245" s="156">
        <f t="shared" ref="BM245" si="573">+Q245/BK245</f>
        <v>8.6974905017867823E-2</v>
      </c>
      <c r="BN245" s="66">
        <f t="shared" ref="BN245" si="574">+BC245/BW245</f>
        <v>680489.74152542371</v>
      </c>
      <c r="BO245" s="67"/>
      <c r="BP245" s="67">
        <f t="shared" ref="BP245" si="575">+BP244+BE245</f>
        <v>10130651</v>
      </c>
      <c r="BQ245" s="67"/>
      <c r="BR245" s="478">
        <f t="shared" ref="BR245" si="576">+BP245/BC245</f>
        <v>6.3081755195764144E-2</v>
      </c>
      <c r="BS245" s="67"/>
      <c r="BT245" s="86"/>
      <c r="BU245" s="183"/>
      <c r="BV245" s="1"/>
      <c r="BW245" s="61">
        <f t="shared" si="189"/>
        <v>236</v>
      </c>
    </row>
    <row r="246" spans="2:75" x14ac:dyDescent="0.3">
      <c r="B246" s="171">
        <f t="shared" si="163"/>
        <v>44146</v>
      </c>
      <c r="C246" s="61"/>
      <c r="D246" s="17">
        <v>142906</v>
      </c>
      <c r="E246" s="16"/>
      <c r="F246" s="16"/>
      <c r="G246" s="16"/>
      <c r="H246" s="16">
        <f t="shared" ref="H246" si="577">+H245+D246</f>
        <v>10616204</v>
      </c>
      <c r="I246" s="16"/>
      <c r="J246" s="479">
        <f t="shared" ref="J246" si="578">+D246/H245</f>
        <v>1.3644794600516475E-2</v>
      </c>
      <c r="K246" s="16"/>
      <c r="L246" s="16"/>
      <c r="M246" s="16"/>
      <c r="N246" s="16">
        <f t="shared" ref="N246" si="579">SUM(D240:D246)</f>
        <v>882224</v>
      </c>
      <c r="O246" s="16">
        <f t="shared" ref="O246" si="580">+H246/BW246</f>
        <v>44794.109704641349</v>
      </c>
      <c r="P246" s="41"/>
      <c r="Q246" s="17">
        <f t="shared" ref="Q246" si="581">SUM(D240:D246)</f>
        <v>882224</v>
      </c>
      <c r="R246" s="16"/>
      <c r="S246" s="60">
        <f t="shared" ref="S246" si="582">+(Q246-Q239)/Q239</f>
        <v>0.37339772030275575</v>
      </c>
      <c r="T246" s="16"/>
      <c r="U246" s="41"/>
      <c r="V246" s="10">
        <f t="shared" si="109"/>
        <v>138</v>
      </c>
      <c r="W246" s="34">
        <v>1470</v>
      </c>
      <c r="X246" s="33"/>
      <c r="Y246" s="33"/>
      <c r="Z246" s="33"/>
      <c r="AA246" s="33">
        <f t="shared" ref="AA246" si="583">+AA245+W246</f>
        <v>246660</v>
      </c>
      <c r="AB246" s="33"/>
      <c r="AC246" s="46">
        <f t="shared" ref="AC246" si="584">+AA246/H246</f>
        <v>2.3234293538443685E-2</v>
      </c>
      <c r="AD246" s="33"/>
      <c r="AE246" s="33">
        <f t="shared" ref="AE246" si="585">+AA246/BW246</f>
        <v>1040.7594936708861</v>
      </c>
      <c r="AF246" s="50"/>
      <c r="AG246" s="33">
        <f t="shared" ref="AG246" si="586">SUM(W240:W246)</f>
        <v>7371</v>
      </c>
      <c r="AH246" s="33">
        <f t="shared" ref="AH246" si="587">SUM(D217:D417)</f>
        <v>795665399.34662843</v>
      </c>
      <c r="AI246" s="231">
        <f t="shared" ref="AI246" si="588">+(AG246-AG239)/AG239</f>
        <v>0.17785234899328858</v>
      </c>
      <c r="AJ246" s="50"/>
      <c r="AK246" s="10"/>
      <c r="AL246" s="23">
        <f t="shared" ref="AL246" si="589">+AP246-AP245</f>
        <v>47367</v>
      </c>
      <c r="AM246" s="24"/>
      <c r="AN246" s="24"/>
      <c r="AO246" s="24">
        <v>178263</v>
      </c>
      <c r="AP246" s="24">
        <v>6648705</v>
      </c>
      <c r="AQ246" s="24"/>
      <c r="AR246" s="504">
        <f t="shared" ref="AR246" si="590">+AL246/AP245</f>
        <v>7.1753635399369039E-3</v>
      </c>
      <c r="AS246" s="25"/>
      <c r="AT246" s="25"/>
      <c r="AU246" s="24"/>
      <c r="AV246" s="341">
        <f t="shared" ref="AV246" si="591">+AP246/H246</f>
        <v>0.62627894113564508</v>
      </c>
      <c r="AW246" s="341"/>
      <c r="AX246" s="24">
        <f t="shared" ref="AX246" si="592">+AP246/BW246</f>
        <v>28053.607594936708</v>
      </c>
      <c r="AY246" s="351"/>
      <c r="AZ246" s="10"/>
      <c r="BA246" s="66">
        <f t="shared" ref="BA246" si="593">+BC246-BC245</f>
        <v>1321988</v>
      </c>
      <c r="BB246" s="67"/>
      <c r="BC246" s="67">
        <v>161917567</v>
      </c>
      <c r="BD246" s="67"/>
      <c r="BE246" s="67">
        <f t="shared" ref="BE246" si="594">+D246</f>
        <v>142906</v>
      </c>
      <c r="BF246" s="67"/>
      <c r="BG246" s="156">
        <f t="shared" ref="BG246" si="595">+BE246/BA246</f>
        <v>0.10809931708911125</v>
      </c>
      <c r="BH246" s="67"/>
      <c r="BI246" s="183"/>
      <c r="BJ246" s="67"/>
      <c r="BK246" s="67">
        <f t="shared" ref="BK246" si="596">SUM(BA240:BA246)</f>
        <v>9867153</v>
      </c>
      <c r="BL246" s="67"/>
      <c r="BM246" s="156">
        <f t="shared" ref="BM246" si="597">+Q246/BK246</f>
        <v>8.9410187518121992E-2</v>
      </c>
      <c r="BN246" s="66">
        <f t="shared" ref="BN246" si="598">+BC246/BW246</f>
        <v>683196.48523206753</v>
      </c>
      <c r="BO246" s="67"/>
      <c r="BP246" s="67">
        <f t="shared" ref="BP246" si="599">+BP245+BE246</f>
        <v>10273557</v>
      </c>
      <c r="BQ246" s="67"/>
      <c r="BR246" s="478">
        <f t="shared" ref="BR246" si="600">+BP246/BC246</f>
        <v>6.3449304422910455E-2</v>
      </c>
      <c r="BS246" s="67"/>
      <c r="BT246" s="86"/>
      <c r="BU246" s="183"/>
      <c r="BV246" s="1"/>
      <c r="BW246" s="61">
        <f t="shared" si="189"/>
        <v>237</v>
      </c>
    </row>
    <row r="247" spans="2:75" x14ac:dyDescent="0.3">
      <c r="B247" s="171">
        <f t="shared" si="163"/>
        <v>44147</v>
      </c>
      <c r="C247" s="61"/>
      <c r="D247" s="17">
        <v>161541</v>
      </c>
      <c r="E247" s="16"/>
      <c r="F247" s="16"/>
      <c r="G247" s="16"/>
      <c r="H247" s="16">
        <f t="shared" ref="H247" si="601">+H246+D247</f>
        <v>10777745</v>
      </c>
      <c r="I247" s="16"/>
      <c r="J247" s="479">
        <f t="shared" ref="J247" si="602">+D247/H246</f>
        <v>1.5216455900809743E-2</v>
      </c>
      <c r="K247" s="16"/>
      <c r="L247" s="16"/>
      <c r="M247" s="16"/>
      <c r="N247" s="16">
        <f t="shared" ref="N247" si="603">SUM(D241:D247)</f>
        <v>925446</v>
      </c>
      <c r="O247" s="16">
        <f t="shared" ref="O247" si="604">+H247/BW247</f>
        <v>45284.642857142855</v>
      </c>
      <c r="P247" s="41"/>
      <c r="Q247" s="17">
        <f t="shared" ref="Q247" si="605">SUM(D241:D247)</f>
        <v>925446</v>
      </c>
      <c r="R247" s="16"/>
      <c r="S247" s="60">
        <f t="shared" ref="S247" si="606">+(Q247-Q240)/Q240</f>
        <v>0.38300692664629271</v>
      </c>
      <c r="T247" s="16"/>
      <c r="U247" s="41"/>
      <c r="V247" s="10">
        <f t="shared" si="109"/>
        <v>139</v>
      </c>
      <c r="W247" s="34">
        <v>1190</v>
      </c>
      <c r="X247" s="33"/>
      <c r="Y247" s="33"/>
      <c r="Z247" s="33"/>
      <c r="AA247" s="33">
        <f t="shared" ref="AA247" si="607">+AA246+W247</f>
        <v>247850</v>
      </c>
      <c r="AB247" s="33"/>
      <c r="AC247" s="46">
        <f t="shared" ref="AC247" si="608">+AA247/H247</f>
        <v>2.299646169027009E-2</v>
      </c>
      <c r="AD247" s="33"/>
      <c r="AE247" s="33">
        <f t="shared" ref="AE247" si="609">+AA247/BW247</f>
        <v>1041.3865546218487</v>
      </c>
      <c r="AF247" s="50"/>
      <c r="AG247" s="33">
        <f t="shared" ref="AG247" si="610">SUM(W241:W247)</f>
        <v>7434</v>
      </c>
      <c r="AH247" s="33">
        <f t="shared" ref="AH247" si="611">SUM(D218:D418)</f>
        <v>795613865.34662843</v>
      </c>
      <c r="AI247" s="231">
        <f t="shared" ref="AI247" si="612">+(AG247-AG240)/AG240</f>
        <v>0.17292521300094668</v>
      </c>
      <c r="AJ247" s="50"/>
      <c r="AK247" s="10"/>
      <c r="AL247" s="23">
        <f t="shared" ref="AL247" si="613">+AP247-AP246</f>
        <v>79415</v>
      </c>
      <c r="AM247" s="24"/>
      <c r="AN247" s="24"/>
      <c r="AO247" s="24">
        <v>178263</v>
      </c>
      <c r="AP247" s="24">
        <v>6728120</v>
      </c>
      <c r="AQ247" s="24"/>
      <c r="AR247" s="504">
        <f t="shared" ref="AR247" si="614">+AL247/AP246</f>
        <v>1.1944431283986881E-2</v>
      </c>
      <c r="AS247" s="25"/>
      <c r="AT247" s="25"/>
      <c r="AU247" s="24"/>
      <c r="AV247" s="341">
        <f t="shared" ref="AV247" si="615">+AP247/H247</f>
        <v>0.62426045522509577</v>
      </c>
      <c r="AW247" s="341"/>
      <c r="AX247" s="24">
        <f t="shared" ref="AX247" si="616">+AP247/BW247</f>
        <v>28269.411764705881</v>
      </c>
      <c r="AY247" s="351"/>
      <c r="AZ247" s="10"/>
      <c r="BA247" s="66">
        <f t="shared" ref="BA247" si="617">+BC247-BC246</f>
        <v>1537138</v>
      </c>
      <c r="BB247" s="67"/>
      <c r="BC247" s="67">
        <v>163454705</v>
      </c>
      <c r="BD247" s="67"/>
      <c r="BE247" s="67">
        <f t="shared" ref="BE247" si="618">+D247</f>
        <v>161541</v>
      </c>
      <c r="BF247" s="67"/>
      <c r="BG247" s="156">
        <f t="shared" ref="BG247" si="619">+BE247/BA247</f>
        <v>0.10509206069982005</v>
      </c>
      <c r="BH247" s="67"/>
      <c r="BI247" s="183"/>
      <c r="BJ247" s="67"/>
      <c r="BK247" s="67">
        <f t="shared" ref="BK247" si="620">SUM(BA241:BA247)</f>
        <v>9859884</v>
      </c>
      <c r="BL247" s="67"/>
      <c r="BM247" s="156">
        <f t="shared" ref="BM247" si="621">+Q247/BK247</f>
        <v>9.3859724921713072E-2</v>
      </c>
      <c r="BN247" s="66">
        <f t="shared" ref="BN247" si="622">+BC247/BW247</f>
        <v>686784.47478991596</v>
      </c>
      <c r="BO247" s="67"/>
      <c r="BP247" s="67">
        <f t="shared" ref="BP247" si="623">+BP246+BE247</f>
        <v>10435098</v>
      </c>
      <c r="BQ247" s="67"/>
      <c r="BR247" s="478">
        <f t="shared" ref="BR247" si="624">+BP247/BC247</f>
        <v>6.3840915438928475E-2</v>
      </c>
      <c r="BS247" s="67"/>
      <c r="BT247" s="86"/>
      <c r="BU247" s="183"/>
      <c r="BV247" s="1"/>
      <c r="BW247" s="61">
        <f t="shared" si="189"/>
        <v>238</v>
      </c>
    </row>
    <row r="248" spans="2:75" x14ac:dyDescent="0.3">
      <c r="B248" s="171">
        <f t="shared" si="163"/>
        <v>44148</v>
      </c>
      <c r="C248" s="61"/>
      <c r="D248" s="17">
        <v>183527</v>
      </c>
      <c r="E248" s="16"/>
      <c r="F248" s="16"/>
      <c r="G248" s="16"/>
      <c r="H248" s="16">
        <f t="shared" ref="H248" si="625">+H247+D248</f>
        <v>10961272</v>
      </c>
      <c r="I248" s="16"/>
      <c r="J248" s="479">
        <f t="shared" ref="J248" si="626">+D248/H247</f>
        <v>1.7028330137705057E-2</v>
      </c>
      <c r="K248" s="16"/>
      <c r="L248" s="16"/>
      <c r="M248" s="16"/>
      <c r="N248" s="16">
        <f t="shared" ref="N248" si="627">SUM(D242:D248)</f>
        <v>976432</v>
      </c>
      <c r="O248" s="16">
        <f t="shared" ref="O248" si="628">+H248/BW248</f>
        <v>45863.062761506277</v>
      </c>
      <c r="P248" s="41"/>
      <c r="Q248" s="17">
        <f t="shared" ref="Q248" si="629">SUM(D242:D248)</f>
        <v>976432</v>
      </c>
      <c r="R248" s="16"/>
      <c r="S248" s="60">
        <f t="shared" ref="S248" si="630">+(Q248-Q241)/Q241</f>
        <v>0.39443472548501574</v>
      </c>
      <c r="T248" s="16"/>
      <c r="U248" s="41"/>
      <c r="V248" s="10">
        <f t="shared" si="109"/>
        <v>140</v>
      </c>
      <c r="W248" s="34">
        <v>1395</v>
      </c>
      <c r="X248" s="33"/>
      <c r="Y248" s="33"/>
      <c r="Z248" s="33"/>
      <c r="AA248" s="33">
        <f t="shared" ref="AA248" si="631">+AA247+W248</f>
        <v>249245</v>
      </c>
      <c r="AB248" s="33"/>
      <c r="AC248" s="46">
        <f t="shared" ref="AC248" si="632">+AA248/H248</f>
        <v>2.2738693100581759E-2</v>
      </c>
      <c r="AD248" s="33"/>
      <c r="AE248" s="33">
        <f t="shared" ref="AE248" si="633">+AA248/BW248</f>
        <v>1042.8661087866108</v>
      </c>
      <c r="AF248" s="50"/>
      <c r="AG248" s="33">
        <f t="shared" ref="AG248" si="634">SUM(W242:W248)</f>
        <v>7585</v>
      </c>
      <c r="AH248" s="33">
        <f t="shared" ref="AH248" si="635">SUM(D219:D419)</f>
        <v>795554172.34662843</v>
      </c>
      <c r="AI248" s="231">
        <f t="shared" ref="AI248" si="636">+(AG248-AG241)/AG241</f>
        <v>0.1502881407340006</v>
      </c>
      <c r="AJ248" s="50"/>
      <c r="AK248" s="10"/>
      <c r="AL248" s="23">
        <f t="shared" ref="AL248" si="637">+AP248-AP247</f>
        <v>61026</v>
      </c>
      <c r="AM248" s="24"/>
      <c r="AN248" s="24"/>
      <c r="AO248" s="24">
        <v>178263</v>
      </c>
      <c r="AP248" s="24">
        <v>6789146</v>
      </c>
      <c r="AQ248" s="24"/>
      <c r="AR248" s="504">
        <f t="shared" ref="AR248" si="638">+AL248/AP247</f>
        <v>9.0702900661700451E-3</v>
      </c>
      <c r="AS248" s="25"/>
      <c r="AT248" s="25"/>
      <c r="AU248" s="24"/>
      <c r="AV248" s="341">
        <f t="shared" ref="AV248" si="639">+AP248/H248</f>
        <v>0.61937574398299755</v>
      </c>
      <c r="AW248" s="341"/>
      <c r="AX248" s="24">
        <f t="shared" ref="AX248" si="640">+AP248/BW248</f>
        <v>28406.468619246862</v>
      </c>
      <c r="AY248" s="351"/>
      <c r="AZ248" s="10"/>
      <c r="BA248" s="66">
        <f t="shared" ref="BA248" si="641">+BC248-BC247</f>
        <v>1687033</v>
      </c>
      <c r="BB248" s="67"/>
      <c r="BC248" s="67">
        <v>165141738</v>
      </c>
      <c r="BD248" s="67"/>
      <c r="BE248" s="67">
        <f t="shared" ref="BE248" si="642">+D248</f>
        <v>183527</v>
      </c>
      <c r="BF248" s="67"/>
      <c r="BG248" s="156">
        <f t="shared" ref="BG248" si="643">+BE248/BA248</f>
        <v>0.10878684649322212</v>
      </c>
      <c r="BH248" s="67"/>
      <c r="BI248" s="183"/>
      <c r="BJ248" s="67"/>
      <c r="BK248" s="67">
        <f t="shared" ref="BK248" si="644">SUM(BA242:BA248)</f>
        <v>10121786</v>
      </c>
      <c r="BL248" s="67"/>
      <c r="BM248" s="156">
        <f t="shared" ref="BM248" si="645">+Q248/BK248</f>
        <v>9.6468350546039999E-2</v>
      </c>
      <c r="BN248" s="66">
        <f t="shared" ref="BN248" si="646">+BC248/BW248</f>
        <v>690969.61506276147</v>
      </c>
      <c r="BO248" s="67"/>
      <c r="BP248" s="67">
        <f t="shared" ref="BP248" si="647">+BP247+BE248</f>
        <v>10618625</v>
      </c>
      <c r="BQ248" s="67"/>
      <c r="BR248" s="478">
        <f t="shared" ref="BR248" si="648">+BP248/BC248</f>
        <v>6.4300068102710661E-2</v>
      </c>
      <c r="BS248" s="67"/>
      <c r="BT248" s="86"/>
      <c r="BU248" s="183"/>
      <c r="BV248" s="1"/>
      <c r="BW248" s="61">
        <f t="shared" si="189"/>
        <v>239</v>
      </c>
    </row>
    <row r="249" spans="2:75" x14ac:dyDescent="0.3">
      <c r="B249" s="171">
        <f t="shared" si="163"/>
        <v>44149</v>
      </c>
      <c r="C249" s="61"/>
      <c r="D249" s="17">
        <v>157253</v>
      </c>
      <c r="E249" s="16"/>
      <c r="F249" s="16"/>
      <c r="G249" s="16"/>
      <c r="H249" s="16">
        <f t="shared" ref="H249" si="649">+H248+D249</f>
        <v>11118525</v>
      </c>
      <c r="I249" s="16"/>
      <c r="J249" s="479">
        <f t="shared" ref="J249" si="650">+D249/H248</f>
        <v>1.4346236458688372E-2</v>
      </c>
      <c r="K249" s="16"/>
      <c r="L249" s="16"/>
      <c r="M249" s="16"/>
      <c r="N249" s="16">
        <f t="shared" ref="N249" si="651">SUM(D243:D249)</f>
        <v>1009295</v>
      </c>
      <c r="O249" s="16">
        <f t="shared" ref="O249" si="652">+H249/BW249</f>
        <v>46327.1875</v>
      </c>
      <c r="P249" s="41"/>
      <c r="Q249" s="17">
        <f t="shared" ref="Q249" si="653">SUM(D243:D249)</f>
        <v>1009295</v>
      </c>
      <c r="R249" s="16"/>
      <c r="S249" s="60">
        <f t="shared" ref="S249" si="654">+(Q249-Q242)/Q242</f>
        <v>0.36699343926580452</v>
      </c>
      <c r="T249" s="16"/>
      <c r="U249" s="41"/>
      <c r="V249" s="10">
        <f t="shared" si="109"/>
        <v>141</v>
      </c>
      <c r="W249" s="34">
        <v>1260</v>
      </c>
      <c r="X249" s="33"/>
      <c r="Y249" s="33"/>
      <c r="Z249" s="33"/>
      <c r="AA249" s="33">
        <f t="shared" ref="AA249" si="655">+AA248+W249</f>
        <v>250505</v>
      </c>
      <c r="AB249" s="33"/>
      <c r="AC249" s="46">
        <f t="shared" ref="AC249" si="656">+AA249/H249</f>
        <v>2.2530416579537305E-2</v>
      </c>
      <c r="AD249" s="33"/>
      <c r="AE249" s="33">
        <f t="shared" ref="AE249" si="657">+AA249/BW249</f>
        <v>1043.7708333333333</v>
      </c>
      <c r="AF249" s="50"/>
      <c r="AG249" s="33">
        <f t="shared" ref="AG249" si="658">SUM(W243:W249)</f>
        <v>7814</v>
      </c>
      <c r="AH249" s="33">
        <f t="shared" ref="AH249" si="659">SUM(D220:D420)</f>
        <v>795488043.34662843</v>
      </c>
      <c r="AI249" s="231">
        <f t="shared" ref="AI249" si="660">+(AG249-AG242)/AG242</f>
        <v>0.1643570257785725</v>
      </c>
      <c r="AJ249" s="50"/>
      <c r="AK249" s="10"/>
      <c r="AL249" s="23">
        <f t="shared" ref="AL249" si="661">+AP249-AP248</f>
        <v>101885</v>
      </c>
      <c r="AM249" s="24"/>
      <c r="AN249" s="24"/>
      <c r="AO249" s="24">
        <v>178263</v>
      </c>
      <c r="AP249" s="24">
        <v>6891031</v>
      </c>
      <c r="AQ249" s="24"/>
      <c r="AR249" s="504">
        <f t="shared" ref="AR249" si="662">+AL249/AP248</f>
        <v>1.5007042122823696E-2</v>
      </c>
      <c r="AS249" s="25"/>
      <c r="AT249" s="25"/>
      <c r="AU249" s="24"/>
      <c r="AV249" s="341">
        <f t="shared" ref="AV249" si="663">+AP249/H249</f>
        <v>0.61977924230057491</v>
      </c>
      <c r="AW249" s="341"/>
      <c r="AX249" s="24">
        <f t="shared" ref="AX249" si="664">+AP249/BW249</f>
        <v>28712.629166666666</v>
      </c>
      <c r="AY249" s="351"/>
      <c r="AZ249" s="10"/>
      <c r="BA249" s="66">
        <f t="shared" ref="BA249" si="665">+BC249-BC248</f>
        <v>1609746</v>
      </c>
      <c r="BB249" s="67"/>
      <c r="BC249" s="67">
        <v>166751484</v>
      </c>
      <c r="BD249" s="67"/>
      <c r="BE249" s="67">
        <f t="shared" ref="BE249" si="666">+D249</f>
        <v>157253</v>
      </c>
      <c r="BF249" s="67"/>
      <c r="BG249" s="156">
        <f t="shared" ref="BG249" si="667">+BE249/BA249</f>
        <v>9.7688082467668816E-2</v>
      </c>
      <c r="BH249" s="67"/>
      <c r="BI249" s="183"/>
      <c r="BJ249" s="67"/>
      <c r="BK249" s="67">
        <f t="shared" ref="BK249" si="668">SUM(BA243:BA249)</f>
        <v>10196558</v>
      </c>
      <c r="BL249" s="67"/>
      <c r="BM249" s="156">
        <f t="shared" ref="BM249" si="669">+Q249/BK249</f>
        <v>9.8983892407614418E-2</v>
      </c>
      <c r="BN249" s="66">
        <f t="shared" ref="BN249" si="670">+BC249/BW249</f>
        <v>694797.85</v>
      </c>
      <c r="BO249" s="67"/>
      <c r="BP249" s="67">
        <f t="shared" ref="BP249" si="671">+BP248+BE249</f>
        <v>10775878</v>
      </c>
      <c r="BQ249" s="67"/>
      <c r="BR249" s="478">
        <f t="shared" ref="BR249" si="672">+BP249/BC249</f>
        <v>6.46223814116101E-2</v>
      </c>
      <c r="BS249" s="67"/>
      <c r="BT249" s="86"/>
      <c r="BU249" s="183"/>
      <c r="BV249" s="1"/>
      <c r="BW249" s="61">
        <f t="shared" si="189"/>
        <v>240</v>
      </c>
    </row>
    <row r="250" spans="2:75" x14ac:dyDescent="0.3">
      <c r="B250" s="390">
        <f t="shared" si="163"/>
        <v>44150</v>
      </c>
      <c r="C250" s="61"/>
      <c r="D250" s="17">
        <v>138249</v>
      </c>
      <c r="E250" s="16"/>
      <c r="F250" s="16"/>
      <c r="G250" s="16"/>
      <c r="H250" s="16">
        <f t="shared" ref="H250" si="673">+H249+D250</f>
        <v>11256774</v>
      </c>
      <c r="I250" s="16"/>
      <c r="J250" s="479">
        <f t="shared" ref="J250" si="674">+D250/H249</f>
        <v>1.2434113337875302E-2</v>
      </c>
      <c r="K250" s="16"/>
      <c r="L250" s="16"/>
      <c r="M250" s="16"/>
      <c r="N250" s="16">
        <f t="shared" ref="N250" si="675">SUM(D244:D250)</f>
        <v>1044818</v>
      </c>
      <c r="O250" s="16">
        <f t="shared" ref="O250" si="676">+H250/BW250</f>
        <v>46708.605809128632</v>
      </c>
      <c r="P250" s="41"/>
      <c r="Q250" s="17">
        <f t="shared" ref="Q250" si="677">SUM(D244:D250)</f>
        <v>1044818</v>
      </c>
      <c r="R250" s="16"/>
      <c r="S250" s="60">
        <f t="shared" ref="S250" si="678">+(Q250-Q243)/Q243</f>
        <v>0.35737011472749786</v>
      </c>
      <c r="T250" s="16"/>
      <c r="U250" s="41"/>
      <c r="V250" s="10">
        <f t="shared" si="109"/>
        <v>142</v>
      </c>
      <c r="W250" s="34">
        <v>579</v>
      </c>
      <c r="X250" s="33"/>
      <c r="Y250" s="33"/>
      <c r="Z250" s="33"/>
      <c r="AA250" s="33">
        <f t="shared" ref="AA250" si="679">+AA249+W250</f>
        <v>251084</v>
      </c>
      <c r="AB250" s="33"/>
      <c r="AC250" s="46">
        <f t="shared" ref="AC250" si="680">+AA250/H250</f>
        <v>2.2305147105200832E-2</v>
      </c>
      <c r="AD250" s="33"/>
      <c r="AE250" s="33">
        <f t="shared" ref="AE250" si="681">+AA250/BW250</f>
        <v>1041.8423236514523</v>
      </c>
      <c r="AF250" s="50"/>
      <c r="AG250" s="33">
        <f t="shared" ref="AG250" si="682">SUM(W244:W250)</f>
        <v>7881</v>
      </c>
      <c r="AH250" s="33">
        <f t="shared" ref="AH250" si="683">SUM(D221:D421)</f>
        <v>795416356.34662843</v>
      </c>
      <c r="AI250" s="231">
        <f t="shared" ref="AI250" si="684">+(AG250-AG243)/AG243</f>
        <v>0.15489449003517</v>
      </c>
      <c r="AJ250" s="50"/>
      <c r="AK250" s="391"/>
      <c r="AL250" s="23">
        <f t="shared" ref="AL250" si="685">+AP250-AP249</f>
        <v>44599</v>
      </c>
      <c r="AM250" s="24"/>
      <c r="AN250" s="24"/>
      <c r="AO250" s="24">
        <v>178263</v>
      </c>
      <c r="AP250" s="24">
        <v>6935630</v>
      </c>
      <c r="AQ250" s="24"/>
      <c r="AR250" s="504">
        <f t="shared" ref="AR250" si="686">+AL250/AP249</f>
        <v>6.4720358970958049E-3</v>
      </c>
      <c r="AS250" s="25"/>
      <c r="AT250" s="25"/>
      <c r="AU250" s="24"/>
      <c r="AV250" s="341">
        <f t="shared" ref="AV250" si="687">+AP250/H250</f>
        <v>0.61612945236352801</v>
      </c>
      <c r="AW250" s="341"/>
      <c r="AX250" s="24">
        <f t="shared" ref="AX250" si="688">+AP250/BW250</f>
        <v>28778.547717842324</v>
      </c>
      <c r="AY250" s="351"/>
      <c r="AZ250" s="10"/>
      <c r="BA250" s="66">
        <f t="shared" ref="BA250" si="689">+BC250-BC249</f>
        <v>1404360</v>
      </c>
      <c r="BB250" s="67"/>
      <c r="BC250" s="67">
        <v>168155844</v>
      </c>
      <c r="BD250" s="67"/>
      <c r="BE250" s="67">
        <f t="shared" ref="BE250" si="690">+D250</f>
        <v>138249</v>
      </c>
      <c r="BF250" s="67"/>
      <c r="BG250" s="156">
        <f t="shared" ref="BG250" si="691">+BE250/BA250</f>
        <v>9.8442706998205592E-2</v>
      </c>
      <c r="BH250" s="67"/>
      <c r="BI250" s="183"/>
      <c r="BJ250" s="67"/>
      <c r="BK250" s="67">
        <f t="shared" ref="BK250" si="692">SUM(BA244:BA250)</f>
        <v>10552987</v>
      </c>
      <c r="BL250" s="67"/>
      <c r="BM250" s="156">
        <f t="shared" ref="BM250" si="693">+Q250/BK250</f>
        <v>9.9006849908940472E-2</v>
      </c>
      <c r="BN250" s="66">
        <f t="shared" ref="BN250" si="694">+BC250/BW250</f>
        <v>697742.09128630708</v>
      </c>
      <c r="BO250" s="67"/>
      <c r="BP250" s="67">
        <f t="shared" ref="BP250" si="695">+BP249+BE250</f>
        <v>10914127</v>
      </c>
      <c r="BQ250" s="67"/>
      <c r="BR250" s="478">
        <f t="shared" ref="BR250" si="696">+BP250/BC250</f>
        <v>6.4904833161790076E-2</v>
      </c>
      <c r="BS250" s="67"/>
      <c r="BT250" s="86"/>
      <c r="BU250" s="183"/>
      <c r="BV250" s="1"/>
      <c r="BW250" s="61">
        <f t="shared" si="189"/>
        <v>241</v>
      </c>
    </row>
    <row r="251" spans="2:75" x14ac:dyDescent="0.3">
      <c r="B251" s="171">
        <f t="shared" si="163"/>
        <v>44151</v>
      </c>
      <c r="C251" s="61"/>
      <c r="D251" s="17">
        <v>162149</v>
      </c>
      <c r="E251" s="16"/>
      <c r="F251" s="16"/>
      <c r="G251" s="16"/>
      <c r="H251" s="16">
        <f t="shared" ref="H251" si="697">+H250+D251</f>
        <v>11418923</v>
      </c>
      <c r="I251" s="16"/>
      <c r="J251" s="479">
        <f t="shared" ref="J251" si="698">+D251/H250</f>
        <v>1.4404570972109771E-2</v>
      </c>
      <c r="K251" s="16"/>
      <c r="L251" s="16"/>
      <c r="M251" s="16"/>
      <c r="N251" s="16">
        <f t="shared" ref="N251" si="699">SUM(D245:D251)</f>
        <v>1081278</v>
      </c>
      <c r="O251" s="16">
        <f t="shared" ref="O251" si="700">+H251/BW251</f>
        <v>47185.632231404961</v>
      </c>
      <c r="P251" s="41"/>
      <c r="Q251" s="17">
        <f t="shared" ref="Q251" si="701">SUM(D245:D251)</f>
        <v>1081278</v>
      </c>
      <c r="R251" s="16"/>
      <c r="S251" s="60">
        <f t="shared" ref="S251" si="702">+(Q251-Q244)/Q244</f>
        <v>0.34066936880750781</v>
      </c>
      <c r="T251" s="16"/>
      <c r="U251" s="41"/>
      <c r="V251" s="10">
        <f t="shared" si="109"/>
        <v>143</v>
      </c>
      <c r="W251" s="34">
        <v>739</v>
      </c>
      <c r="X251" s="33"/>
      <c r="Y251" s="33"/>
      <c r="Z251" s="33"/>
      <c r="AA251" s="33">
        <f t="shared" ref="AA251" si="703">+AA250+W251</f>
        <v>251823</v>
      </c>
      <c r="AB251" s="33"/>
      <c r="AC251" s="46">
        <f t="shared" ref="AC251" si="704">+AA251/H251</f>
        <v>2.2053130579827888E-2</v>
      </c>
      <c r="AD251" s="33"/>
      <c r="AE251" s="33">
        <f t="shared" ref="AE251" si="705">+AA251/BW251</f>
        <v>1040.590909090909</v>
      </c>
      <c r="AF251" s="50"/>
      <c r="AG251" s="33">
        <f t="shared" ref="AG251" si="706">SUM(W245:W251)</f>
        <v>7979</v>
      </c>
      <c r="AH251" s="33">
        <f t="shared" ref="AH251" si="707">SUM(D222:D422)</f>
        <v>795362124.34662843</v>
      </c>
      <c r="AI251" s="231">
        <f t="shared" ref="AI251" si="708">+(AG251-AG244)/AG244</f>
        <v>0.14921503672763936</v>
      </c>
      <c r="AJ251" s="50"/>
      <c r="AK251" s="10"/>
      <c r="AL251" s="23">
        <f t="shared" ref="AL251" si="709">+AP251-AP250</f>
        <v>83674</v>
      </c>
      <c r="AM251" s="24"/>
      <c r="AN251" s="24"/>
      <c r="AO251" s="24">
        <v>178263</v>
      </c>
      <c r="AP251" s="24">
        <v>7019304</v>
      </c>
      <c r="AQ251" s="24"/>
      <c r="AR251" s="504">
        <f t="shared" ref="AR251" si="710">+AL251/AP250</f>
        <v>1.2064369062363477E-2</v>
      </c>
      <c r="AS251" s="25"/>
      <c r="AT251" s="25"/>
      <c r="AU251" s="24"/>
      <c r="AV251" s="341">
        <f t="shared" ref="AV251" si="711">+AP251/H251</f>
        <v>0.61470805959546271</v>
      </c>
      <c r="AW251" s="341"/>
      <c r="AX251" s="24">
        <f t="shared" ref="AX251" si="712">+AP251/BW251</f>
        <v>29005.388429752067</v>
      </c>
      <c r="AY251" s="351"/>
      <c r="AZ251" s="10"/>
      <c r="BA251" s="66">
        <f t="shared" ref="BA251" si="713">+BC251-BC250</f>
        <v>1980160</v>
      </c>
      <c r="BB251" s="67"/>
      <c r="BC251" s="67">
        <v>170136004</v>
      </c>
      <c r="BD251" s="67"/>
      <c r="BE251" s="67">
        <f t="shared" ref="BE251" si="714">+D251</f>
        <v>162149</v>
      </c>
      <c r="BF251" s="67"/>
      <c r="BG251" s="156">
        <f t="shared" ref="BG251" si="715">+BE251/BA251</f>
        <v>8.1886817226890757E-2</v>
      </c>
      <c r="BH251" s="67"/>
      <c r="BI251" s="183"/>
      <c r="BJ251" s="67"/>
      <c r="BK251" s="67">
        <f t="shared" ref="BK251" si="716">SUM(BA245:BA251)</f>
        <v>10851891</v>
      </c>
      <c r="BL251" s="67"/>
      <c r="BM251" s="156">
        <f t="shared" ref="BM251" si="717">+Q251/BK251</f>
        <v>9.9639592767748961E-2</v>
      </c>
      <c r="BN251" s="66">
        <f t="shared" ref="BN251" si="718">+BC251/BW251</f>
        <v>703041.33884297521</v>
      </c>
      <c r="BO251" s="67"/>
      <c r="BP251" s="67">
        <f t="shared" ref="BP251" si="719">+BP250+BE251</f>
        <v>11076276</v>
      </c>
      <c r="BQ251" s="67"/>
      <c r="BR251" s="478">
        <f t="shared" ref="BR251" si="720">+BP251/BC251</f>
        <v>6.5102481189107983E-2</v>
      </c>
      <c r="BS251" s="67"/>
      <c r="BT251" s="86"/>
      <c r="BU251" s="183"/>
      <c r="BV251" s="1"/>
      <c r="BW251" s="61">
        <f t="shared" si="189"/>
        <v>242</v>
      </c>
    </row>
    <row r="252" spans="2:75" x14ac:dyDescent="0.3">
      <c r="B252" s="171">
        <f t="shared" si="163"/>
        <v>44152</v>
      </c>
      <c r="C252" s="61"/>
      <c r="D252" s="17">
        <v>157261</v>
      </c>
      <c r="E252" s="16"/>
      <c r="F252" s="16"/>
      <c r="G252" s="16"/>
      <c r="H252" s="16">
        <f t="shared" ref="H252" si="721">+H251+D252</f>
        <v>11576184</v>
      </c>
      <c r="I252" s="16"/>
      <c r="J252" s="479">
        <f t="shared" ref="J252" si="722">+D252/H251</f>
        <v>1.3771964308718082E-2</v>
      </c>
      <c r="K252" s="16"/>
      <c r="L252" s="16"/>
      <c r="M252" s="16"/>
      <c r="N252" s="16">
        <f t="shared" ref="N252" si="723">SUM(D246:D252)</f>
        <v>1102886</v>
      </c>
      <c r="O252" s="16">
        <f t="shared" ref="O252" si="724">+H252/BW252</f>
        <v>47638.617283950618</v>
      </c>
      <c r="P252" s="41"/>
      <c r="Q252" s="17">
        <f t="shared" ref="Q252" si="725">SUM(D246:D252)</f>
        <v>1102886</v>
      </c>
      <c r="R252" s="16"/>
      <c r="S252" s="60">
        <f t="shared" ref="S252" si="726">+(Q252-Q245)/Q245</f>
        <v>0.30102264107763649</v>
      </c>
      <c r="T252" s="16"/>
      <c r="U252" s="41"/>
      <c r="V252" s="10">
        <f t="shared" si="109"/>
        <v>144</v>
      </c>
      <c r="W252" s="34">
        <v>1615</v>
      </c>
      <c r="X252" s="33"/>
      <c r="Y252" s="33"/>
      <c r="Z252" s="33"/>
      <c r="AA252" s="33">
        <f t="shared" ref="AA252" si="727">+AA251+W252</f>
        <v>253438</v>
      </c>
      <c r="AB252" s="33"/>
      <c r="AC252" s="46">
        <f t="shared" ref="AC252" si="728">+AA252/H252</f>
        <v>2.1893052149136536E-2</v>
      </c>
      <c r="AD252" s="33"/>
      <c r="AE252" s="33">
        <f t="shared" ref="AE252" si="729">+AA252/BW252</f>
        <v>1042.9547325102881</v>
      </c>
      <c r="AF252" s="50"/>
      <c r="AG252" s="33">
        <f t="shared" ref="AG252" si="730">SUM(W246:W252)</f>
        <v>8248</v>
      </c>
      <c r="AH252" s="33">
        <f t="shared" ref="AH252" si="731">SUM(D223:D423)</f>
        <v>795317183.34662843</v>
      </c>
      <c r="AI252" s="231">
        <f t="shared" ref="AI252" si="732">+(AG252-AG245)/AG245</f>
        <v>0.16136299633905943</v>
      </c>
      <c r="AJ252" s="50"/>
      <c r="AK252" s="10"/>
      <c r="AL252" s="23">
        <f t="shared" ref="AL252" si="733">+AP252-AP251</f>
        <v>68492</v>
      </c>
      <c r="AM252" s="24"/>
      <c r="AN252" s="24"/>
      <c r="AO252" s="24">
        <v>178263</v>
      </c>
      <c r="AP252" s="24">
        <v>7087796</v>
      </c>
      <c r="AQ252" s="24"/>
      <c r="AR252" s="504">
        <f t="shared" ref="AR252" si="734">+AL252/AP251</f>
        <v>9.7576625830709147E-3</v>
      </c>
      <c r="AS252" s="25"/>
      <c r="AT252" s="25"/>
      <c r="AU252" s="24"/>
      <c r="AV252" s="341">
        <f t="shared" ref="AV252" si="735">+AP252/H252</f>
        <v>0.61227395832685449</v>
      </c>
      <c r="AW252" s="341"/>
      <c r="AX252" s="24">
        <f t="shared" ref="AX252" si="736">+AP252/BW252</f>
        <v>29167.88477366255</v>
      </c>
      <c r="AY252" s="351"/>
      <c r="AZ252" s="10"/>
      <c r="BA252" s="66">
        <f t="shared" ref="BA252" si="737">+BC252-BC251</f>
        <v>1555687</v>
      </c>
      <c r="BB252" s="67"/>
      <c r="BC252" s="67">
        <v>171691691</v>
      </c>
      <c r="BD252" s="67"/>
      <c r="BE252" s="67">
        <f t="shared" ref="BE252" si="738">+D252</f>
        <v>157261</v>
      </c>
      <c r="BF252" s="67"/>
      <c r="BG252" s="156">
        <f t="shared" ref="BG252" si="739">+BE252/BA252</f>
        <v>0.10108781522247084</v>
      </c>
      <c r="BH252" s="67"/>
      <c r="BI252" s="183"/>
      <c r="BJ252" s="67"/>
      <c r="BK252" s="67">
        <f t="shared" ref="BK252" si="740">SUM(BA246:BA252)</f>
        <v>11096112</v>
      </c>
      <c r="BL252" s="67"/>
      <c r="BM252" s="156">
        <f t="shared" ref="BM252" si="741">+Q252/BK252</f>
        <v>9.9393913832160313E-2</v>
      </c>
      <c r="BN252" s="66">
        <f t="shared" ref="BN252" si="742">+BC252/BW252</f>
        <v>706550.16872427985</v>
      </c>
      <c r="BO252" s="67"/>
      <c r="BP252" s="67">
        <f t="shared" ref="BP252" si="743">+BP251+BE252</f>
        <v>11233537</v>
      </c>
      <c r="BQ252" s="67"/>
      <c r="BR252" s="478">
        <f t="shared" ref="BR252" si="744">+BP252/BC252</f>
        <v>6.5428541908880145E-2</v>
      </c>
      <c r="BS252" s="67"/>
      <c r="BT252" s="86"/>
      <c r="BU252" s="183"/>
      <c r="BV252" s="1"/>
      <c r="BW252" s="61">
        <f t="shared" si="189"/>
        <v>243</v>
      </c>
    </row>
    <row r="253" spans="2:75" x14ac:dyDescent="0.3">
      <c r="B253" s="171">
        <f t="shared" si="163"/>
        <v>44153</v>
      </c>
      <c r="C253" s="61"/>
      <c r="D253" s="17">
        <v>173768</v>
      </c>
      <c r="E253" s="16"/>
      <c r="F253" s="16"/>
      <c r="G253" s="16"/>
      <c r="H253" s="16">
        <f t="shared" ref="H253" si="745">+H252+D253</f>
        <v>11749952</v>
      </c>
      <c r="I253" s="16"/>
      <c r="J253" s="479">
        <f t="shared" ref="J253" si="746">+D253/H252</f>
        <v>1.5010818763765331E-2</v>
      </c>
      <c r="K253" s="16"/>
      <c r="L253" s="16"/>
      <c r="M253" s="16"/>
      <c r="N253" s="16">
        <f t="shared" ref="N253" si="747">SUM(D247:D253)</f>
        <v>1133748</v>
      </c>
      <c r="O253" s="16">
        <f t="shared" ref="O253" si="748">+H253/BW253</f>
        <v>48155.540983606559</v>
      </c>
      <c r="P253" s="41"/>
      <c r="Q253" s="17">
        <f t="shared" ref="Q253" si="749">SUM(D247:D253)</f>
        <v>1133748</v>
      </c>
      <c r="R253" s="16"/>
      <c r="S253" s="60">
        <f t="shared" ref="S253" si="750">+(Q253-Q246)/Q246</f>
        <v>0.28510219626761457</v>
      </c>
      <c r="T253" s="16"/>
      <c r="U253" s="41"/>
      <c r="V253" s="10">
        <f t="shared" si="109"/>
        <v>145</v>
      </c>
      <c r="W253" s="34">
        <v>1964</v>
      </c>
      <c r="X253" s="33"/>
      <c r="Y253" s="33"/>
      <c r="Z253" s="33"/>
      <c r="AA253" s="33">
        <f t="shared" ref="AA253" si="751">+AA252+W253</f>
        <v>255402</v>
      </c>
      <c r="AB253" s="33"/>
      <c r="AC253" s="46">
        <f t="shared" ref="AC253" si="752">+AA253/H253</f>
        <v>2.173642922115767E-2</v>
      </c>
      <c r="AD253" s="33"/>
      <c r="AE253" s="33">
        <f t="shared" ref="AE253" si="753">+AA253/BW253</f>
        <v>1046.7295081967213</v>
      </c>
      <c r="AF253" s="50"/>
      <c r="AG253" s="33">
        <f t="shared" ref="AG253" si="754">SUM(W247:W253)</f>
        <v>8742</v>
      </c>
      <c r="AH253" s="33">
        <f t="shared" ref="AH253" si="755">SUM(D224:D424)</f>
        <v>795259856.34662843</v>
      </c>
      <c r="AI253" s="231">
        <f t="shared" ref="AI253" si="756">+(AG253-AG246)/AG246</f>
        <v>0.185999185999186</v>
      </c>
      <c r="AJ253" s="50"/>
      <c r="AK253" s="10"/>
      <c r="AL253" s="23">
        <f t="shared" ref="AL253" si="757">+AP253-AP252</f>
        <v>112200</v>
      </c>
      <c r="AM253" s="24"/>
      <c r="AN253" s="24"/>
      <c r="AO253" s="24">
        <v>178263</v>
      </c>
      <c r="AP253" s="24">
        <v>7199996</v>
      </c>
      <c r="AQ253" s="24"/>
      <c r="AR253" s="504">
        <f t="shared" ref="AR253" si="758">+AL253/AP252</f>
        <v>1.583002671070104E-2</v>
      </c>
      <c r="AS253" s="25"/>
      <c r="AT253" s="25"/>
      <c r="AU253" s="24"/>
      <c r="AV253" s="341">
        <f t="shared" ref="AV253" si="759">+AP253/H253</f>
        <v>0.61276812024423588</v>
      </c>
      <c r="AW253" s="341"/>
      <c r="AX253" s="24">
        <f t="shared" ref="AX253" si="760">+AP253/BW253</f>
        <v>29508.180327868853</v>
      </c>
      <c r="AY253" s="351"/>
      <c r="AZ253" s="10"/>
      <c r="BA253" s="66">
        <f t="shared" ref="BA253" si="761">+BC253-BC252</f>
        <v>1544138</v>
      </c>
      <c r="BB253" s="67"/>
      <c r="BC253" s="67">
        <v>173235829</v>
      </c>
      <c r="BD253" s="67"/>
      <c r="BE253" s="67">
        <f t="shared" ref="BE253" si="762">+D253</f>
        <v>173768</v>
      </c>
      <c r="BF253" s="67"/>
      <c r="BG253" s="156">
        <f t="shared" ref="BG253" si="763">+BE253/BA253</f>
        <v>0.11253398336159073</v>
      </c>
      <c r="BH253" s="67"/>
      <c r="BI253" s="183"/>
      <c r="BJ253" s="67"/>
      <c r="BK253" s="67">
        <f t="shared" ref="BK253" si="764">SUM(BA247:BA253)</f>
        <v>11318262</v>
      </c>
      <c r="BL253" s="67"/>
      <c r="BM253" s="156">
        <f t="shared" ref="BM253" si="765">+Q253/BK253</f>
        <v>0.10016979638746655</v>
      </c>
      <c r="BN253" s="66">
        <f t="shared" ref="BN253" si="766">+BC253/BW253</f>
        <v>709982.90573770495</v>
      </c>
      <c r="BO253" s="67"/>
      <c r="BP253" s="67">
        <f t="shared" ref="BP253" si="767">+BP252+BE253</f>
        <v>11407305</v>
      </c>
      <c r="BQ253" s="67"/>
      <c r="BR253" s="478">
        <f t="shared" ref="BR253" si="768">+BP253/BC253</f>
        <v>6.5848416380424393E-2</v>
      </c>
      <c r="BS253" s="67"/>
      <c r="BT253" s="86"/>
      <c r="BU253" s="183"/>
      <c r="BV253" s="1"/>
      <c r="BW253" s="61">
        <f t="shared" si="189"/>
        <v>244</v>
      </c>
    </row>
    <row r="254" spans="2:75" x14ac:dyDescent="0.3">
      <c r="B254" s="171">
        <f t="shared" si="163"/>
        <v>44154</v>
      </c>
      <c r="C254" s="61"/>
      <c r="D254" s="17">
        <v>192186</v>
      </c>
      <c r="E254" s="16"/>
      <c r="F254" s="16"/>
      <c r="G254" s="16"/>
      <c r="H254" s="16">
        <f t="shared" ref="H254" si="769">+H253+D254</f>
        <v>11942138</v>
      </c>
      <c r="I254" s="16"/>
      <c r="J254" s="479">
        <f t="shared" ref="J254" si="770">+D254/H253</f>
        <v>1.6356322136464898E-2</v>
      </c>
      <c r="K254" s="16"/>
      <c r="L254" s="16"/>
      <c r="M254" s="16"/>
      <c r="N254" s="16">
        <f t="shared" ref="N254" si="771">SUM(D248:D254)</f>
        <v>1164393</v>
      </c>
      <c r="O254" s="16">
        <f t="shared" ref="O254" si="772">+H254/BW254</f>
        <v>48743.420408163263</v>
      </c>
      <c r="P254" s="41"/>
      <c r="Q254" s="17">
        <f t="shared" ref="Q254" si="773">SUM(D248:D254)</f>
        <v>1164393</v>
      </c>
      <c r="R254" s="16"/>
      <c r="S254" s="60">
        <f t="shared" ref="S254" si="774">+(Q254-Q247)/Q247</f>
        <v>0.25819658845572835</v>
      </c>
      <c r="T254" s="16"/>
      <c r="U254" s="41"/>
      <c r="V254" s="10">
        <f t="shared" si="109"/>
        <v>146</v>
      </c>
      <c r="W254" s="34">
        <v>2065</v>
      </c>
      <c r="X254" s="33"/>
      <c r="Y254" s="33"/>
      <c r="Z254" s="33"/>
      <c r="AA254" s="33">
        <f t="shared" ref="AA254" si="775">+AA253+W254</f>
        <v>257467</v>
      </c>
      <c r="AB254" s="33"/>
      <c r="AC254" s="46">
        <f t="shared" ref="AC254" si="776">+AA254/H254</f>
        <v>2.1559539841190915E-2</v>
      </c>
      <c r="AD254" s="33"/>
      <c r="AE254" s="33">
        <f t="shared" ref="AE254" si="777">+AA254/BW254</f>
        <v>1050.8857142857144</v>
      </c>
      <c r="AF254" s="50"/>
      <c r="AG254" s="33">
        <f t="shared" ref="AG254" si="778">SUM(W248:W254)</f>
        <v>9617</v>
      </c>
      <c r="AH254" s="33">
        <f t="shared" ref="AH254" si="779">SUM(D225:D425)</f>
        <v>795197784.34662843</v>
      </c>
      <c r="AI254" s="231">
        <f t="shared" ref="AI254" si="780">+(AG254-AG247)/AG247</f>
        <v>0.29365079365079366</v>
      </c>
      <c r="AJ254" s="50"/>
      <c r="AK254" s="10"/>
      <c r="AL254" s="23">
        <f t="shared" ref="AL254" si="781">+AP254-AP253</f>
        <v>43492</v>
      </c>
      <c r="AM254" s="24"/>
      <c r="AN254" s="24"/>
      <c r="AO254" s="24">
        <v>178263</v>
      </c>
      <c r="AP254" s="24">
        <v>7243488</v>
      </c>
      <c r="AQ254" s="24"/>
      <c r="AR254" s="504">
        <f t="shared" ref="AR254" si="782">+AL254/AP253</f>
        <v>6.0405589114216176E-3</v>
      </c>
      <c r="AS254" s="25"/>
      <c r="AT254" s="25"/>
      <c r="AU254" s="24"/>
      <c r="AV254" s="341">
        <f t="shared" ref="AV254" si="783">+AP254/H254</f>
        <v>0.60654867662725054</v>
      </c>
      <c r="AW254" s="341"/>
      <c r="AX254" s="24">
        <f t="shared" ref="AX254" si="784">+AP254/BW254</f>
        <v>29565.257142857143</v>
      </c>
      <c r="AY254" s="351"/>
      <c r="AZ254" s="10"/>
      <c r="BA254" s="66">
        <f t="shared" ref="BA254" si="785">+BC254-BC253</f>
        <v>1748416</v>
      </c>
      <c r="BB254" s="67"/>
      <c r="BC254" s="67">
        <v>174984245</v>
      </c>
      <c r="BD254" s="67"/>
      <c r="BE254" s="67">
        <f t="shared" ref="BE254" si="786">+D254</f>
        <v>192186</v>
      </c>
      <c r="BF254" s="67"/>
      <c r="BG254" s="156">
        <f t="shared" ref="BG254" si="787">+BE254/BA254</f>
        <v>0.10992006479007284</v>
      </c>
      <c r="BH254" s="67"/>
      <c r="BI254" s="183"/>
      <c r="BJ254" s="67"/>
      <c r="BK254" s="67">
        <f t="shared" ref="BK254" si="788">SUM(BA248:BA254)</f>
        <v>11529540</v>
      </c>
      <c r="BL254" s="67"/>
      <c r="BM254" s="156">
        <f t="shared" ref="BM254" si="789">+Q254/BK254</f>
        <v>0.10099214712815949</v>
      </c>
      <c r="BN254" s="66">
        <f t="shared" ref="BN254" si="790">+BC254/BW254</f>
        <v>714221.40816326533</v>
      </c>
      <c r="BO254" s="67"/>
      <c r="BP254" s="67">
        <f t="shared" ref="BP254" si="791">+BP253+BE254</f>
        <v>11599491</v>
      </c>
      <c r="BQ254" s="67"/>
      <c r="BR254" s="478">
        <f t="shared" ref="BR254" si="792">+BP254/BC254</f>
        <v>6.6288773597874481E-2</v>
      </c>
      <c r="BS254" s="67"/>
      <c r="BT254" s="86"/>
      <c r="BU254" s="183"/>
      <c r="BV254" s="1"/>
      <c r="BW254" s="61">
        <f t="shared" si="189"/>
        <v>245</v>
      </c>
    </row>
    <row r="255" spans="2:75" x14ac:dyDescent="0.3">
      <c r="B255" s="171">
        <f t="shared" si="163"/>
        <v>44155</v>
      </c>
      <c r="C255" s="61"/>
      <c r="D255" s="17">
        <v>204179</v>
      </c>
      <c r="E255" s="16"/>
      <c r="F255" s="16"/>
      <c r="G255" s="16"/>
      <c r="H255" s="16">
        <f t="shared" ref="H255" si="793">+H254+D255</f>
        <v>12146317</v>
      </c>
      <c r="I255" s="16"/>
      <c r="J255" s="479">
        <f t="shared" ref="J255" si="794">+D255/H254</f>
        <v>1.7097357273881779E-2</v>
      </c>
      <c r="K255" s="16"/>
      <c r="L255" s="16"/>
      <c r="M255" s="16"/>
      <c r="N255" s="16">
        <f t="shared" ref="N255" si="795">SUM(D249:D255)</f>
        <v>1185045</v>
      </c>
      <c r="O255" s="16">
        <f t="shared" ref="O255" si="796">+H255/BW255</f>
        <v>49375.272357723574</v>
      </c>
      <c r="P255" s="41"/>
      <c r="Q255" s="17">
        <f t="shared" ref="Q255" si="797">SUM(D249:D255)</f>
        <v>1185045</v>
      </c>
      <c r="R255" s="16"/>
      <c r="S255" s="60">
        <f t="shared" ref="S255" si="798">+(Q255-Q248)/Q248</f>
        <v>0.21364826224458028</v>
      </c>
      <c r="T255" s="16"/>
      <c r="U255" s="41"/>
      <c r="V255" s="10">
        <f t="shared" si="109"/>
        <v>147</v>
      </c>
      <c r="W255" s="34">
        <v>1998</v>
      </c>
      <c r="X255" s="33"/>
      <c r="Y255" s="33"/>
      <c r="Z255" s="33"/>
      <c r="AA255" s="33">
        <f t="shared" ref="AA255" si="799">+AA254+W255</f>
        <v>259465</v>
      </c>
      <c r="AB255" s="33"/>
      <c r="AC255" s="46">
        <f t="shared" ref="AC255" si="800">+AA255/H255</f>
        <v>2.1361619328723266E-2</v>
      </c>
      <c r="AD255" s="33"/>
      <c r="AE255" s="33">
        <f t="shared" ref="AE255" si="801">+AA255/BW255</f>
        <v>1054.7357723577236</v>
      </c>
      <c r="AF255" s="50"/>
      <c r="AG255" s="33">
        <f t="shared" ref="AG255" si="802">SUM(W249:W255)</f>
        <v>10220</v>
      </c>
      <c r="AH255" s="33">
        <f t="shared" ref="AH255" si="803">SUM(D226:D426)</f>
        <v>795134121.34662843</v>
      </c>
      <c r="AI255" s="231">
        <f t="shared" ref="AI255" si="804">+(AG255-AG248)/AG248</f>
        <v>0.34739617666446937</v>
      </c>
      <c r="AJ255" s="50"/>
      <c r="AK255" s="10"/>
      <c r="AL255" s="23">
        <f t="shared" ref="AL255" si="805">+AP255-AP254</f>
        <v>73572</v>
      </c>
      <c r="AM255" s="24"/>
      <c r="AN255" s="24"/>
      <c r="AO255" s="24">
        <v>178263</v>
      </c>
      <c r="AP255" s="24">
        <v>7317060</v>
      </c>
      <c r="AQ255" s="24"/>
      <c r="AR255" s="504">
        <f t="shared" ref="AR255" si="806">+AL255/AP254</f>
        <v>1.0156985143069196E-2</v>
      </c>
      <c r="AS255" s="25"/>
      <c r="AT255" s="25"/>
      <c r="AU255" s="24"/>
      <c r="AV255" s="341">
        <f t="shared" ref="AV255" si="807">+AP255/H255</f>
        <v>0.60240976750400965</v>
      </c>
      <c r="AW255" s="341"/>
      <c r="AX255" s="24">
        <f t="shared" ref="AX255" si="808">+AP255/BW255</f>
        <v>29744.146341463416</v>
      </c>
      <c r="AY255" s="351"/>
      <c r="AZ255" s="10"/>
      <c r="BA255" s="66">
        <f t="shared" ref="BA255" si="809">+BC255-BC254</f>
        <v>2172596</v>
      </c>
      <c r="BB255" s="67"/>
      <c r="BC255" s="67">
        <v>177156841</v>
      </c>
      <c r="BD255" s="67"/>
      <c r="BE255" s="67">
        <f t="shared" ref="BE255" si="810">+D255</f>
        <v>204179</v>
      </c>
      <c r="BF255" s="67"/>
      <c r="BG255" s="156">
        <f t="shared" ref="BG255" si="811">+BE255/BA255</f>
        <v>9.3979276404817097E-2</v>
      </c>
      <c r="BH255" s="67"/>
      <c r="BI255" s="183"/>
      <c r="BJ255" s="67"/>
      <c r="BK255" s="67">
        <f t="shared" ref="BK255" si="812">SUM(BA249:BA255)</f>
        <v>12015103</v>
      </c>
      <c r="BL255" s="67"/>
      <c r="BM255" s="156">
        <f t="shared" ref="BM255" si="813">+Q255/BK255</f>
        <v>9.8629616408615062E-2</v>
      </c>
      <c r="BN255" s="66">
        <f t="shared" ref="BN255" si="814">+BC255/BW255</f>
        <v>720149.7601626016</v>
      </c>
      <c r="BO255" s="67"/>
      <c r="BP255" s="67">
        <f t="shared" ref="BP255" si="815">+BP254+BE255</f>
        <v>11803670</v>
      </c>
      <c r="BQ255" s="67"/>
      <c r="BR255" s="478">
        <f t="shared" ref="BR255" si="816">+BP255/BC255</f>
        <v>6.6628361249679316E-2</v>
      </c>
      <c r="BS255" s="67"/>
      <c r="BT255" s="86"/>
      <c r="BU255" s="183"/>
      <c r="BV255" s="1"/>
      <c r="BW255" s="61">
        <f t="shared" si="189"/>
        <v>246</v>
      </c>
    </row>
    <row r="256" spans="2:75" x14ac:dyDescent="0.3">
      <c r="B256" s="171">
        <f t="shared" si="163"/>
        <v>44156</v>
      </c>
      <c r="C256" s="61"/>
      <c r="D256" s="17">
        <v>172839</v>
      </c>
      <c r="E256" s="16"/>
      <c r="F256" s="16"/>
      <c r="G256" s="16"/>
      <c r="H256" s="16">
        <f t="shared" ref="H256" si="817">+H255+D256</f>
        <v>12319156</v>
      </c>
      <c r="I256" s="16"/>
      <c r="J256" s="479">
        <f t="shared" ref="J256" si="818">+D256/H255</f>
        <v>1.4229745526977438E-2</v>
      </c>
      <c r="K256" s="16"/>
      <c r="L256" s="16"/>
      <c r="M256" s="16"/>
      <c r="N256" s="16">
        <f t="shared" ref="N256" si="819">SUM(D250:D256)</f>
        <v>1200631</v>
      </c>
      <c r="O256" s="16">
        <f t="shared" ref="O256" si="820">+H256/BW256</f>
        <v>49875.125506072873</v>
      </c>
      <c r="P256" s="41"/>
      <c r="Q256" s="17">
        <f t="shared" ref="Q256" si="821">SUM(D250:D256)</f>
        <v>1200631</v>
      </c>
      <c r="R256" s="16"/>
      <c r="S256" s="60">
        <f t="shared" ref="S256" si="822">+(Q256-Q249)/Q249</f>
        <v>0.18957391050188499</v>
      </c>
      <c r="T256" s="16"/>
      <c r="U256" s="41"/>
      <c r="V256" s="10">
        <f t="shared" si="109"/>
        <v>148</v>
      </c>
      <c r="W256" s="34">
        <v>1460</v>
      </c>
      <c r="X256" s="33"/>
      <c r="Y256" s="33"/>
      <c r="Z256" s="33"/>
      <c r="AA256" s="33">
        <f t="shared" ref="AA256" si="823">+AA255+W256</f>
        <v>260925</v>
      </c>
      <c r="AB256" s="33"/>
      <c r="AC256" s="46">
        <f t="shared" ref="AC256" si="824">+AA256/H256</f>
        <v>2.118042826959899E-2</v>
      </c>
      <c r="AD256" s="33"/>
      <c r="AE256" s="33">
        <f t="shared" ref="AE256" si="825">+AA256/BW256</f>
        <v>1056.3765182186235</v>
      </c>
      <c r="AF256" s="50"/>
      <c r="AG256" s="33">
        <f t="shared" ref="AG256" si="826">SUM(W250:W256)</f>
        <v>10420</v>
      </c>
      <c r="AH256" s="33">
        <f t="shared" ref="AH256" si="827">SUM(D227:D427)</f>
        <v>795059820.34662843</v>
      </c>
      <c r="AI256" s="231">
        <f t="shared" ref="AI256" si="828">+(AG256-AG249)/AG249</f>
        <v>0.33350396723829023</v>
      </c>
      <c r="AJ256" s="50"/>
      <c r="AK256" s="10"/>
      <c r="AL256" s="23">
        <f t="shared" ref="AL256" si="829">+AP256-AP255</f>
        <v>86787</v>
      </c>
      <c r="AM256" s="24"/>
      <c r="AN256" s="24"/>
      <c r="AO256" s="24">
        <v>178263</v>
      </c>
      <c r="AP256" s="24">
        <v>7403847</v>
      </c>
      <c r="AQ256" s="24"/>
      <c r="AR256" s="504">
        <f t="shared" ref="AR256" si="830">+AL256/AP255</f>
        <v>1.1860911349640429E-2</v>
      </c>
      <c r="AS256" s="25"/>
      <c r="AT256" s="25"/>
      <c r="AU256" s="24"/>
      <c r="AV256" s="341">
        <f t="shared" ref="AV256" si="831">+AP256/H256</f>
        <v>0.60100277973588445</v>
      </c>
      <c r="AW256" s="341"/>
      <c r="AX256" s="24">
        <f t="shared" ref="AX256" si="832">+AP256/BW256</f>
        <v>29975.08906882591</v>
      </c>
      <c r="AY256" s="351"/>
      <c r="AZ256" s="10"/>
      <c r="BA256" s="66">
        <f t="shared" ref="BA256" si="833">+BC256-BC255</f>
        <v>1882866</v>
      </c>
      <c r="BB256" s="67"/>
      <c r="BC256" s="67">
        <v>179039707</v>
      </c>
      <c r="BD256" s="67"/>
      <c r="BE256" s="67">
        <f t="shared" ref="BE256" si="834">+D256</f>
        <v>172839</v>
      </c>
      <c r="BF256" s="67"/>
      <c r="BG256" s="156">
        <f t="shared" ref="BG256" si="835">+BE256/BA256</f>
        <v>9.1795698684877206E-2</v>
      </c>
      <c r="BH256" s="67"/>
      <c r="BI256" s="183"/>
      <c r="BJ256" s="67"/>
      <c r="BK256" s="67">
        <f t="shared" ref="BK256" si="836">SUM(BA250:BA256)</f>
        <v>12288223</v>
      </c>
      <c r="BL256" s="67"/>
      <c r="BM256" s="156">
        <f t="shared" ref="BM256" si="837">+Q256/BK256</f>
        <v>9.7705827766960282E-2</v>
      </c>
      <c r="BN256" s="66">
        <f t="shared" ref="BN256" si="838">+BC256/BW256</f>
        <v>724857.11336032394</v>
      </c>
      <c r="BO256" s="67"/>
      <c r="BP256" s="67">
        <f t="shared" ref="BP256" si="839">+BP255+BE256</f>
        <v>11976509</v>
      </c>
      <c r="BQ256" s="67"/>
      <c r="BR256" s="478">
        <f t="shared" ref="BR256" si="840">+BP256/BC256</f>
        <v>6.689303283991635E-2</v>
      </c>
      <c r="BS256" s="67"/>
      <c r="BT256" s="86"/>
      <c r="BU256" s="183"/>
      <c r="BV256" s="1"/>
      <c r="BW256" s="61">
        <f t="shared" si="189"/>
        <v>247</v>
      </c>
    </row>
    <row r="257" spans="2:75" x14ac:dyDescent="0.3">
      <c r="B257" s="390">
        <f t="shared" si="163"/>
        <v>44157</v>
      </c>
      <c r="C257" s="61"/>
      <c r="D257" s="17">
        <v>136627</v>
      </c>
      <c r="E257" s="16"/>
      <c r="F257" s="16"/>
      <c r="G257" s="16"/>
      <c r="H257" s="16">
        <f t="shared" ref="H257" si="841">+H256+D257</f>
        <v>12455783</v>
      </c>
      <c r="I257" s="16"/>
      <c r="J257" s="479">
        <f t="shared" ref="J257" si="842">+D257/H256</f>
        <v>1.1090613675157616E-2</v>
      </c>
      <c r="K257" s="16"/>
      <c r="L257" s="16"/>
      <c r="M257" s="16"/>
      <c r="N257" s="16">
        <f t="shared" ref="N257" si="843">SUM(D251:D257)</f>
        <v>1199009</v>
      </c>
      <c r="O257" s="16">
        <f t="shared" ref="O257" si="844">+H257/BW257</f>
        <v>50224.931451612902</v>
      </c>
      <c r="P257" s="41"/>
      <c r="Q257" s="17">
        <f t="shared" ref="Q257" si="845">SUM(D251:D257)</f>
        <v>1199009</v>
      </c>
      <c r="R257" s="16"/>
      <c r="S257" s="60">
        <f t="shared" ref="S257" si="846">+(Q257-Q250)/Q250</f>
        <v>0.14757689856032344</v>
      </c>
      <c r="T257" s="16"/>
      <c r="U257" s="41"/>
      <c r="V257" s="10">
        <f t="shared" si="109"/>
        <v>149</v>
      </c>
      <c r="W257" s="34">
        <v>866</v>
      </c>
      <c r="X257" s="33"/>
      <c r="Y257" s="33"/>
      <c r="Z257" s="33"/>
      <c r="AA257" s="33">
        <f t="shared" ref="AA257" si="847">+AA256+W257</f>
        <v>261791</v>
      </c>
      <c r="AB257" s="33"/>
      <c r="AC257" s="46">
        <f t="shared" ref="AC257" si="848">+AA257/H257</f>
        <v>2.1017626912736037E-2</v>
      </c>
      <c r="AD257" s="33"/>
      <c r="AE257" s="33">
        <f t="shared" ref="AE257" si="849">+AA257/BW257</f>
        <v>1055.608870967742</v>
      </c>
      <c r="AF257" s="50"/>
      <c r="AG257" s="33">
        <f t="shared" ref="AG257" si="850">SUM(W251:W257)</f>
        <v>10707</v>
      </c>
      <c r="AH257" s="33">
        <f t="shared" ref="AH257" si="851">SUM(D228:D428)</f>
        <v>794978406.34662843</v>
      </c>
      <c r="AI257" s="231">
        <f t="shared" ref="AI257" si="852">+(AG257-AG250)/AG250</f>
        <v>0.35858393604872479</v>
      </c>
      <c r="AJ257" s="50"/>
      <c r="AK257" s="10"/>
      <c r="AL257" s="23">
        <f t="shared" ref="AL257" si="853">+AP257-AP256</f>
        <v>48693</v>
      </c>
      <c r="AM257" s="24"/>
      <c r="AN257" s="24"/>
      <c r="AO257" s="24">
        <v>178263</v>
      </c>
      <c r="AP257" s="24">
        <v>7452540</v>
      </c>
      <c r="AQ257" s="24"/>
      <c r="AR257" s="504">
        <f t="shared" ref="AR257" si="854">+AL257/AP256</f>
        <v>6.5767161314921824E-3</v>
      </c>
      <c r="AS257" s="25"/>
      <c r="AT257" s="25"/>
      <c r="AU257" s="24"/>
      <c r="AV257" s="341">
        <f t="shared" ref="AV257" si="855">+AP257/H257</f>
        <v>0.59831967207521197</v>
      </c>
      <c r="AW257" s="341"/>
      <c r="AX257" s="24">
        <f t="shared" ref="AX257" si="856">+AP257/BW257</f>
        <v>30050.564516129034</v>
      </c>
      <c r="AY257" s="351"/>
      <c r="AZ257" s="10"/>
      <c r="BA257" s="66">
        <f t="shared" ref="BA257" si="857">+BC257-BC256</f>
        <v>1632877</v>
      </c>
      <c r="BB257" s="67"/>
      <c r="BC257" s="67">
        <v>180672584</v>
      </c>
      <c r="BD257" s="67"/>
      <c r="BE257" s="67">
        <f t="shared" ref="BE257" si="858">+D257</f>
        <v>136627</v>
      </c>
      <c r="BF257" s="67"/>
      <c r="BG257" s="156">
        <f t="shared" ref="BG257" si="859">+BE257/BA257</f>
        <v>8.3672560762384426E-2</v>
      </c>
      <c r="BH257" s="67"/>
      <c r="BI257" s="183"/>
      <c r="BJ257" s="67"/>
      <c r="BK257" s="67">
        <f t="shared" ref="BK257" si="860">SUM(BA251:BA257)</f>
        <v>12516740</v>
      </c>
      <c r="BL257" s="67"/>
      <c r="BM257" s="156">
        <f t="shared" ref="BM257" si="861">+Q257/BK257</f>
        <v>9.5792434771354198E-2</v>
      </c>
      <c r="BN257" s="66">
        <f t="shared" ref="BN257" si="862">+BC257/BW257</f>
        <v>728518.48387096776</v>
      </c>
      <c r="BO257" s="67"/>
      <c r="BP257" s="67">
        <f t="shared" ref="BP257" si="863">+BP256+BE257</f>
        <v>12113136</v>
      </c>
      <c r="BQ257" s="67"/>
      <c r="BR257" s="478">
        <f t="shared" ref="BR257" si="864">+BP257/BC257</f>
        <v>6.7044682329887972E-2</v>
      </c>
      <c r="BS257" s="67"/>
      <c r="BT257" s="86"/>
      <c r="BU257" s="183"/>
      <c r="BV257" s="1"/>
      <c r="BW257" s="61">
        <f t="shared" si="189"/>
        <v>248</v>
      </c>
    </row>
    <row r="258" spans="2:75" x14ac:dyDescent="0.3">
      <c r="B258" s="171">
        <f t="shared" si="163"/>
        <v>44158</v>
      </c>
      <c r="C258" s="61"/>
      <c r="D258" s="17">
        <v>172300</v>
      </c>
      <c r="E258" s="16"/>
      <c r="F258" s="16"/>
      <c r="G258" s="16"/>
      <c r="H258" s="16">
        <f t="shared" ref="H258" si="865">+H257+D258</f>
        <v>12628083</v>
      </c>
      <c r="I258" s="16"/>
      <c r="J258" s="479">
        <f t="shared" ref="J258" si="866">+D258/H257</f>
        <v>1.3832932060553721E-2</v>
      </c>
      <c r="K258" s="16"/>
      <c r="L258" s="16"/>
      <c r="M258" s="16"/>
      <c r="N258" s="16">
        <f t="shared" ref="N258" si="867">SUM(D252:D258)</f>
        <v>1209160</v>
      </c>
      <c r="O258" s="16">
        <f t="shared" ref="O258" si="868">+H258/BW258</f>
        <v>50715.192771084337</v>
      </c>
      <c r="P258" s="41"/>
      <c r="Q258" s="17">
        <f t="shared" ref="Q258" si="869">SUM(D252:D258)</f>
        <v>1209160</v>
      </c>
      <c r="R258" s="16"/>
      <c r="S258" s="60">
        <f t="shared" ref="S258" si="870">+(Q258-Q251)/Q251</f>
        <v>0.1182693072456852</v>
      </c>
      <c r="T258" s="16"/>
      <c r="U258" s="41"/>
      <c r="V258" s="10">
        <f t="shared" si="109"/>
        <v>150</v>
      </c>
      <c r="W258" s="34">
        <v>972</v>
      </c>
      <c r="X258" s="33"/>
      <c r="Y258" s="33"/>
      <c r="Z258" s="33"/>
      <c r="AA258" s="33">
        <f t="shared" ref="AA258" si="871">+AA257+W258</f>
        <v>262763</v>
      </c>
      <c r="AB258" s="33"/>
      <c r="AC258" s="46">
        <f t="shared" ref="AC258" si="872">+AA258/H258</f>
        <v>2.0807829660289691E-2</v>
      </c>
      <c r="AD258" s="33"/>
      <c r="AE258" s="33">
        <f t="shared" ref="AE258" si="873">+AA258/BW258</f>
        <v>1055.2730923694778</v>
      </c>
      <c r="AF258" s="50"/>
      <c r="AG258" s="33">
        <f t="shared" ref="AG258" si="874">SUM(W252:W258)</f>
        <v>10940</v>
      </c>
      <c r="AH258" s="33">
        <f t="shared" ref="AH258" si="875">SUM(D229:D429)</f>
        <v>794898957.34662843</v>
      </c>
      <c r="AI258" s="231">
        <f t="shared" ref="AI258" si="876">+(AG258-AG251)/AG251</f>
        <v>0.37109913522997867</v>
      </c>
      <c r="AJ258" s="50"/>
      <c r="AK258" s="10"/>
      <c r="AL258" s="23">
        <f t="shared" ref="AL258" si="877">+AP258-AP257</f>
        <v>96474</v>
      </c>
      <c r="AM258" s="24"/>
      <c r="AN258" s="24"/>
      <c r="AO258" s="24">
        <v>178263</v>
      </c>
      <c r="AP258" s="24">
        <v>7549014</v>
      </c>
      <c r="AQ258" s="24"/>
      <c r="AR258" s="504">
        <f t="shared" ref="AR258" si="878">+AL258/AP257</f>
        <v>1.2945116698467905E-2</v>
      </c>
      <c r="AS258" s="25"/>
      <c r="AT258" s="25"/>
      <c r="AU258" s="24"/>
      <c r="AV258" s="341">
        <f t="shared" ref="AV258" si="879">+AP258/H258</f>
        <v>0.59779572243863144</v>
      </c>
      <c r="AW258" s="341"/>
      <c r="AX258" s="24">
        <f t="shared" ref="AX258" si="880">+AP258/BW258</f>
        <v>30317.325301204819</v>
      </c>
      <c r="AY258" s="351"/>
      <c r="AZ258" s="10"/>
      <c r="BA258" s="66">
        <f t="shared" ref="BA258" si="881">+BC258-BC257</f>
        <v>1957711</v>
      </c>
      <c r="BB258" s="67"/>
      <c r="BC258" s="67">
        <v>182630295</v>
      </c>
      <c r="BD258" s="67"/>
      <c r="BE258" s="67">
        <f t="shared" ref="BE258" si="882">+D258</f>
        <v>172300</v>
      </c>
      <c r="BF258" s="67"/>
      <c r="BG258" s="156">
        <f t="shared" ref="BG258" si="883">+BE258/BA258</f>
        <v>8.8010947478969065E-2</v>
      </c>
      <c r="BH258" s="67"/>
      <c r="BI258" s="183"/>
      <c r="BJ258" s="67"/>
      <c r="BK258" s="67">
        <f t="shared" ref="BK258" si="884">SUM(BA252:BA258)</f>
        <v>12494291</v>
      </c>
      <c r="BL258" s="67"/>
      <c r="BM258" s="156">
        <f t="shared" ref="BM258" si="885">+Q258/BK258</f>
        <v>9.6776999991436088E-2</v>
      </c>
      <c r="BN258" s="66">
        <f t="shared" ref="BN258" si="886">+BC258/BW258</f>
        <v>733455</v>
      </c>
      <c r="BO258" s="67"/>
      <c r="BP258" s="67">
        <f t="shared" ref="BP258" si="887">+BP257+BE258</f>
        <v>12285436</v>
      </c>
      <c r="BQ258" s="67"/>
      <c r="BR258" s="478">
        <f t="shared" ref="BR258" si="888">+BP258/BC258</f>
        <v>6.7269430846618294E-2</v>
      </c>
      <c r="BS258" s="67"/>
      <c r="BT258" s="86"/>
      <c r="BU258" s="183"/>
      <c r="BV258" s="1"/>
      <c r="BW258" s="61">
        <f t="shared" si="189"/>
        <v>249</v>
      </c>
    </row>
    <row r="259" spans="2:75" x14ac:dyDescent="0.3">
      <c r="B259" s="171">
        <f t="shared" si="163"/>
        <v>44159</v>
      </c>
      <c r="C259" s="61"/>
      <c r="D259" s="17">
        <v>177082</v>
      </c>
      <c r="E259" s="16"/>
      <c r="F259" s="16"/>
      <c r="G259" s="16"/>
      <c r="H259" s="16">
        <f t="shared" ref="H259" si="889">+H258+D259</f>
        <v>12805165</v>
      </c>
      <c r="I259" s="16"/>
      <c r="J259" s="479">
        <f t="shared" ref="J259" si="890">+D259/H258</f>
        <v>1.4022872671964542E-2</v>
      </c>
      <c r="K259" s="16"/>
      <c r="L259" s="16"/>
      <c r="M259" s="16"/>
      <c r="N259" s="16">
        <f t="shared" ref="N259" si="891">SUM(D253:D259)</f>
        <v>1228981</v>
      </c>
      <c r="O259" s="16">
        <f t="shared" ref="O259" si="892">+H259/BW259</f>
        <v>51220.66</v>
      </c>
      <c r="P259" s="41"/>
      <c r="Q259" s="17">
        <f t="shared" ref="Q259" si="893">SUM(D253:D259)</f>
        <v>1228981</v>
      </c>
      <c r="R259" s="16"/>
      <c r="S259" s="60">
        <f t="shared" ref="S259" si="894">+(Q259-Q252)/Q252</f>
        <v>0.11433185297483149</v>
      </c>
      <c r="T259" s="16"/>
      <c r="U259" s="41"/>
      <c r="V259" s="10">
        <f t="shared" si="109"/>
        <v>151</v>
      </c>
      <c r="W259" s="34">
        <v>2216</v>
      </c>
      <c r="X259" s="33"/>
      <c r="Y259" s="33"/>
      <c r="Z259" s="33"/>
      <c r="AA259" s="33">
        <f t="shared" ref="AA259" si="895">+AA258+W259</f>
        <v>264979</v>
      </c>
      <c r="AB259" s="33"/>
      <c r="AC259" s="46">
        <f t="shared" ref="AC259" si="896">+AA259/H259</f>
        <v>2.0693134371950694E-2</v>
      </c>
      <c r="AD259" s="33"/>
      <c r="AE259" s="33">
        <f t="shared" ref="AE259" si="897">+AA259/BW259</f>
        <v>1059.9159999999999</v>
      </c>
      <c r="AF259" s="50"/>
      <c r="AG259" s="33">
        <f t="shared" ref="AG259" si="898">SUM(W253:W259)</f>
        <v>11541</v>
      </c>
      <c r="AH259" s="33">
        <f t="shared" ref="AH259" si="899">SUM(D230:D430)</f>
        <v>794838068.34662843</v>
      </c>
      <c r="AI259" s="231">
        <f t="shared" ref="AI259" si="900">+(AG259-AG252)/AG252</f>
        <v>0.39924830261881666</v>
      </c>
      <c r="AJ259" s="50"/>
      <c r="AK259" s="10"/>
      <c r="AL259" s="23">
        <f t="shared" ref="AL259" si="901">+AP259-AP258</f>
        <v>87992</v>
      </c>
      <c r="AM259" s="24"/>
      <c r="AN259" s="24"/>
      <c r="AO259" s="24">
        <v>178263</v>
      </c>
      <c r="AP259" s="24">
        <v>7637006</v>
      </c>
      <c r="AQ259" s="24"/>
      <c r="AR259" s="504">
        <f t="shared" ref="AR259" si="902">+AL259/AP258</f>
        <v>1.165609177569415E-2</v>
      </c>
      <c r="AS259" s="25"/>
      <c r="AT259" s="25"/>
      <c r="AU259" s="24"/>
      <c r="AV259" s="341">
        <f t="shared" ref="AV259" si="903">+AP259/H259</f>
        <v>0.59640043685497224</v>
      </c>
      <c r="AW259" s="341"/>
      <c r="AX259" s="24">
        <f t="shared" ref="AX259" si="904">+AP259/BW259</f>
        <v>30548.024000000001</v>
      </c>
      <c r="AY259" s="351"/>
      <c r="AZ259" s="10"/>
      <c r="BA259" s="66">
        <f t="shared" ref="BA259" si="905">+BC259-BC258</f>
        <v>1731520</v>
      </c>
      <c r="BB259" s="67"/>
      <c r="BC259" s="67">
        <v>184361815</v>
      </c>
      <c r="BD259" s="67"/>
      <c r="BE259" s="67">
        <f t="shared" ref="BE259" si="906">+D259</f>
        <v>177082</v>
      </c>
      <c r="BF259" s="67"/>
      <c r="BG259" s="156">
        <f t="shared" ref="BG259" si="907">+BE259/BA259</f>
        <v>0.10226968212899649</v>
      </c>
      <c r="BH259" s="67"/>
      <c r="BI259" s="183"/>
      <c r="BJ259" s="67"/>
      <c r="BK259" s="67">
        <f t="shared" ref="BK259" si="908">SUM(BA253:BA259)</f>
        <v>12670124</v>
      </c>
      <c r="BL259" s="67"/>
      <c r="BM259" s="156">
        <f t="shared" ref="BM259" si="909">+Q259/BK259</f>
        <v>9.6998340347734566E-2</v>
      </c>
      <c r="BN259" s="66">
        <f t="shared" ref="BN259" si="910">+BC259/BW259</f>
        <v>737447.26</v>
      </c>
      <c r="BO259" s="67"/>
      <c r="BP259" s="67">
        <f t="shared" ref="BP259" si="911">+BP258+BE259</f>
        <v>12462518</v>
      </c>
      <c r="BQ259" s="67"/>
      <c r="BR259" s="478">
        <f t="shared" ref="BR259" si="912">+BP259/BC259</f>
        <v>6.7598152035984238E-2</v>
      </c>
      <c r="BS259" s="67"/>
      <c r="BT259" s="86"/>
      <c r="BU259" s="183"/>
      <c r="BV259" s="1"/>
      <c r="BW259" s="61">
        <f t="shared" si="189"/>
        <v>250</v>
      </c>
    </row>
    <row r="260" spans="2:75" x14ac:dyDescent="0.3">
      <c r="B260" s="171">
        <f t="shared" si="163"/>
        <v>44160</v>
      </c>
      <c r="C260" s="61"/>
      <c r="D260" s="17">
        <v>180903</v>
      </c>
      <c r="E260" s="16"/>
      <c r="F260" s="16"/>
      <c r="G260" s="16"/>
      <c r="H260" s="16">
        <f t="shared" ref="H260" si="913">+H259+D260</f>
        <v>12986068</v>
      </c>
      <c r="I260" s="16"/>
      <c r="J260" s="479">
        <f t="shared" ref="J260" si="914">+D260/H259</f>
        <v>1.4127346270040253E-2</v>
      </c>
      <c r="K260" s="16"/>
      <c r="L260" s="16"/>
      <c r="M260" s="16"/>
      <c r="N260" s="16">
        <f t="shared" ref="N260" si="915">SUM(D254:D260)</f>
        <v>1236116</v>
      </c>
      <c r="O260" s="16">
        <f t="shared" ref="O260" si="916">+H260/BW260</f>
        <v>51737.322709163345</v>
      </c>
      <c r="P260" s="41"/>
      <c r="Q260" s="17">
        <f t="shared" ref="Q260" si="917">SUM(D254:D260)</f>
        <v>1236116</v>
      </c>
      <c r="R260" s="16"/>
      <c r="S260" s="60">
        <f t="shared" ref="S260" si="918">+(Q260-Q253)/Q253</f>
        <v>9.0291669753772438E-2</v>
      </c>
      <c r="T260" s="16"/>
      <c r="U260" s="41"/>
      <c r="V260" s="10">
        <f t="shared" si="109"/>
        <v>152</v>
      </c>
      <c r="W260" s="34">
        <v>2302</v>
      </c>
      <c r="X260" s="33"/>
      <c r="Y260" s="33"/>
      <c r="Z260" s="33"/>
      <c r="AA260" s="33">
        <f t="shared" ref="AA260" si="919">+AA259+W260</f>
        <v>267281</v>
      </c>
      <c r="AB260" s="33"/>
      <c r="AC260" s="46">
        <f t="shared" ref="AC260" si="920">+AA260/H260</f>
        <v>2.058213463844483E-2</v>
      </c>
      <c r="AD260" s="33"/>
      <c r="AE260" s="33">
        <f t="shared" ref="AE260" si="921">+AA260/BW260</f>
        <v>1064.8645418326694</v>
      </c>
      <c r="AF260" s="50"/>
      <c r="AG260" s="33">
        <f t="shared" ref="AG260" si="922">SUM(W254:W260)</f>
        <v>11879</v>
      </c>
      <c r="AH260" s="33">
        <f t="shared" ref="AH260" si="923">SUM(D231:D431)</f>
        <v>794768227.34662843</v>
      </c>
      <c r="AI260" s="231">
        <f t="shared" ref="AI260" si="924">+(AG260-AG253)/AG253</f>
        <v>0.35884237016700982</v>
      </c>
      <c r="AJ260" s="50"/>
      <c r="AK260" s="10"/>
      <c r="AL260" s="23">
        <f t="shared" ref="AL260" si="925">+AP260-AP259</f>
        <v>168274</v>
      </c>
      <c r="AM260" s="24"/>
      <c r="AN260" s="24"/>
      <c r="AO260" s="24">
        <v>178263</v>
      </c>
      <c r="AP260" s="24">
        <v>7805280</v>
      </c>
      <c r="AQ260" s="24"/>
      <c r="AR260" s="504">
        <f t="shared" ref="AR260" si="926">+AL260/AP259</f>
        <v>2.2034027470974882E-2</v>
      </c>
      <c r="AS260" s="25"/>
      <c r="AT260" s="25"/>
      <c r="AU260" s="24"/>
      <c r="AV260" s="341">
        <f t="shared" ref="AV260" si="927">+AP260/H260</f>
        <v>0.60105029482365258</v>
      </c>
      <c r="AW260" s="341"/>
      <c r="AX260" s="24">
        <f t="shared" ref="AX260" si="928">+AP260/BW260</f>
        <v>31096.733067729085</v>
      </c>
      <c r="AY260" s="351"/>
      <c r="AZ260" s="10"/>
      <c r="BA260" s="66">
        <f t="shared" ref="BA260" si="929">+BC260-BC259</f>
        <v>1743927</v>
      </c>
      <c r="BB260" s="67"/>
      <c r="BC260" s="67">
        <v>186105742</v>
      </c>
      <c r="BD260" s="67"/>
      <c r="BE260" s="67">
        <f t="shared" ref="BE260" si="930">+D260</f>
        <v>180903</v>
      </c>
      <c r="BF260" s="67"/>
      <c r="BG260" s="156">
        <f t="shared" ref="BG260" si="931">+BE260/BA260</f>
        <v>0.10373312644393945</v>
      </c>
      <c r="BH260" s="67"/>
      <c r="BI260" s="183"/>
      <c r="BJ260" s="67"/>
      <c r="BK260" s="67">
        <f t="shared" ref="BK260" si="932">SUM(BA254:BA260)</f>
        <v>12869913</v>
      </c>
      <c r="BL260" s="67"/>
      <c r="BM260" s="156">
        <f t="shared" ref="BM260" si="933">+Q260/BK260</f>
        <v>9.6046958514793376E-2</v>
      </c>
      <c r="BN260" s="66">
        <f t="shared" ref="BN260" si="934">+BC260/BW260</f>
        <v>741457.13944223104</v>
      </c>
      <c r="BO260" s="67"/>
      <c r="BP260" s="67">
        <f t="shared" ref="BP260" si="935">+BP259+BE260</f>
        <v>12643421</v>
      </c>
      <c r="BQ260" s="67"/>
      <c r="BR260" s="478">
        <f t="shared" ref="BR260" si="936">+BP260/BC260</f>
        <v>6.793675930751239E-2</v>
      </c>
      <c r="BS260" s="67"/>
      <c r="BT260" s="86"/>
      <c r="BU260" s="183"/>
      <c r="BV260" s="1"/>
      <c r="BW260" s="61">
        <f t="shared" si="189"/>
        <v>251</v>
      </c>
    </row>
    <row r="261" spans="2:75" x14ac:dyDescent="0.3">
      <c r="B261" s="171">
        <f t="shared" si="163"/>
        <v>44161</v>
      </c>
      <c r="C261" s="61"/>
      <c r="D261" s="17">
        <v>108063</v>
      </c>
      <c r="E261" s="16"/>
      <c r="F261" s="16"/>
      <c r="G261" s="16"/>
      <c r="H261" s="16">
        <f t="shared" ref="H261" si="937">+H260+D261</f>
        <v>13094131</v>
      </c>
      <c r="I261" s="16"/>
      <c r="J261" s="479">
        <f t="shared" ref="J261" si="938">+D261/H260</f>
        <v>8.3214565024609458E-3</v>
      </c>
      <c r="K261" s="16"/>
      <c r="L261" s="16"/>
      <c r="M261" s="16"/>
      <c r="N261" s="16">
        <f t="shared" ref="N261" si="939">SUM(D255:D261)</f>
        <v>1151993</v>
      </c>
      <c r="O261" s="16">
        <f t="shared" ref="O261" si="940">+H261/BW261</f>
        <v>51960.8373015873</v>
      </c>
      <c r="P261" s="41"/>
      <c r="Q261" s="17">
        <f t="shared" ref="Q261" si="941">SUM(D255:D261)</f>
        <v>1151993</v>
      </c>
      <c r="R261" s="16"/>
      <c r="S261" s="60">
        <f t="shared" ref="S261" si="942">+(Q261-Q254)/Q254</f>
        <v>-1.0649325442526707E-2</v>
      </c>
      <c r="T261" s="16"/>
      <c r="U261" s="41"/>
      <c r="V261" s="10">
        <f t="shared" si="109"/>
        <v>153</v>
      </c>
      <c r="W261" s="34">
        <v>1306</v>
      </c>
      <c r="X261" s="33"/>
      <c r="Y261" s="33"/>
      <c r="Z261" s="33"/>
      <c r="AA261" s="33">
        <f t="shared" ref="AA261" si="943">+AA260+W261</f>
        <v>268587</v>
      </c>
      <c r="AB261" s="33"/>
      <c r="AC261" s="46">
        <f t="shared" ref="AC261" si="944">+AA261/H261</f>
        <v>2.0512014122968526E-2</v>
      </c>
      <c r="AD261" s="33"/>
      <c r="AE261" s="33">
        <f t="shared" ref="AE261" si="945">+AA261/BW261</f>
        <v>1065.8214285714287</v>
      </c>
      <c r="AF261" s="50"/>
      <c r="AG261" s="33">
        <f t="shared" ref="AG261" si="946">SUM(W255:W261)</f>
        <v>11120</v>
      </c>
      <c r="AH261" s="33">
        <f t="shared" ref="AH261" si="947">SUM(D232:D432)</f>
        <v>794693155.34662843</v>
      </c>
      <c r="AI261" s="231">
        <f t="shared" ref="AI261" si="948">+(AG261-AG254)/AG254</f>
        <v>0.15628574399500883</v>
      </c>
      <c r="AJ261" s="50"/>
      <c r="AK261" s="10"/>
      <c r="AL261" s="23">
        <f t="shared" ref="AL261" si="949">+AP261-AP260</f>
        <v>41592</v>
      </c>
      <c r="AM261" s="24"/>
      <c r="AN261" s="24"/>
      <c r="AO261" s="24">
        <v>178263</v>
      </c>
      <c r="AP261" s="24">
        <v>7846872</v>
      </c>
      <c r="AQ261" s="24"/>
      <c r="AR261" s="504">
        <f t="shared" ref="AR261" si="950">+AL261/AP260</f>
        <v>5.3287005719205461E-3</v>
      </c>
      <c r="AS261" s="25"/>
      <c r="AT261" s="25"/>
      <c r="AU261" s="24"/>
      <c r="AV261" s="341">
        <f t="shared" ref="AV261" si="951">+AP261/H261</f>
        <v>0.59926634306621795</v>
      </c>
      <c r="AW261" s="341"/>
      <c r="AX261" s="24">
        <f t="shared" ref="AX261" si="952">+AP261/BW261</f>
        <v>31138.380952380954</v>
      </c>
      <c r="AY261" s="351"/>
      <c r="AZ261" s="10"/>
      <c r="BA261" s="66">
        <f t="shared" ref="BA261" si="953">+BC261-BC260</f>
        <v>1036887</v>
      </c>
      <c r="BB261" s="67"/>
      <c r="BC261" s="67">
        <v>187142629</v>
      </c>
      <c r="BD261" s="67"/>
      <c r="BE261" s="67">
        <f t="shared" ref="BE261" si="954">+D261</f>
        <v>108063</v>
      </c>
      <c r="BF261" s="67"/>
      <c r="BG261" s="156">
        <f t="shared" ref="BG261" si="955">+BE261/BA261</f>
        <v>0.10421868535337023</v>
      </c>
      <c r="BH261" s="67"/>
      <c r="BI261" s="183"/>
      <c r="BJ261" s="67"/>
      <c r="BK261" s="67">
        <f t="shared" ref="BK261" si="956">SUM(BA255:BA261)</f>
        <v>12158384</v>
      </c>
      <c r="BL261" s="67"/>
      <c r="BM261" s="156">
        <f t="shared" ref="BM261" si="957">+Q261/BK261</f>
        <v>9.4748858071927983E-2</v>
      </c>
      <c r="BN261" s="66">
        <f t="shared" ref="BN261" si="958">+BC261/BW261</f>
        <v>742629.48015873018</v>
      </c>
      <c r="BO261" s="67"/>
      <c r="BP261" s="67">
        <f t="shared" ref="BP261" si="959">+BP260+BE261</f>
        <v>12751484</v>
      </c>
      <c r="BQ261" s="67"/>
      <c r="BR261" s="478">
        <f t="shared" ref="BR261" si="960">+BP261/BC261</f>
        <v>6.8137783829038762E-2</v>
      </c>
      <c r="BS261" s="67"/>
      <c r="BT261" s="86"/>
      <c r="BU261" s="183"/>
      <c r="BV261" s="1"/>
      <c r="BW261" s="61">
        <f t="shared" si="189"/>
        <v>252</v>
      </c>
    </row>
    <row r="262" spans="2:75" x14ac:dyDescent="0.3">
      <c r="B262" s="171">
        <f t="shared" si="163"/>
        <v>44162</v>
      </c>
      <c r="C262" s="61"/>
      <c r="D262" s="17">
        <v>164012</v>
      </c>
      <c r="E262" s="16"/>
      <c r="F262" s="16"/>
      <c r="G262" s="16"/>
      <c r="H262" s="16">
        <f t="shared" ref="H262" si="961">+H261+D262</f>
        <v>13258143</v>
      </c>
      <c r="I262" s="16"/>
      <c r="J262" s="479">
        <f t="shared" ref="J262" si="962">+D262/H261</f>
        <v>1.2525611665256748E-2</v>
      </c>
      <c r="K262" s="16"/>
      <c r="L262" s="16"/>
      <c r="M262" s="16"/>
      <c r="N262" s="16">
        <f t="shared" ref="N262" si="963">SUM(D256:D262)</f>
        <v>1111826</v>
      </c>
      <c r="O262" s="16">
        <f t="shared" ref="O262" si="964">+H262/BW262</f>
        <v>52403.727272727272</v>
      </c>
      <c r="P262" s="41"/>
      <c r="Q262" s="17">
        <f t="shared" ref="Q262" si="965">SUM(D256:D262)</f>
        <v>1111826</v>
      </c>
      <c r="R262" s="16"/>
      <c r="S262" s="60">
        <f t="shared" ref="S262" si="966">+(Q262-Q255)/Q255</f>
        <v>-6.1785839356311364E-2</v>
      </c>
      <c r="T262" s="16"/>
      <c r="U262" s="41"/>
      <c r="V262" s="10">
        <f t="shared" si="109"/>
        <v>154</v>
      </c>
      <c r="W262" s="34">
        <v>1364</v>
      </c>
      <c r="X262" s="33"/>
      <c r="Y262" s="33"/>
      <c r="Z262" s="33"/>
      <c r="AA262" s="33">
        <f t="shared" ref="AA262" si="967">+AA261+W262</f>
        <v>269951</v>
      </c>
      <c r="AB262" s="33"/>
      <c r="AC262" s="46">
        <f t="shared" ref="AC262" si="968">+AA262/H262</f>
        <v>2.0361147107856657E-2</v>
      </c>
      <c r="AD262" s="33"/>
      <c r="AE262" s="33">
        <f t="shared" ref="AE262" si="969">+AA262/BW262</f>
        <v>1067</v>
      </c>
      <c r="AF262" s="50"/>
      <c r="AG262" s="33">
        <f t="shared" ref="AG262" si="970">SUM(W256:W262)</f>
        <v>10486</v>
      </c>
      <c r="AH262" s="33">
        <f t="shared" ref="AH262" si="971">SUM(D233:D433)</f>
        <v>794611574.34662843</v>
      </c>
      <c r="AI262" s="231">
        <f t="shared" ref="AI262" si="972">+(AG262-AG255)/AG255</f>
        <v>2.6027397260273973E-2</v>
      </c>
      <c r="AJ262" s="50"/>
      <c r="AK262" s="10"/>
      <c r="AL262" s="23">
        <f t="shared" ref="AL262" si="973">+AP262-AP261</f>
        <v>98710</v>
      </c>
      <c r="AM262" s="24"/>
      <c r="AN262" s="24"/>
      <c r="AO262" s="24">
        <v>178263</v>
      </c>
      <c r="AP262" s="24">
        <v>7945582</v>
      </c>
      <c r="AQ262" s="24"/>
      <c r="AR262" s="504">
        <f t="shared" ref="AR262" si="974">+AL262/AP261</f>
        <v>1.2579534877082231E-2</v>
      </c>
      <c r="AS262" s="25"/>
      <c r="AT262" s="25"/>
      <c r="AU262" s="24"/>
      <c r="AV262" s="341">
        <f t="shared" ref="AV262" si="975">+AP262/H262</f>
        <v>0.59929825768209022</v>
      </c>
      <c r="AW262" s="341"/>
      <c r="AX262" s="24">
        <f t="shared" ref="AX262" si="976">+AP262/BW262</f>
        <v>31405.462450592884</v>
      </c>
      <c r="AY262" s="351"/>
      <c r="AZ262" s="10"/>
      <c r="BA262" s="66">
        <f t="shared" ref="BA262" si="977">+BC262-BC261</f>
        <v>2146376</v>
      </c>
      <c r="BB262" s="67"/>
      <c r="BC262" s="67">
        <v>189289005</v>
      </c>
      <c r="BD262" s="67"/>
      <c r="BE262" s="67">
        <f t="shared" ref="BE262" si="978">+D262</f>
        <v>164012</v>
      </c>
      <c r="BF262" s="67"/>
      <c r="BG262" s="156">
        <f t="shared" ref="BG262" si="979">+BE262/BA262</f>
        <v>7.6413452256268236E-2</v>
      </c>
      <c r="BH262" s="67"/>
      <c r="BI262" s="183"/>
      <c r="BJ262" s="67"/>
      <c r="BK262" s="67">
        <f t="shared" ref="BK262" si="980">SUM(BA256:BA262)</f>
        <v>12132164</v>
      </c>
      <c r="BL262" s="67"/>
      <c r="BM262" s="156">
        <f t="shared" ref="BM262" si="981">+Q262/BK262</f>
        <v>9.1642842942116512E-2</v>
      </c>
      <c r="BN262" s="66">
        <f t="shared" ref="BN262" si="982">+BC262/BW262</f>
        <v>748177.88537549402</v>
      </c>
      <c r="BO262" s="67"/>
      <c r="BP262" s="67">
        <f t="shared" ref="BP262" si="983">+BP261+BE262</f>
        <v>12915496</v>
      </c>
      <c r="BQ262" s="67"/>
      <c r="BR262" s="478">
        <f t="shared" ref="BR262" si="984">+BP262/BC262</f>
        <v>6.823162285627736E-2</v>
      </c>
      <c r="BS262" s="67"/>
      <c r="BT262" s="86"/>
      <c r="BU262" s="183"/>
      <c r="BV262" s="1"/>
      <c r="BW262" s="61">
        <f t="shared" si="189"/>
        <v>253</v>
      </c>
    </row>
    <row r="263" spans="2:75" x14ac:dyDescent="0.3">
      <c r="B263" s="171">
        <f t="shared" si="163"/>
        <v>44163</v>
      </c>
      <c r="C263" s="61"/>
      <c r="D263" s="17">
        <v>143373</v>
      </c>
      <c r="E263" s="16"/>
      <c r="F263" s="16"/>
      <c r="G263" s="16"/>
      <c r="H263" s="16">
        <f t="shared" ref="H263" si="985">+H262+D263</f>
        <v>13401516</v>
      </c>
      <c r="I263" s="16"/>
      <c r="J263" s="479">
        <f t="shared" ref="J263" si="986">+D263/H262</f>
        <v>1.0813957882336916E-2</v>
      </c>
      <c r="K263" s="16"/>
      <c r="L263" s="16"/>
      <c r="M263" s="16"/>
      <c r="N263" s="16">
        <f t="shared" ref="N263" si="987">SUM(D257:D263)</f>
        <v>1082360</v>
      </c>
      <c r="O263" s="16">
        <f t="shared" ref="O263" si="988">+H263/BW263</f>
        <v>52761.874015748028</v>
      </c>
      <c r="P263" s="41"/>
      <c r="Q263" s="17">
        <f t="shared" ref="Q263" si="989">SUM(D257:D263)</f>
        <v>1082360</v>
      </c>
      <c r="R263" s="16"/>
      <c r="S263" s="60">
        <f t="shared" ref="S263" si="990">+(Q263-Q256)/Q256</f>
        <v>-9.8507368208883492E-2</v>
      </c>
      <c r="T263" s="16"/>
      <c r="U263" s="41"/>
      <c r="V263" s="10">
        <f t="shared" si="109"/>
        <v>155</v>
      </c>
      <c r="W263" s="34">
        <v>1216</v>
      </c>
      <c r="X263" s="33"/>
      <c r="Y263" s="33"/>
      <c r="Z263" s="33"/>
      <c r="AA263" s="33">
        <f t="shared" ref="AA263" si="991">+AA262+W263</f>
        <v>271167</v>
      </c>
      <c r="AB263" s="33"/>
      <c r="AC263" s="46">
        <f t="shared" ref="AC263" si="992">+AA263/H263</f>
        <v>2.0234054117459547E-2</v>
      </c>
      <c r="AD263" s="33"/>
      <c r="AE263" s="33">
        <f t="shared" ref="AE263" si="993">+AA263/BW263</f>
        <v>1067.5866141732283</v>
      </c>
      <c r="AF263" s="50"/>
      <c r="AG263" s="33">
        <f t="shared" ref="AG263" si="994">SUM(W257:W263)</f>
        <v>10242</v>
      </c>
      <c r="AH263" s="33">
        <f t="shared" ref="AH263" si="995">SUM(D234:D434)</f>
        <v>794520044.34662843</v>
      </c>
      <c r="AI263" s="231">
        <f t="shared" ref="AI263" si="996">+(AG263-AG256)/AG256</f>
        <v>-1.708253358925144E-2</v>
      </c>
      <c r="AJ263" s="50"/>
      <c r="AK263" s="10"/>
      <c r="AL263" s="23">
        <f t="shared" ref="AL263" si="997">+AP263-AP262</f>
        <v>95657</v>
      </c>
      <c r="AM263" s="24"/>
      <c r="AN263" s="24"/>
      <c r="AO263" s="24">
        <v>178263</v>
      </c>
      <c r="AP263" s="24">
        <v>8041239</v>
      </c>
      <c r="AQ263" s="24"/>
      <c r="AR263" s="504">
        <f t="shared" ref="AR263" si="998">+AL263/AP262</f>
        <v>1.203901740615099E-2</v>
      </c>
      <c r="AS263" s="25"/>
      <c r="AT263" s="25"/>
      <c r="AU263" s="24"/>
      <c r="AV263" s="341">
        <f t="shared" ref="AV263" si="999">+AP263/H263</f>
        <v>0.60002457930878861</v>
      </c>
      <c r="AW263" s="341"/>
      <c r="AX263" s="24">
        <f t="shared" ref="AX263" si="1000">+AP263/BW263</f>
        <v>31658.421259842518</v>
      </c>
      <c r="AY263" s="351"/>
      <c r="AZ263" s="10"/>
      <c r="BA263" s="66">
        <f t="shared" ref="BA263" si="1001">+BC263-BC262</f>
        <v>1744219</v>
      </c>
      <c r="BB263" s="67"/>
      <c r="BC263" s="67">
        <v>191033224</v>
      </c>
      <c r="BD263" s="67"/>
      <c r="BE263" s="67">
        <f t="shared" ref="BE263" si="1002">+D263</f>
        <v>143373</v>
      </c>
      <c r="BF263" s="67"/>
      <c r="BG263" s="156">
        <f t="shared" ref="BG263" si="1003">+BE263/BA263</f>
        <v>8.2198966987517053E-2</v>
      </c>
      <c r="BH263" s="67"/>
      <c r="BI263" s="183"/>
      <c r="BJ263" s="67"/>
      <c r="BK263" s="67">
        <f t="shared" ref="BK263" si="1004">SUM(BA257:BA263)</f>
        <v>11993517</v>
      </c>
      <c r="BL263" s="67"/>
      <c r="BM263" s="156">
        <f t="shared" ref="BM263" si="1005">+Q263/BK263</f>
        <v>9.0245421755770217E-2</v>
      </c>
      <c r="BN263" s="66">
        <f t="shared" ref="BN263" si="1006">+BC263/BW263</f>
        <v>752099.30708661419</v>
      </c>
      <c r="BO263" s="67"/>
      <c r="BP263" s="67">
        <f t="shared" ref="BP263" si="1007">+BP262+BE263</f>
        <v>13058869</v>
      </c>
      <c r="BQ263" s="67"/>
      <c r="BR263" s="478">
        <f t="shared" ref="BR263" si="1008">+BP263/BC263</f>
        <v>6.8359150971560839E-2</v>
      </c>
      <c r="BS263" s="67"/>
      <c r="BT263" s="86"/>
      <c r="BU263" s="183"/>
      <c r="BV263" s="1"/>
      <c r="BW263" s="61">
        <f t="shared" si="189"/>
        <v>254</v>
      </c>
    </row>
    <row r="264" spans="2:75" x14ac:dyDescent="0.3">
      <c r="B264" s="390">
        <f t="shared" si="163"/>
        <v>44164</v>
      </c>
      <c r="C264" s="61"/>
      <c r="D264" s="17">
        <v>138188</v>
      </c>
      <c r="E264" s="16"/>
      <c r="F264" s="16"/>
      <c r="G264" s="16"/>
      <c r="H264" s="16">
        <f t="shared" ref="H264" si="1009">+H263+D264</f>
        <v>13539704</v>
      </c>
      <c r="I264" s="16"/>
      <c r="J264" s="479">
        <f t="shared" ref="J264" si="1010">+D264/H263</f>
        <v>1.0311370743429325E-2</v>
      </c>
      <c r="K264" s="16"/>
      <c r="L264" s="16"/>
      <c r="M264" s="16"/>
      <c r="N264" s="16">
        <f t="shared" ref="N264" si="1011">SUM(D258:D264)</f>
        <v>1083921</v>
      </c>
      <c r="O264" s="16">
        <f t="shared" ref="O264" si="1012">+H264/BW264</f>
        <v>53096.878431372548</v>
      </c>
      <c r="P264" s="41"/>
      <c r="Q264" s="17">
        <f t="shared" ref="Q264" si="1013">SUM(D258:D264)</f>
        <v>1083921</v>
      </c>
      <c r="R264" s="16"/>
      <c r="S264" s="60">
        <f t="shared" ref="S264" si="1014">+(Q264-Q257)/Q257</f>
        <v>-9.5985935051363255E-2</v>
      </c>
      <c r="T264" s="16"/>
      <c r="U264" s="41"/>
      <c r="V264" s="10">
        <f t="shared" si="109"/>
        <v>156</v>
      </c>
      <c r="W264" s="34">
        <v>819</v>
      </c>
      <c r="X264" s="33"/>
      <c r="Y264" s="33"/>
      <c r="Z264" s="33"/>
      <c r="AA264" s="33">
        <f t="shared" ref="AA264" si="1015">+AA263+W264</f>
        <v>271986</v>
      </c>
      <c r="AB264" s="33"/>
      <c r="AC264" s="46">
        <f t="shared" ref="AC264" si="1016">+AA264/H264</f>
        <v>2.0088031466566774E-2</v>
      </c>
      <c r="AD264" s="33"/>
      <c r="AE264" s="33">
        <f t="shared" ref="AE264" si="1017">+AA264/BW264</f>
        <v>1066.6117647058823</v>
      </c>
      <c r="AF264" s="50"/>
      <c r="AG264" s="33">
        <f t="shared" ref="AG264" si="1018">SUM(W258:W264)</f>
        <v>10195</v>
      </c>
      <c r="AH264" s="33">
        <f t="shared" ref="AH264" si="1019">SUM(D235:D435)</f>
        <v>794418583.34662843</v>
      </c>
      <c r="AI264" s="231">
        <f t="shared" ref="AI264" si="1020">+(AG264-AG257)/AG257</f>
        <v>-4.7819183711590552E-2</v>
      </c>
      <c r="AJ264" s="50"/>
      <c r="AK264" s="10"/>
      <c r="AL264" s="23">
        <f t="shared" ref="AL264" si="1021">+AP264-AP263</f>
        <v>65964</v>
      </c>
      <c r="AM264" s="24"/>
      <c r="AN264" s="24"/>
      <c r="AO264" s="24">
        <v>178263</v>
      </c>
      <c r="AP264" s="24">
        <v>8107203</v>
      </c>
      <c r="AQ264" s="24"/>
      <c r="AR264" s="504">
        <f t="shared" ref="AR264" si="1022">+AL264/AP263</f>
        <v>8.2032134600153028E-3</v>
      </c>
      <c r="AS264" s="25"/>
      <c r="AT264" s="25"/>
      <c r="AU264" s="24"/>
      <c r="AV264" s="341">
        <f t="shared" ref="AV264" si="1023">+AP264/H264</f>
        <v>0.59877254332886454</v>
      </c>
      <c r="AW264" s="341"/>
      <c r="AX264" s="24">
        <f t="shared" ref="AX264" si="1024">+AP264/BW264</f>
        <v>31792.952941176471</v>
      </c>
      <c r="AY264" s="351"/>
      <c r="AZ264" s="10"/>
      <c r="BA264" s="66">
        <f t="shared" ref="BA264" si="1025">+BC264-BC263</f>
        <v>1238144</v>
      </c>
      <c r="BB264" s="67"/>
      <c r="BC264" s="67">
        <v>192271368</v>
      </c>
      <c r="BD264" s="67"/>
      <c r="BE264" s="67">
        <f t="shared" ref="BE264" si="1026">+D264</f>
        <v>138188</v>
      </c>
      <c r="BF264" s="67"/>
      <c r="BG264" s="156">
        <f t="shared" ref="BG264" si="1027">+BE264/BA264</f>
        <v>0.11160898893828182</v>
      </c>
      <c r="BH264" s="67"/>
      <c r="BI264" s="183"/>
      <c r="BJ264" s="67"/>
      <c r="BK264" s="67">
        <f t="shared" ref="BK264" si="1028">SUM(BA258:BA264)</f>
        <v>11598784</v>
      </c>
      <c r="BL264" s="67"/>
      <c r="BM264" s="156">
        <f t="shared" ref="BM264" si="1029">+Q264/BK264</f>
        <v>9.3451261787442549E-2</v>
      </c>
      <c r="BN264" s="66">
        <f t="shared" ref="BN264" si="1030">+BC264/BW264</f>
        <v>754005.36470588238</v>
      </c>
      <c r="BO264" s="67"/>
      <c r="BP264" s="67">
        <f t="shared" ref="BP264" si="1031">+BP263+BE264</f>
        <v>13197057</v>
      </c>
      <c r="BQ264" s="67"/>
      <c r="BR264" s="478">
        <f t="shared" ref="BR264" si="1032">+BP264/BC264</f>
        <v>6.8637661120713511E-2</v>
      </c>
      <c r="BS264" s="67"/>
      <c r="BT264" s="86"/>
      <c r="BU264" s="183"/>
      <c r="BV264" s="1"/>
      <c r="BW264" s="61">
        <f t="shared" si="189"/>
        <v>255</v>
      </c>
    </row>
    <row r="265" spans="2:75" x14ac:dyDescent="0.3">
      <c r="B265" s="171">
        <f t="shared" si="163"/>
        <v>44165</v>
      </c>
      <c r="C265" s="61"/>
      <c r="D265" s="17">
        <v>161568</v>
      </c>
      <c r="E265" s="16"/>
      <c r="F265" s="16"/>
      <c r="G265" s="16"/>
      <c r="H265" s="16">
        <f t="shared" ref="H265" si="1033">+H264+D265</f>
        <v>13701272</v>
      </c>
      <c r="I265" s="16"/>
      <c r="J265" s="479">
        <f t="shared" ref="J265" si="1034">+D265/H264</f>
        <v>1.1932904884774439E-2</v>
      </c>
      <c r="K265" s="16"/>
      <c r="L265" s="16"/>
      <c r="M265" s="16"/>
      <c r="N265" s="16">
        <f t="shared" ref="N265" si="1035">SUM(D259:D265)</f>
        <v>1073189</v>
      </c>
      <c r="O265" s="16">
        <f t="shared" ref="O265" si="1036">+H265/BW265</f>
        <v>53520.59375</v>
      </c>
      <c r="P265" s="41"/>
      <c r="Q265" s="17">
        <f t="shared" ref="Q265" si="1037">SUM(D259:D265)</f>
        <v>1073189</v>
      </c>
      <c r="R265" s="16"/>
      <c r="S265" s="60">
        <f t="shared" ref="S265" si="1038">+(Q265-Q258)/Q258</f>
        <v>-0.1124507922855536</v>
      </c>
      <c r="T265" s="16"/>
      <c r="U265" s="41"/>
      <c r="V265" s="10">
        <f t="shared" si="109"/>
        <v>157</v>
      </c>
      <c r="W265" s="34">
        <v>1238</v>
      </c>
      <c r="X265" s="33"/>
      <c r="Y265" s="33"/>
      <c r="Z265" s="33"/>
      <c r="AA265" s="33">
        <f t="shared" ref="AA265" si="1039">+AA264+W265</f>
        <v>273224</v>
      </c>
      <c r="AB265" s="33"/>
      <c r="AC265" s="46">
        <f t="shared" ref="AC265" si="1040">+AA265/H265</f>
        <v>1.9941506160887836E-2</v>
      </c>
      <c r="AD265" s="33"/>
      <c r="AE265" s="33">
        <f t="shared" ref="AE265" si="1041">+AA265/BW265</f>
        <v>1067.28125</v>
      </c>
      <c r="AF265" s="50"/>
      <c r="AG265" s="33">
        <f t="shared" ref="AG265" si="1042">SUM(W259:W265)</f>
        <v>10461</v>
      </c>
      <c r="AH265" s="33">
        <f t="shared" ref="AH265" si="1043">SUM(D236:D436)</f>
        <v>794332290.34662843</v>
      </c>
      <c r="AI265" s="231">
        <f t="shared" ref="AI265" si="1044">+(AG265-AG258)/AG258</f>
        <v>-4.3784277879341867E-2</v>
      </c>
      <c r="AJ265" s="50"/>
      <c r="AK265" s="10"/>
      <c r="AL265" s="23">
        <f t="shared" ref="AL265" si="1045">+AP265-AP264</f>
        <v>115676</v>
      </c>
      <c r="AM265" s="24"/>
      <c r="AN265" s="24"/>
      <c r="AO265" s="24">
        <v>178263</v>
      </c>
      <c r="AP265" s="24">
        <v>8222879</v>
      </c>
      <c r="AQ265" s="24"/>
      <c r="AR265" s="504">
        <f t="shared" ref="AR265" si="1046">+AL265/AP264</f>
        <v>1.4268299436932811E-2</v>
      </c>
      <c r="AS265" s="25"/>
      <c r="AT265" s="25"/>
      <c r="AU265" s="24"/>
      <c r="AV265" s="341">
        <f t="shared" ref="AV265" si="1047">+AP265/H265</f>
        <v>0.60015442361847859</v>
      </c>
      <c r="AW265" s="341"/>
      <c r="AX265" s="24">
        <f t="shared" ref="AX265" si="1048">+AP265/BW265</f>
        <v>32120.62109375</v>
      </c>
      <c r="AY265" s="351"/>
      <c r="AZ265" s="10"/>
      <c r="BA265" s="66">
        <f t="shared" ref="BA265" si="1049">+BC265-BC264</f>
        <v>2637381</v>
      </c>
      <c r="BB265" s="67"/>
      <c r="BC265" s="67">
        <v>194908749</v>
      </c>
      <c r="BD265" s="67"/>
      <c r="BE265" s="67">
        <f t="shared" ref="BE265" si="1050">+D265</f>
        <v>161568</v>
      </c>
      <c r="BF265" s="67"/>
      <c r="BG265" s="156">
        <f t="shared" ref="BG265" si="1051">+BE265/BA265</f>
        <v>6.1260773471864705E-2</v>
      </c>
      <c r="BH265" s="67"/>
      <c r="BI265" s="183"/>
      <c r="BJ265" s="67"/>
      <c r="BK265" s="67">
        <f t="shared" ref="BK265" si="1052">SUM(BA259:BA265)</f>
        <v>12278454</v>
      </c>
      <c r="BL265" s="67"/>
      <c r="BM265" s="156">
        <f t="shared" ref="BM265" si="1053">+Q265/BK265</f>
        <v>8.7404244866658293E-2</v>
      </c>
      <c r="BN265" s="66">
        <f t="shared" ref="BN265" si="1054">+BC265/BW265</f>
        <v>761362.30078125</v>
      </c>
      <c r="BO265" s="67"/>
      <c r="BP265" s="67">
        <f t="shared" ref="BP265" si="1055">+BP264+BE265</f>
        <v>13358625</v>
      </c>
      <c r="BQ265" s="67"/>
      <c r="BR265" s="478">
        <f t="shared" ref="BR265" si="1056">+BP265/BC265</f>
        <v>6.8537841777436062E-2</v>
      </c>
      <c r="BS265" s="67"/>
      <c r="BT265" s="86"/>
      <c r="BU265" s="183"/>
      <c r="BV265" s="1"/>
      <c r="BW265" s="61">
        <f t="shared" si="189"/>
        <v>256</v>
      </c>
    </row>
    <row r="266" spans="2:75" x14ac:dyDescent="0.3">
      <c r="B266" s="171">
        <f t="shared" si="163"/>
        <v>44166</v>
      </c>
      <c r="C266" s="61"/>
      <c r="D266" s="17">
        <v>182276</v>
      </c>
      <c r="E266" s="16"/>
      <c r="F266" s="16"/>
      <c r="G266" s="16"/>
      <c r="H266" s="16">
        <f t="shared" ref="H266" si="1057">+H265+D266</f>
        <v>13883548</v>
      </c>
      <c r="I266" s="16"/>
      <c r="J266" s="479">
        <f t="shared" ref="J266" si="1058">+D266/H265</f>
        <v>1.3303582324327259E-2</v>
      </c>
      <c r="K266" s="16"/>
      <c r="L266" s="16"/>
      <c r="M266" s="16"/>
      <c r="N266" s="16">
        <f t="shared" ref="N266" si="1059">SUM(D260:D266)</f>
        <v>1078383</v>
      </c>
      <c r="O266" s="16">
        <f t="shared" ref="O266" si="1060">+H266/BW266</f>
        <v>54021.587548638134</v>
      </c>
      <c r="P266" s="41"/>
      <c r="Q266" s="17">
        <f t="shared" ref="Q266" si="1061">SUM(D260:D266)</f>
        <v>1078383</v>
      </c>
      <c r="R266" s="16"/>
      <c r="S266" s="60">
        <f t="shared" ref="S266" si="1062">+(Q266-Q259)/Q259</f>
        <v>-0.12253891638682779</v>
      </c>
      <c r="T266" s="16"/>
      <c r="U266" s="41"/>
      <c r="V266" s="10">
        <f t="shared" si="109"/>
        <v>158</v>
      </c>
      <c r="W266" s="34">
        <v>2614</v>
      </c>
      <c r="X266" s="33"/>
      <c r="Y266" s="33"/>
      <c r="Z266" s="33"/>
      <c r="AA266" s="33">
        <f t="shared" ref="AA266" si="1063">+AA265+W266</f>
        <v>275838</v>
      </c>
      <c r="AB266" s="33"/>
      <c r="AC266" s="46">
        <f t="shared" ref="AC266" si="1064">+AA266/H266</f>
        <v>1.9867976111005631E-2</v>
      </c>
      <c r="AD266" s="33"/>
      <c r="AE266" s="33">
        <f t="shared" ref="AE266" si="1065">+AA266/BW266</f>
        <v>1073.2996108949417</v>
      </c>
      <c r="AF266" s="50"/>
      <c r="AG266" s="33">
        <f t="shared" ref="AG266" si="1066">SUM(W260:W266)</f>
        <v>10859</v>
      </c>
      <c r="AH266" s="33">
        <f t="shared" ref="AH266" si="1067">SUM(D237:D437)</f>
        <v>794260969.34662843</v>
      </c>
      <c r="AI266" s="231">
        <f t="shared" ref="AI266" si="1068">+(AG266-AG259)/AG259</f>
        <v>-5.9093666060133436E-2</v>
      </c>
      <c r="AJ266" s="50"/>
      <c r="AK266" s="10"/>
      <c r="AL266" s="23">
        <f t="shared" ref="AL266" si="1069">+AP266-AP265</f>
        <v>110376</v>
      </c>
      <c r="AM266" s="24"/>
      <c r="AN266" s="24"/>
      <c r="AO266" s="24">
        <v>178263</v>
      </c>
      <c r="AP266" s="24">
        <v>8333255</v>
      </c>
      <c r="AQ266" s="24"/>
      <c r="AR266" s="504">
        <f t="shared" ref="AR266" si="1070">+AL266/AP265</f>
        <v>1.3423035897767679E-2</v>
      </c>
      <c r="AS266" s="25"/>
      <c r="AT266" s="25"/>
      <c r="AU266" s="24"/>
      <c r="AV266" s="341">
        <f t="shared" ref="AV266" si="1071">+AP266/H266</f>
        <v>0.60022517298892186</v>
      </c>
      <c r="AW266" s="341"/>
      <c r="AX266" s="24">
        <f t="shared" ref="AX266" si="1072">+AP266/BW266</f>
        <v>32425.116731517508</v>
      </c>
      <c r="AY266" s="351"/>
      <c r="AZ266" s="10"/>
      <c r="BA266" s="66">
        <f t="shared" ref="BA266" si="1073">+BC266-BC265</f>
        <v>1298299</v>
      </c>
      <c r="BB266" s="67"/>
      <c r="BC266" s="67">
        <v>196207048</v>
      </c>
      <c r="BD266" s="67"/>
      <c r="BE266" s="67">
        <f t="shared" ref="BE266" si="1074">+D266</f>
        <v>182276</v>
      </c>
      <c r="BF266" s="67"/>
      <c r="BG266" s="156">
        <f t="shared" ref="BG266" si="1075">+BE266/BA266</f>
        <v>0.14039601047216396</v>
      </c>
      <c r="BH266" s="67"/>
      <c r="BI266" s="183"/>
      <c r="BJ266" s="67"/>
      <c r="BK266" s="67">
        <f t="shared" ref="BK266" si="1076">SUM(BA260:BA266)</f>
        <v>11845233</v>
      </c>
      <c r="BL266" s="67"/>
      <c r="BM266" s="156">
        <f t="shared" ref="BM266" si="1077">+Q266/BK266</f>
        <v>9.1039408004891076E-2</v>
      </c>
      <c r="BN266" s="66">
        <f t="shared" ref="BN266" si="1078">+BC266/BW266</f>
        <v>763451.54863813228</v>
      </c>
      <c r="BO266" s="67"/>
      <c r="BP266" s="67">
        <f t="shared" ref="BP266" si="1079">+BP265+BE266</f>
        <v>13540901</v>
      </c>
      <c r="BQ266" s="67"/>
      <c r="BR266" s="478">
        <f t="shared" ref="BR266" si="1080">+BP266/BC266</f>
        <v>6.901332616756968E-2</v>
      </c>
      <c r="BS266" s="67"/>
      <c r="BT266" s="86"/>
      <c r="BU266" s="183"/>
      <c r="BV266" s="1"/>
      <c r="BW266" s="61">
        <f t="shared" si="189"/>
        <v>257</v>
      </c>
    </row>
    <row r="267" spans="2:75" x14ac:dyDescent="0.3">
      <c r="B267" s="171">
        <f t="shared" si="163"/>
        <v>44167</v>
      </c>
      <c r="C267" s="61"/>
      <c r="D267" s="17">
        <v>203737</v>
      </c>
      <c r="E267" s="16"/>
      <c r="F267" s="16"/>
      <c r="G267" s="16"/>
      <c r="H267" s="16">
        <f t="shared" ref="H267" si="1081">+H266+D267</f>
        <v>14087285</v>
      </c>
      <c r="I267" s="16"/>
      <c r="J267" s="479">
        <f t="shared" ref="J267" si="1082">+D267/H266</f>
        <v>1.467470707055574E-2</v>
      </c>
      <c r="K267" s="16"/>
      <c r="L267" s="16"/>
      <c r="M267" s="16"/>
      <c r="N267" s="16">
        <f t="shared" ref="N267" si="1083">SUM(D261:D267)</f>
        <v>1101217</v>
      </c>
      <c r="O267" s="16">
        <f t="shared" ref="O267" si="1084">+H267/BW267</f>
        <v>54601.879844961237</v>
      </c>
      <c r="P267" s="41"/>
      <c r="Q267" s="17">
        <f t="shared" ref="Q267" si="1085">SUM(D261:D267)</f>
        <v>1101217</v>
      </c>
      <c r="R267" s="16"/>
      <c r="S267" s="60">
        <f t="shared" ref="S267" si="1086">+(Q267-Q260)/Q260</f>
        <v>-0.10913134366030372</v>
      </c>
      <c r="T267" s="16"/>
      <c r="U267" s="41"/>
      <c r="V267" s="10">
        <f t="shared" si="109"/>
        <v>159</v>
      </c>
      <c r="W267" s="34">
        <v>2833</v>
      </c>
      <c r="X267" s="33"/>
      <c r="Y267" s="33"/>
      <c r="Z267" s="33"/>
      <c r="AA267" s="33">
        <f t="shared" ref="AA267" si="1087">+AA266+W267</f>
        <v>278671</v>
      </c>
      <c r="AB267" s="33"/>
      <c r="AC267" s="46">
        <f t="shared" ref="AC267" si="1088">+AA267/H267</f>
        <v>1.9781739348639572E-2</v>
      </c>
      <c r="AD267" s="33"/>
      <c r="AE267" s="33">
        <f t="shared" ref="AE267" si="1089">+AA267/BW267</f>
        <v>1080.1201550387598</v>
      </c>
      <c r="AF267" s="50"/>
      <c r="AG267" s="33">
        <f t="shared" ref="AG267" si="1090">SUM(W261:W267)</f>
        <v>11390</v>
      </c>
      <c r="AH267" s="33">
        <f t="shared" ref="AH267" si="1091">SUM(D238:D438)</f>
        <v>794172064.34662843</v>
      </c>
      <c r="AI267" s="231">
        <f t="shared" ref="AI267" si="1092">+(AG267-AG260)/AG260</f>
        <v>-4.1165081235794258E-2</v>
      </c>
      <c r="AJ267" s="50"/>
      <c r="AK267" s="10"/>
      <c r="AL267" s="23">
        <f t="shared" ref="AL267" si="1093">+AP267-AP266</f>
        <v>129179</v>
      </c>
      <c r="AM267" s="24"/>
      <c r="AN267" s="24"/>
      <c r="AO267" s="24">
        <v>178263</v>
      </c>
      <c r="AP267" s="24">
        <v>8462434</v>
      </c>
      <c r="AQ267" s="24"/>
      <c r="AR267" s="504">
        <f t="shared" ref="AR267" si="1094">+AL267/AP266</f>
        <v>1.5501625715281724E-2</v>
      </c>
      <c r="AS267" s="25"/>
      <c r="AT267" s="25"/>
      <c r="AU267" s="24"/>
      <c r="AV267" s="341">
        <f t="shared" ref="AV267" si="1095">+AP267/H267</f>
        <v>0.60071433210870651</v>
      </c>
      <c r="AW267" s="341"/>
      <c r="AX267" s="24">
        <f t="shared" ref="AX267" si="1096">+AP267/BW267</f>
        <v>32800.131782945733</v>
      </c>
      <c r="AY267" s="351"/>
      <c r="AZ267" s="10"/>
      <c r="BA267" s="66">
        <f t="shared" ref="BA267" si="1097">+BC267-BC266</f>
        <v>3699465</v>
      </c>
      <c r="BB267" s="67"/>
      <c r="BC267" s="67">
        <v>199906513</v>
      </c>
      <c r="BD267" s="67"/>
      <c r="BE267" s="67">
        <f t="shared" ref="BE267" si="1098">+D267</f>
        <v>203737</v>
      </c>
      <c r="BF267" s="67"/>
      <c r="BG267" s="156">
        <f t="shared" ref="BG267" si="1099">+BE267/BA267</f>
        <v>5.5072017170050266E-2</v>
      </c>
      <c r="BH267" s="67"/>
      <c r="BI267" s="183"/>
      <c r="BJ267" s="67"/>
      <c r="BK267" s="67">
        <f t="shared" ref="BK267" si="1100">SUM(BA261:BA267)</f>
        <v>13800771</v>
      </c>
      <c r="BL267" s="67"/>
      <c r="BM267" s="156">
        <f t="shared" ref="BM267" si="1101">+Q267/BK267</f>
        <v>7.9793875284214194E-2</v>
      </c>
      <c r="BN267" s="66">
        <f t="shared" ref="BN267" si="1102">+BC267/BW267</f>
        <v>774831.44573643408</v>
      </c>
      <c r="BO267" s="67"/>
      <c r="BP267" s="67">
        <f t="shared" ref="BP267" si="1103">+BP266+BE267</f>
        <v>13744638</v>
      </c>
      <c r="BQ267" s="67"/>
      <c r="BR267" s="478">
        <f t="shared" ref="BR267" si="1104">+BP267/BC267</f>
        <v>6.8755328647046129E-2</v>
      </c>
      <c r="BS267" s="67"/>
      <c r="BT267" s="86"/>
      <c r="BU267" s="183"/>
      <c r="BV267" s="1"/>
      <c r="BW267" s="61">
        <f t="shared" si="189"/>
        <v>258</v>
      </c>
    </row>
    <row r="268" spans="2:75" x14ac:dyDescent="0.3">
      <c r="B268" s="171">
        <f t="shared" si="163"/>
        <v>44168</v>
      </c>
      <c r="C268" s="61"/>
      <c r="D268" s="17">
        <v>218576</v>
      </c>
      <c r="E268" s="16"/>
      <c r="F268" s="16"/>
      <c r="G268" s="16"/>
      <c r="H268" s="16">
        <f t="shared" ref="H268" si="1105">+H267+D268</f>
        <v>14305861</v>
      </c>
      <c r="I268" s="16"/>
      <c r="J268" s="479">
        <f t="shared" ref="J268" si="1106">+D268/H267</f>
        <v>1.5515835734138977E-2</v>
      </c>
      <c r="K268" s="16"/>
      <c r="L268" s="16"/>
      <c r="M268" s="16"/>
      <c r="N268" s="16">
        <f t="shared" ref="N268" si="1107">SUM(D262:D268)</f>
        <v>1211730</v>
      </c>
      <c r="O268" s="16">
        <f t="shared" ref="O268" si="1108">+H268/BW268</f>
        <v>55234.984555984556</v>
      </c>
      <c r="P268" s="41"/>
      <c r="Q268" s="17">
        <f t="shared" ref="Q268" si="1109">SUM(D262:D268)</f>
        <v>1211730</v>
      </c>
      <c r="R268" s="16"/>
      <c r="S268" s="60">
        <f t="shared" ref="S268" si="1110">+(Q268-Q261)/Q261</f>
        <v>5.1855349815493668E-2</v>
      </c>
      <c r="T268" s="16"/>
      <c r="U268" s="41"/>
      <c r="V268" s="10">
        <f t="shared" si="109"/>
        <v>160</v>
      </c>
      <c r="W268" s="34">
        <v>2918</v>
      </c>
      <c r="X268" s="33"/>
      <c r="Y268" s="33"/>
      <c r="Z268" s="33"/>
      <c r="AA268" s="33">
        <f t="shared" ref="AA268" si="1111">+AA267+W268</f>
        <v>281589</v>
      </c>
      <c r="AB268" s="33"/>
      <c r="AC268" s="46">
        <f t="shared" ref="AC268" si="1112">+AA268/H268</f>
        <v>1.9683470991365009E-2</v>
      </c>
      <c r="AD268" s="33"/>
      <c r="AE268" s="33">
        <f t="shared" ref="AE268" si="1113">+AA268/BW268</f>
        <v>1087.2162162162163</v>
      </c>
      <c r="AF268" s="50"/>
      <c r="AG268" s="33">
        <f t="shared" ref="AG268" si="1114">SUM(W262:W268)</f>
        <v>13002</v>
      </c>
      <c r="AH268" s="33">
        <f t="shared" ref="AH268" si="1115">SUM(D239:D439)</f>
        <v>794077597.34662843</v>
      </c>
      <c r="AI268" s="231">
        <f t="shared" ref="AI268" si="1116">+(AG268-AG261)/AG261</f>
        <v>0.16924460431654675</v>
      </c>
      <c r="AJ268" s="50"/>
      <c r="AK268" s="10"/>
      <c r="AL268" s="23">
        <f t="shared" ref="AL268" si="1117">+AP268-AP267</f>
        <v>98993</v>
      </c>
      <c r="AM268" s="24"/>
      <c r="AN268" s="24"/>
      <c r="AO268" s="24">
        <v>178263</v>
      </c>
      <c r="AP268" s="24">
        <v>8561427</v>
      </c>
      <c r="AQ268" s="24"/>
      <c r="AR268" s="504">
        <f t="shared" ref="AR268" si="1118">+AL268/AP267</f>
        <v>1.1697934660406214E-2</v>
      </c>
      <c r="AS268" s="25"/>
      <c r="AT268" s="25"/>
      <c r="AU268" s="24"/>
      <c r="AV268" s="341">
        <f t="shared" ref="AV268" si="1119">+AP268/H268</f>
        <v>0.5984559055900236</v>
      </c>
      <c r="AW268" s="341"/>
      <c r="AX268" s="24">
        <f t="shared" ref="AX268" si="1120">+AP268/BW268</f>
        <v>33055.7027027027</v>
      </c>
      <c r="AY268" s="351"/>
      <c r="AZ268" s="10"/>
      <c r="BA268" s="66">
        <f t="shared" ref="BA268" si="1121">+BC268-BC267</f>
        <v>1862950</v>
      </c>
      <c r="BB268" s="67"/>
      <c r="BC268" s="67">
        <v>201769463</v>
      </c>
      <c r="BD268" s="67"/>
      <c r="BE268" s="67">
        <f t="shared" ref="BE268" si="1122">+D268</f>
        <v>218576</v>
      </c>
      <c r="BF268" s="67"/>
      <c r="BG268" s="156">
        <f t="shared" ref="BG268" si="1123">+BE268/BA268</f>
        <v>0.11732789393166752</v>
      </c>
      <c r="BH268" s="67"/>
      <c r="BI268" s="183"/>
      <c r="BJ268" s="67"/>
      <c r="BK268" s="67">
        <f t="shared" ref="BK268" si="1124">SUM(BA262:BA268)</f>
        <v>14626834</v>
      </c>
      <c r="BL268" s="67"/>
      <c r="BM268" s="156">
        <f t="shared" ref="BM268" si="1125">+Q268/BK268</f>
        <v>8.2842944686457781E-2</v>
      </c>
      <c r="BN268" s="66">
        <f t="shared" ref="BN268" si="1126">+BC268/BW268</f>
        <v>779032.67567567562</v>
      </c>
      <c r="BO268" s="67"/>
      <c r="BP268" s="67">
        <f t="shared" ref="BP268" si="1127">+BP267+BE268</f>
        <v>13963214</v>
      </c>
      <c r="BQ268" s="67"/>
      <c r="BR268" s="478">
        <f t="shared" ref="BR268" si="1128">+BP268/BC268</f>
        <v>6.9203802163065681E-2</v>
      </c>
      <c r="BS268" s="67"/>
      <c r="BT268" s="86"/>
      <c r="BU268" s="183"/>
      <c r="BV268" s="1"/>
      <c r="BW268" s="61">
        <f t="shared" si="189"/>
        <v>259</v>
      </c>
    </row>
    <row r="269" spans="2:75" x14ac:dyDescent="0.3">
      <c r="B269" s="171">
        <f t="shared" si="163"/>
        <v>44169</v>
      </c>
      <c r="C269" s="61"/>
      <c r="D269" s="17">
        <v>235272</v>
      </c>
      <c r="E269" s="16"/>
      <c r="F269" s="16"/>
      <c r="G269" s="16"/>
      <c r="H269" s="16">
        <f t="shared" ref="H269" si="1129">+H268+D269</f>
        <v>14541133</v>
      </c>
      <c r="I269" s="16"/>
      <c r="J269" s="479">
        <f t="shared" ref="J269" si="1130">+D269/H268</f>
        <v>1.6445846915470519E-2</v>
      </c>
      <c r="K269" s="16"/>
      <c r="L269" s="16"/>
      <c r="M269" s="16"/>
      <c r="N269" s="16">
        <f t="shared" ref="N269" si="1131">SUM(D263:D269)</f>
        <v>1282990</v>
      </c>
      <c r="O269" s="16">
        <f t="shared" ref="O269" si="1132">+H269/BW269</f>
        <v>55927.434615384613</v>
      </c>
      <c r="P269" s="41"/>
      <c r="Q269" s="17">
        <f t="shared" ref="Q269" si="1133">SUM(D263:D269)</f>
        <v>1282990</v>
      </c>
      <c r="R269" s="16"/>
      <c r="S269" s="60">
        <f t="shared" ref="S269" si="1134">+(Q269-Q262)/Q262</f>
        <v>0.1539485495032496</v>
      </c>
      <c r="T269" s="16"/>
      <c r="U269" s="41"/>
      <c r="V269" s="10">
        <f t="shared" si="109"/>
        <v>161</v>
      </c>
      <c r="W269" s="34">
        <v>2718</v>
      </c>
      <c r="X269" s="33"/>
      <c r="Y269" s="33"/>
      <c r="Z269" s="33"/>
      <c r="AA269" s="33">
        <f t="shared" ref="AA269" si="1135">+AA268+W269</f>
        <v>284307</v>
      </c>
      <c r="AB269" s="33"/>
      <c r="AC269" s="46">
        <f t="shared" ref="AC269" si="1136">+AA269/H269</f>
        <v>1.9551915246219121E-2</v>
      </c>
      <c r="AD269" s="33"/>
      <c r="AE269" s="33">
        <f t="shared" ref="AE269" si="1137">+AA269/BW269</f>
        <v>1093.4884615384615</v>
      </c>
      <c r="AF269" s="50"/>
      <c r="AG269" s="33">
        <f t="shared" ref="AG269" si="1138">SUM(W263:W269)</f>
        <v>14356</v>
      </c>
      <c r="AH269" s="33">
        <f t="shared" ref="AH269" si="1139">SUM(D240:D440)</f>
        <v>793969208.34662843</v>
      </c>
      <c r="AI269" s="231">
        <f t="shared" ref="AI269" si="1140">+(AG269-AG262)/AG262</f>
        <v>0.36906351325576958</v>
      </c>
      <c r="AJ269" s="50"/>
      <c r="AK269" s="10"/>
      <c r="AL269" s="23">
        <f t="shared" ref="AL269" si="1141">+AP269-AP268</f>
        <v>97455</v>
      </c>
      <c r="AM269" s="24"/>
      <c r="AN269" s="24"/>
      <c r="AO269" s="24">
        <v>178263</v>
      </c>
      <c r="AP269" s="24">
        <v>8658882</v>
      </c>
      <c r="AQ269" s="24"/>
      <c r="AR269" s="504">
        <f t="shared" ref="AR269" si="1142">+AL269/AP268</f>
        <v>1.1383032291229021E-2</v>
      </c>
      <c r="AS269" s="25"/>
      <c r="AT269" s="25"/>
      <c r="AU269" s="24"/>
      <c r="AV269" s="341">
        <f t="shared" ref="AV269" si="1143">+AP269/H269</f>
        <v>0.59547505686111257</v>
      </c>
      <c r="AW269" s="341"/>
      <c r="AX269" s="24">
        <f t="shared" ref="AX269" si="1144">+AP269/BW269</f>
        <v>33303.392307692309</v>
      </c>
      <c r="AY269" s="351"/>
      <c r="AZ269" s="10"/>
      <c r="BA269" s="66">
        <f t="shared" ref="BA269" si="1145">+BC269-BC268</f>
        <v>2114538</v>
      </c>
      <c r="BB269" s="67"/>
      <c r="BC269" s="67">
        <v>203884001</v>
      </c>
      <c r="BD269" s="67"/>
      <c r="BE269" s="67">
        <f t="shared" ref="BE269" si="1146">+D269</f>
        <v>235272</v>
      </c>
      <c r="BF269" s="67"/>
      <c r="BG269" s="156">
        <f t="shared" ref="BG269" si="1147">+BE269/BA269</f>
        <v>0.11126402079319454</v>
      </c>
      <c r="BH269" s="67"/>
      <c r="BI269" s="183"/>
      <c r="BJ269" s="67"/>
      <c r="BK269" s="67">
        <f t="shared" ref="BK269" si="1148">SUM(BA263:BA269)</f>
        <v>14594996</v>
      </c>
      <c r="BL269" s="67"/>
      <c r="BM269" s="156">
        <f t="shared" ref="BM269" si="1149">+Q269/BK269</f>
        <v>8.7906156329196669E-2</v>
      </c>
      <c r="BN269" s="66">
        <f t="shared" ref="BN269" si="1150">+BC269/BW269</f>
        <v>784169.2346153846</v>
      </c>
      <c r="BO269" s="67"/>
      <c r="BP269" s="67">
        <f t="shared" ref="BP269" si="1151">+BP268+BE269</f>
        <v>14198486</v>
      </c>
      <c r="BQ269" s="67"/>
      <c r="BR269" s="478">
        <f t="shared" ref="BR269" si="1152">+BP269/BC269</f>
        <v>6.9640020454572113E-2</v>
      </c>
      <c r="BS269" s="67"/>
      <c r="BT269" s="86"/>
      <c r="BU269" s="183"/>
      <c r="BV269" s="1"/>
      <c r="BW269" s="61">
        <f t="shared" si="189"/>
        <v>260</v>
      </c>
    </row>
    <row r="270" spans="2:75" x14ac:dyDescent="0.3">
      <c r="B270" s="171">
        <f t="shared" si="163"/>
        <v>44170</v>
      </c>
      <c r="C270" s="61"/>
      <c r="D270" s="17">
        <v>212483</v>
      </c>
      <c r="E270" s="16"/>
      <c r="F270" s="16"/>
      <c r="G270" s="16"/>
      <c r="H270" s="16">
        <f t="shared" ref="H270" si="1153">+H269+D270</f>
        <v>14753616</v>
      </c>
      <c r="I270" s="16"/>
      <c r="J270" s="479">
        <f t="shared" ref="J270" si="1154">+D270/H269</f>
        <v>1.4612547729258785E-2</v>
      </c>
      <c r="K270" s="16"/>
      <c r="L270" s="16"/>
      <c r="M270" s="16"/>
      <c r="N270" s="16">
        <f t="shared" ref="N270" si="1155">SUM(D264:D270)</f>
        <v>1352100</v>
      </c>
      <c r="O270" s="16">
        <f t="shared" ref="O270" si="1156">+H270/BW270</f>
        <v>56527.264367816089</v>
      </c>
      <c r="P270" s="41"/>
      <c r="Q270" s="17">
        <f t="shared" ref="Q270" si="1157">SUM(D264:D270)</f>
        <v>1352100</v>
      </c>
      <c r="R270" s="16"/>
      <c r="S270" s="60">
        <f t="shared" ref="S270" si="1158">+(Q270-Q263)/Q263</f>
        <v>0.24921467903470196</v>
      </c>
      <c r="T270" s="16"/>
      <c r="U270" s="41"/>
      <c r="V270" s="10">
        <f t="shared" si="109"/>
        <v>162</v>
      </c>
      <c r="W270" s="34">
        <v>2266</v>
      </c>
      <c r="X270" s="33"/>
      <c r="Y270" s="33"/>
      <c r="Z270" s="33"/>
      <c r="AA270" s="33">
        <f t="shared" ref="AA270" si="1159">+AA269+W270</f>
        <v>286573</v>
      </c>
      <c r="AB270" s="33"/>
      <c r="AC270" s="46">
        <f t="shared" ref="AC270" si="1160">+AA270/H270</f>
        <v>1.9423916143676234E-2</v>
      </c>
      <c r="AD270" s="33"/>
      <c r="AE270" s="33">
        <f t="shared" ref="AE270" si="1161">+AA270/BW270</f>
        <v>1097.9808429118773</v>
      </c>
      <c r="AF270" s="50"/>
      <c r="AG270" s="33">
        <f t="shared" ref="AG270" si="1162">SUM(W264:W270)</f>
        <v>15406</v>
      </c>
      <c r="AH270" s="33">
        <f t="shared" ref="AH270" si="1163">SUM(D241:D441)</f>
        <v>793850889.34662843</v>
      </c>
      <c r="AI270" s="231">
        <f t="shared" ref="AI270" si="1164">+(AG270-AG263)/AG263</f>
        <v>0.50419839875024408</v>
      </c>
      <c r="AJ270" s="50"/>
      <c r="AK270" s="10"/>
      <c r="AL270" s="23">
        <f t="shared" ref="AL270" si="1165">+AP270-AP269</f>
        <v>130467</v>
      </c>
      <c r="AM270" s="24"/>
      <c r="AN270" s="24"/>
      <c r="AO270" s="24">
        <v>178263</v>
      </c>
      <c r="AP270" s="24">
        <v>8789349</v>
      </c>
      <c r="AQ270" s="24"/>
      <c r="AR270" s="504">
        <f t="shared" ref="AR270" si="1166">+AL270/AP269</f>
        <v>1.5067418634414928E-2</v>
      </c>
      <c r="AS270" s="25"/>
      <c r="AT270" s="25"/>
      <c r="AU270" s="24"/>
      <c r="AV270" s="341">
        <f t="shared" ref="AV270" si="1167">+AP270/H270</f>
        <v>0.59574202012577793</v>
      </c>
      <c r="AW270" s="341"/>
      <c r="AX270" s="24">
        <f t="shared" ref="AX270" si="1168">+AP270/BW270</f>
        <v>33675.666666666664</v>
      </c>
      <c r="AY270" s="351"/>
      <c r="AZ270" s="10"/>
      <c r="BA270" s="66">
        <f t="shared" ref="BA270" si="1169">+BC270-BC269</f>
        <v>1966240</v>
      </c>
      <c r="BB270" s="67"/>
      <c r="BC270" s="67">
        <v>205850241</v>
      </c>
      <c r="BD270" s="67"/>
      <c r="BE270" s="67">
        <f t="shared" ref="BE270" si="1170">+D270</f>
        <v>212483</v>
      </c>
      <c r="BF270" s="67"/>
      <c r="BG270" s="156">
        <f t="shared" ref="BG270" si="1171">+BE270/BA270</f>
        <v>0.10806564814061356</v>
      </c>
      <c r="BH270" s="67"/>
      <c r="BI270" s="183"/>
      <c r="BJ270" s="67"/>
      <c r="BK270" s="67">
        <f t="shared" ref="BK270" si="1172">SUM(BA264:BA270)</f>
        <v>14817017</v>
      </c>
      <c r="BL270" s="67"/>
      <c r="BM270" s="156">
        <f t="shared" ref="BM270" si="1173">+Q270/BK270</f>
        <v>9.1253185442116996E-2</v>
      </c>
      <c r="BN270" s="66">
        <f t="shared" ref="BN270" si="1174">+BC270/BW270</f>
        <v>788698.24137931038</v>
      </c>
      <c r="BO270" s="67"/>
      <c r="BP270" s="67">
        <f t="shared" ref="BP270" si="1175">+BP269+BE270</f>
        <v>14410969</v>
      </c>
      <c r="BQ270" s="67"/>
      <c r="BR270" s="478">
        <f t="shared" ref="BR270" si="1176">+BP270/BC270</f>
        <v>7.0007054303132921E-2</v>
      </c>
      <c r="BS270" s="67"/>
      <c r="BT270" s="86"/>
      <c r="BU270" s="183"/>
      <c r="BV270" s="1"/>
      <c r="BW270" s="61">
        <f t="shared" si="189"/>
        <v>261</v>
      </c>
    </row>
    <row r="271" spans="2:75" x14ac:dyDescent="0.3">
      <c r="B271" s="390">
        <f t="shared" si="163"/>
        <v>44171</v>
      </c>
      <c r="C271" s="61"/>
      <c r="D271" s="17">
        <v>182779</v>
      </c>
      <c r="E271" s="16"/>
      <c r="F271" s="16"/>
      <c r="G271" s="16"/>
      <c r="H271" s="16">
        <f t="shared" ref="H271" si="1177">+H270+D271</f>
        <v>14936395</v>
      </c>
      <c r="I271" s="16"/>
      <c r="J271" s="479">
        <f t="shared" ref="J271" si="1178">+D271/H270</f>
        <v>1.2388759474287523E-2</v>
      </c>
      <c r="K271" s="16"/>
      <c r="L271" s="16"/>
      <c r="M271" s="16"/>
      <c r="N271" s="16">
        <f t="shared" ref="N271" si="1179">SUM(D265:D271)</f>
        <v>1396691</v>
      </c>
      <c r="O271" s="16">
        <f t="shared" ref="O271" si="1180">+H271/BW271</f>
        <v>57009.141221374048</v>
      </c>
      <c r="P271" s="41"/>
      <c r="Q271" s="17">
        <f t="shared" ref="Q271" si="1181">SUM(D265:D271)</f>
        <v>1396691</v>
      </c>
      <c r="R271" s="16"/>
      <c r="S271" s="60">
        <f t="shared" ref="S271" si="1182">+(Q271-Q264)/Q264</f>
        <v>0.2885542396539969</v>
      </c>
      <c r="T271" s="16"/>
      <c r="U271" s="41"/>
      <c r="V271" s="10">
        <f t="shared" si="109"/>
        <v>163</v>
      </c>
      <c r="W271" s="34">
        <v>1092</v>
      </c>
      <c r="X271" s="33"/>
      <c r="Y271" s="33"/>
      <c r="Z271" s="33"/>
      <c r="AA271" s="33">
        <f t="shared" ref="AA271" si="1183">+AA270+W271</f>
        <v>287665</v>
      </c>
      <c r="AB271" s="33"/>
      <c r="AC271" s="46">
        <f t="shared" ref="AC271" si="1184">+AA271/H271</f>
        <v>1.9259332656909517E-2</v>
      </c>
      <c r="AD271" s="33"/>
      <c r="AE271" s="33">
        <f t="shared" ref="AE271" si="1185">+AA271/BW271</f>
        <v>1097.9580152671756</v>
      </c>
      <c r="AF271" s="50"/>
      <c r="AG271" s="33">
        <f t="shared" ref="AG271" si="1186">SUM(W265:W271)</f>
        <v>15679</v>
      </c>
      <c r="AH271" s="33">
        <f t="shared" ref="AH271" si="1187">SUM(D242:D442)</f>
        <v>793718348.34662843</v>
      </c>
      <c r="AI271" s="231">
        <f t="shared" ref="AI271" si="1188">+(AG271-AG264)/AG264</f>
        <v>0.5379107405590976</v>
      </c>
      <c r="AJ271" s="50"/>
      <c r="AK271" s="10"/>
      <c r="AL271" s="23">
        <f t="shared" ref="AL271" si="1189">+AP271-AP270</f>
        <v>67757</v>
      </c>
      <c r="AM271" s="24"/>
      <c r="AN271" s="24"/>
      <c r="AO271" s="24">
        <v>178263</v>
      </c>
      <c r="AP271" s="24">
        <v>8857106</v>
      </c>
      <c r="AQ271" s="24"/>
      <c r="AR271" s="504">
        <f t="shared" ref="AR271" si="1190">+AL271/AP270</f>
        <v>7.708989596385352E-3</v>
      </c>
      <c r="AS271" s="25"/>
      <c r="AT271" s="25"/>
      <c r="AU271" s="24"/>
      <c r="AV271" s="341">
        <f t="shared" ref="AV271" si="1191">+AP271/H271</f>
        <v>0.59298820096817206</v>
      </c>
      <c r="AW271" s="341"/>
      <c r="AX271" s="24">
        <f t="shared" ref="AX271" si="1192">+AP271/BW271</f>
        <v>33805.748091603054</v>
      </c>
      <c r="AY271" s="351"/>
      <c r="AZ271" s="10"/>
      <c r="BA271" s="66">
        <f t="shared" ref="BA271" si="1193">+BC271-BC270</f>
        <v>1610100</v>
      </c>
      <c r="BB271" s="67"/>
      <c r="BC271" s="67">
        <v>207460341</v>
      </c>
      <c r="BD271" s="67"/>
      <c r="BE271" s="67">
        <f t="shared" ref="BE271" si="1194">+D271</f>
        <v>182779</v>
      </c>
      <c r="BF271" s="67"/>
      <c r="BG271" s="156">
        <f t="shared" ref="BG271" si="1195">+BE271/BA271</f>
        <v>0.11352027824358736</v>
      </c>
      <c r="BH271" s="67"/>
      <c r="BI271" s="183"/>
      <c r="BJ271" s="67"/>
      <c r="BK271" s="67">
        <f t="shared" ref="BK271" si="1196">SUM(BA265:BA271)</f>
        <v>15188973</v>
      </c>
      <c r="BL271" s="67"/>
      <c r="BM271" s="156">
        <f t="shared" ref="BM271" si="1197">+Q271/BK271</f>
        <v>9.1954274986202164E-2</v>
      </c>
      <c r="BN271" s="66">
        <f t="shared" ref="BN271" si="1198">+BC271/BW271</f>
        <v>791833.36259541987</v>
      </c>
      <c r="BO271" s="67"/>
      <c r="BP271" s="67">
        <f t="shared" ref="BP271" si="1199">+BP270+BE271</f>
        <v>14593748</v>
      </c>
      <c r="BQ271" s="67"/>
      <c r="BR271" s="478">
        <f t="shared" ref="BR271" si="1200">+BP271/BC271</f>
        <v>7.0344760495693964E-2</v>
      </c>
      <c r="BS271" s="67"/>
      <c r="BT271" s="86"/>
      <c r="BU271" s="183"/>
      <c r="BV271" s="1"/>
      <c r="BW271" s="61">
        <f t="shared" si="189"/>
        <v>262</v>
      </c>
    </row>
    <row r="272" spans="2:75" x14ac:dyDescent="0.3">
      <c r="B272" s="171">
        <f t="shared" si="163"/>
        <v>44172</v>
      </c>
      <c r="C272" s="61"/>
      <c r="D272" s="17">
        <v>200085</v>
      </c>
      <c r="E272" s="16"/>
      <c r="F272" s="16"/>
      <c r="G272" s="16"/>
      <c r="H272" s="16">
        <f t="shared" ref="H272" si="1201">+H271+D272</f>
        <v>15136480</v>
      </c>
      <c r="I272" s="16"/>
      <c r="J272" s="479">
        <f t="shared" ref="J272" si="1202">+D272/H271</f>
        <v>1.3395802668582346E-2</v>
      </c>
      <c r="K272" s="16"/>
      <c r="L272" s="16"/>
      <c r="M272" s="16"/>
      <c r="N272" s="16">
        <f t="shared" ref="N272" si="1203">SUM(D266:D272)</f>
        <v>1435208</v>
      </c>
      <c r="O272" s="16">
        <f t="shared" ref="O272" si="1204">+H272/BW272</f>
        <v>57553.155893536124</v>
      </c>
      <c r="P272" s="41"/>
      <c r="Q272" s="17">
        <f t="shared" ref="Q272" si="1205">SUM(D266:D272)</f>
        <v>1435208</v>
      </c>
      <c r="R272" s="16"/>
      <c r="S272" s="60">
        <f t="shared" ref="S272" si="1206">+(Q272-Q265)/Q265</f>
        <v>0.33733014408459272</v>
      </c>
      <c r="T272" s="16"/>
      <c r="U272" s="41"/>
      <c r="V272" s="10">
        <f t="shared" si="109"/>
        <v>164</v>
      </c>
      <c r="W272" s="34">
        <v>1538</v>
      </c>
      <c r="X272" s="33"/>
      <c r="Y272" s="33"/>
      <c r="Z272" s="33"/>
      <c r="AA272" s="33">
        <f t="shared" ref="AA272" si="1207">+AA271+W272</f>
        <v>289203</v>
      </c>
      <c r="AB272" s="33"/>
      <c r="AC272" s="46">
        <f t="shared" ref="AC272" si="1208">+AA272/H272</f>
        <v>1.9106357620794268E-2</v>
      </c>
      <c r="AD272" s="33"/>
      <c r="AE272" s="33">
        <f t="shared" ref="AE272" si="1209">+AA272/BW272</f>
        <v>1099.6311787072243</v>
      </c>
      <c r="AF272" s="50"/>
      <c r="AG272" s="33">
        <f t="shared" ref="AG272" si="1210">SUM(W266:W272)</f>
        <v>15979</v>
      </c>
      <c r="AH272" s="33">
        <f t="shared" ref="AH272" si="1211">SUM(D243:D443)</f>
        <v>793593958.34662843</v>
      </c>
      <c r="AI272" s="231">
        <f t="shared" ref="AI272" si="1212">+(AG272-AG265)/AG265</f>
        <v>0.52748303221489345</v>
      </c>
      <c r="AJ272" s="50"/>
      <c r="AK272" s="10"/>
      <c r="AL272" s="23">
        <f t="shared" ref="AL272" si="1213">+AP272-AP271</f>
        <v>126535</v>
      </c>
      <c r="AM272" s="24"/>
      <c r="AN272" s="24"/>
      <c r="AO272" s="24">
        <v>178263</v>
      </c>
      <c r="AP272" s="24">
        <v>8983641</v>
      </c>
      <c r="AQ272" s="24"/>
      <c r="AR272" s="504">
        <f t="shared" ref="AR272" si="1214">+AL272/AP271</f>
        <v>1.4286269126732818E-2</v>
      </c>
      <c r="AS272" s="25"/>
      <c r="AT272" s="25"/>
      <c r="AU272" s="24"/>
      <c r="AV272" s="341">
        <f t="shared" ref="AV272" si="1215">+AP272/H272</f>
        <v>0.59350925710601143</v>
      </c>
      <c r="AW272" s="341"/>
      <c r="AX272" s="24">
        <f t="shared" ref="AX272" si="1216">+AP272/BW272</f>
        <v>34158.330798479088</v>
      </c>
      <c r="AY272" s="351"/>
      <c r="AZ272" s="10"/>
      <c r="BA272" s="66">
        <f t="shared" ref="BA272" si="1217">+BC272-BC271</f>
        <v>2038932</v>
      </c>
      <c r="BB272" s="67"/>
      <c r="BC272" s="67">
        <v>209499273</v>
      </c>
      <c r="BD272" s="67"/>
      <c r="BE272" s="67">
        <f t="shared" ref="BE272" si="1218">+D272</f>
        <v>200085</v>
      </c>
      <c r="BF272" s="67"/>
      <c r="BG272" s="156">
        <f t="shared" ref="BG272" si="1219">+BE272/BA272</f>
        <v>9.813225747597272E-2</v>
      </c>
      <c r="BH272" s="67"/>
      <c r="BI272" s="183"/>
      <c r="BJ272" s="67"/>
      <c r="BK272" s="67">
        <f t="shared" ref="BK272" si="1220">SUM(BA266:BA272)</f>
        <v>14590524</v>
      </c>
      <c r="BL272" s="67"/>
      <c r="BM272" s="156">
        <f t="shared" ref="BM272" si="1221">+Q272/BK272</f>
        <v>9.8365761229685794E-2</v>
      </c>
      <c r="BN272" s="66">
        <f t="shared" ref="BN272" si="1222">+BC272/BW272</f>
        <v>796575.18250950566</v>
      </c>
      <c r="BO272" s="67"/>
      <c r="BP272" s="67">
        <f t="shared" ref="BP272" si="1223">+BP271+BE272</f>
        <v>14793833</v>
      </c>
      <c r="BQ272" s="67"/>
      <c r="BR272" s="478">
        <f t="shared" ref="BR272" si="1224">+BP272/BC272</f>
        <v>7.0615199700478193E-2</v>
      </c>
      <c r="BS272" s="67"/>
      <c r="BT272" s="86"/>
      <c r="BU272" s="183"/>
      <c r="BV272" s="1"/>
      <c r="BW272" s="61">
        <f t="shared" si="189"/>
        <v>263</v>
      </c>
    </row>
    <row r="273" spans="2:75" x14ac:dyDescent="0.3">
      <c r="B273" s="171">
        <f t="shared" si="163"/>
        <v>44173</v>
      </c>
      <c r="C273" s="61"/>
      <c r="D273" s="17">
        <v>209756</v>
      </c>
      <c r="E273" s="16"/>
      <c r="F273" s="16"/>
      <c r="G273" s="16"/>
      <c r="H273" s="16">
        <f t="shared" ref="H273" si="1225">+H272+D273</f>
        <v>15346236</v>
      </c>
      <c r="I273" s="16"/>
      <c r="J273" s="479">
        <f t="shared" ref="J273" si="1226">+D273/H272</f>
        <v>1.3857647220489837E-2</v>
      </c>
      <c r="K273" s="16"/>
      <c r="L273" s="16"/>
      <c r="M273" s="16"/>
      <c r="N273" s="16">
        <f t="shared" ref="N273" si="1227">SUM(D267:D273)</f>
        <v>1462688</v>
      </c>
      <c r="O273" s="16">
        <f t="shared" ref="O273" si="1228">+H273/BW273</f>
        <v>58129.681818181816</v>
      </c>
      <c r="P273" s="41"/>
      <c r="Q273" s="17">
        <f t="shared" ref="Q273" si="1229">SUM(D267:D273)</f>
        <v>1462688</v>
      </c>
      <c r="R273" s="16"/>
      <c r="S273" s="60">
        <f t="shared" ref="S273" si="1230">+(Q273-Q266)/Q266</f>
        <v>0.3563715303375517</v>
      </c>
      <c r="T273" s="16"/>
      <c r="U273" s="41"/>
      <c r="V273" s="10">
        <f t="shared" si="109"/>
        <v>165</v>
      </c>
      <c r="W273" s="34">
        <v>2960</v>
      </c>
      <c r="X273" s="33"/>
      <c r="Y273" s="33"/>
      <c r="Z273" s="33"/>
      <c r="AA273" s="33">
        <f t="shared" ref="AA273" si="1231">+AA272+W273</f>
        <v>292163</v>
      </c>
      <c r="AB273" s="33"/>
      <c r="AC273" s="46">
        <f t="shared" ref="AC273" si="1232">+AA273/H273</f>
        <v>1.9038088558002104E-2</v>
      </c>
      <c r="AD273" s="33"/>
      <c r="AE273" s="33">
        <f t="shared" ref="AE273" si="1233">+AA273/BW273</f>
        <v>1106.6780303030303</v>
      </c>
      <c r="AF273" s="50"/>
      <c r="AG273" s="33">
        <f t="shared" ref="AG273" si="1234">SUM(W267:W273)</f>
        <v>16325</v>
      </c>
      <c r="AH273" s="33">
        <f t="shared" ref="AH273" si="1235">SUM(D244:D444)</f>
        <v>793491232.34662843</v>
      </c>
      <c r="AI273" s="231">
        <f t="shared" ref="AI273" si="1236">+(AG273-AG266)/AG266</f>
        <v>0.5033612671516714</v>
      </c>
      <c r="AJ273" s="50"/>
      <c r="AK273" s="10"/>
      <c r="AL273" s="23">
        <f t="shared" ref="AL273" si="1237">+AP273-AP272</f>
        <v>104467</v>
      </c>
      <c r="AM273" s="24"/>
      <c r="AN273" s="24"/>
      <c r="AO273" s="24">
        <v>178263</v>
      </c>
      <c r="AP273" s="24">
        <v>9088108</v>
      </c>
      <c r="AQ273" s="24"/>
      <c r="AR273" s="504">
        <f t="shared" ref="AR273" si="1238">+AL273/AP272</f>
        <v>1.1628581329106985E-2</v>
      </c>
      <c r="AS273" s="25"/>
      <c r="AT273" s="25"/>
      <c r="AU273" s="24"/>
      <c r="AV273" s="341">
        <f t="shared" ref="AV273" si="1239">+AP273/H273</f>
        <v>0.5922043685500471</v>
      </c>
      <c r="AW273" s="341"/>
      <c r="AX273" s="24">
        <f t="shared" ref="AX273" si="1240">+AP273/BW273</f>
        <v>34424.651515151512</v>
      </c>
      <c r="AY273" s="351"/>
      <c r="AZ273" s="10"/>
      <c r="BA273" s="66">
        <f t="shared" ref="BA273" si="1241">+BC273-BC272</f>
        <v>1699673</v>
      </c>
      <c r="BB273" s="67"/>
      <c r="BC273" s="67">
        <v>211198946</v>
      </c>
      <c r="BD273" s="67"/>
      <c r="BE273" s="67">
        <f t="shared" ref="BE273" si="1242">+D273</f>
        <v>209756</v>
      </c>
      <c r="BF273" s="67"/>
      <c r="BG273" s="156">
        <f t="shared" ref="BG273" si="1243">+BE273/BA273</f>
        <v>0.12340962055642468</v>
      </c>
      <c r="BH273" s="67"/>
      <c r="BI273" s="183"/>
      <c r="BJ273" s="67"/>
      <c r="BK273" s="67">
        <f t="shared" ref="BK273" si="1244">SUM(BA267:BA273)</f>
        <v>14991898</v>
      </c>
      <c r="BL273" s="67"/>
      <c r="BM273" s="156">
        <f t="shared" ref="BM273" si="1245">+Q273/BK273</f>
        <v>9.7565231567077096E-2</v>
      </c>
      <c r="BN273" s="66">
        <f t="shared" ref="BN273" si="1246">+BC273/BW273</f>
        <v>799996.00757575757</v>
      </c>
      <c r="BO273" s="67"/>
      <c r="BP273" s="67">
        <f t="shared" ref="BP273" si="1247">+BP272+BE273</f>
        <v>15003589</v>
      </c>
      <c r="BQ273" s="67"/>
      <c r="BR273" s="478">
        <f t="shared" ref="BR273" si="1248">+BP273/BC273</f>
        <v>7.1040075171587266E-2</v>
      </c>
      <c r="BS273" s="67"/>
      <c r="BT273" s="86"/>
      <c r="BU273" s="183"/>
      <c r="BV273" s="1"/>
      <c r="BW273" s="61">
        <f t="shared" si="189"/>
        <v>264</v>
      </c>
    </row>
    <row r="274" spans="2:75" x14ac:dyDescent="0.3">
      <c r="B274" s="171">
        <f t="shared" si="163"/>
        <v>44174</v>
      </c>
      <c r="C274" s="61"/>
      <c r="D274" s="17">
        <v>226953</v>
      </c>
      <c r="E274" s="16"/>
      <c r="F274" s="16"/>
      <c r="G274" s="16"/>
      <c r="H274" s="16">
        <f t="shared" ref="H274" si="1249">+H273+D274</f>
        <v>15573189</v>
      </c>
      <c r="I274" s="16"/>
      <c r="J274" s="479">
        <f t="shared" ref="J274" si="1250">+D274/H273</f>
        <v>1.4788838122911704E-2</v>
      </c>
      <c r="K274" s="16"/>
      <c r="L274" s="16"/>
      <c r="M274" s="16"/>
      <c r="N274" s="16">
        <f t="shared" ref="N274" si="1251">SUM(D268:D274)</f>
        <v>1485904</v>
      </c>
      <c r="O274" s="16">
        <f t="shared" ref="O274" si="1252">+H274/BW274</f>
        <v>58766.750943396226</v>
      </c>
      <c r="P274" s="41"/>
      <c r="Q274" s="17">
        <f t="shared" ref="Q274" si="1253">SUM(D268:D274)</f>
        <v>1485904</v>
      </c>
      <c r="R274" s="16"/>
      <c r="S274" s="60">
        <f t="shared" ref="S274" si="1254">+(Q274-Q267)/Q267</f>
        <v>0.34932896967627636</v>
      </c>
      <c r="T274" s="16"/>
      <c r="U274" s="41"/>
      <c r="V274" s="10">
        <f t="shared" si="109"/>
        <v>166</v>
      </c>
      <c r="W274" s="34">
        <v>3265</v>
      </c>
      <c r="X274" s="33"/>
      <c r="Y274" s="33"/>
      <c r="Z274" s="33"/>
      <c r="AA274" s="33">
        <f t="shared" ref="AA274" si="1255">+AA273+W274</f>
        <v>295428</v>
      </c>
      <c r="AB274" s="33"/>
      <c r="AC274" s="46">
        <f t="shared" ref="AC274" si="1256">+AA274/H274</f>
        <v>1.8970295679324255E-2</v>
      </c>
      <c r="AD274" s="33"/>
      <c r="AE274" s="33">
        <f t="shared" ref="AE274" si="1257">+AA274/BW274</f>
        <v>1114.8226415094339</v>
      </c>
      <c r="AF274" s="50"/>
      <c r="AG274" s="33">
        <f t="shared" ref="AG274" si="1258">SUM(W268:W274)</f>
        <v>16757</v>
      </c>
      <c r="AH274" s="33">
        <f t="shared" ref="AH274" si="1259">SUM(D245:D445)</f>
        <v>793365543.34662843</v>
      </c>
      <c r="AI274" s="231">
        <f t="shared" ref="AI274" si="1260">+(AG274-AG267)/AG267</f>
        <v>0.47120280948200177</v>
      </c>
      <c r="AJ274" s="50"/>
      <c r="AK274" s="10"/>
      <c r="AL274" s="23">
        <f t="shared" ref="AL274" si="1261">+AP274-AP273</f>
        <v>139425</v>
      </c>
      <c r="AM274" s="24"/>
      <c r="AN274" s="24"/>
      <c r="AO274" s="24">
        <v>178263</v>
      </c>
      <c r="AP274" s="24">
        <v>9227533</v>
      </c>
      <c r="AQ274" s="24"/>
      <c r="AR274" s="504">
        <f t="shared" ref="AR274" si="1262">+AL274/AP273</f>
        <v>1.5341477015898138E-2</v>
      </c>
      <c r="AS274" s="25"/>
      <c r="AT274" s="25"/>
      <c r="AU274" s="24"/>
      <c r="AV274" s="341">
        <f t="shared" ref="AV274" si="1263">+AP274/H274</f>
        <v>0.5925268742323746</v>
      </c>
      <c r="AW274" s="341"/>
      <c r="AX274" s="24">
        <f t="shared" ref="AX274" si="1264">+AP274/BW274</f>
        <v>34820.879245283017</v>
      </c>
      <c r="AY274" s="351"/>
      <c r="AZ274" s="10"/>
      <c r="BA274" s="66">
        <f t="shared" ref="BA274" si="1265">+BC274-BC273</f>
        <v>1915218</v>
      </c>
      <c r="BB274" s="67"/>
      <c r="BC274" s="67">
        <v>213114164</v>
      </c>
      <c r="BD274" s="67"/>
      <c r="BE274" s="67">
        <f t="shared" ref="BE274" si="1266">+D274</f>
        <v>226953</v>
      </c>
      <c r="BF274" s="67"/>
      <c r="BG274" s="156">
        <f t="shared" ref="BG274" si="1267">+BE274/BA274</f>
        <v>0.11849982612945367</v>
      </c>
      <c r="BH274" s="67"/>
      <c r="BI274" s="183"/>
      <c r="BJ274" s="67"/>
      <c r="BK274" s="67">
        <f t="shared" ref="BK274" si="1268">SUM(BA268:BA274)</f>
        <v>13207651</v>
      </c>
      <c r="BL274" s="67"/>
      <c r="BM274" s="156">
        <f t="shared" ref="BM274" si="1269">+Q274/BK274</f>
        <v>0.11250327556353511</v>
      </c>
      <c r="BN274" s="66">
        <f t="shared" ref="BN274" si="1270">+BC274/BW274</f>
        <v>804204.39245283022</v>
      </c>
      <c r="BO274" s="67"/>
      <c r="BP274" s="67">
        <f t="shared" ref="BP274" si="1271">+BP273+BE274</f>
        <v>15230542</v>
      </c>
      <c r="BQ274" s="67"/>
      <c r="BR274" s="478">
        <f t="shared" ref="BR274" si="1272">+BP274/BC274</f>
        <v>7.1466587270098109E-2</v>
      </c>
      <c r="BS274" s="67"/>
      <c r="BT274" s="86"/>
      <c r="BU274" s="183"/>
      <c r="BV274" s="1"/>
      <c r="BW274" s="61">
        <f t="shared" si="189"/>
        <v>265</v>
      </c>
    </row>
    <row r="275" spans="2:75" x14ac:dyDescent="0.3">
      <c r="B275" s="171">
        <f t="shared" si="163"/>
        <v>44175</v>
      </c>
      <c r="C275" s="61"/>
      <c r="D275" s="17">
        <v>227314</v>
      </c>
      <c r="E275" s="16"/>
      <c r="F275" s="16"/>
      <c r="G275" s="16"/>
      <c r="H275" s="16">
        <f t="shared" ref="H275" si="1273">+H274+D275</f>
        <v>15800503</v>
      </c>
      <c r="I275" s="16"/>
      <c r="J275" s="479">
        <f t="shared" ref="J275" si="1274">+D275/H274</f>
        <v>1.4596496581400251E-2</v>
      </c>
      <c r="K275" s="16"/>
      <c r="L275" s="16"/>
      <c r="M275" s="16"/>
      <c r="N275" s="16">
        <f t="shared" ref="N275" si="1275">SUM(D269:D275)</f>
        <v>1494642</v>
      </c>
      <c r="O275" s="16">
        <f t="shared" ref="O275" si="1276">+H275/BW275</f>
        <v>59400.387218045114</v>
      </c>
      <c r="P275" s="41"/>
      <c r="Q275" s="17">
        <f t="shared" ref="Q275" si="1277">SUM(D269:D275)</f>
        <v>1494642</v>
      </c>
      <c r="R275" s="16"/>
      <c r="S275" s="60">
        <f t="shared" ref="S275" si="1278">+(Q275-Q268)/Q268</f>
        <v>0.23347775494540862</v>
      </c>
      <c r="T275" s="16"/>
      <c r="U275" s="41"/>
      <c r="V275" s="10">
        <f t="shared" si="109"/>
        <v>167</v>
      </c>
      <c r="W275" s="34">
        <v>3107</v>
      </c>
      <c r="X275" s="33"/>
      <c r="Y275" s="33"/>
      <c r="Z275" s="33"/>
      <c r="AA275" s="33">
        <f t="shared" ref="AA275" si="1279">+AA274+W275</f>
        <v>298535</v>
      </c>
      <c r="AB275" s="33"/>
      <c r="AC275" s="46">
        <f t="shared" ref="AC275" si="1280">+AA275/H275</f>
        <v>1.8894018753706766E-2</v>
      </c>
      <c r="AD275" s="33"/>
      <c r="AE275" s="33">
        <f t="shared" ref="AE275" si="1281">+AA275/BW275</f>
        <v>1122.312030075188</v>
      </c>
      <c r="AF275" s="50"/>
      <c r="AG275" s="33">
        <f t="shared" ref="AG275" si="1282">SUM(W269:W275)</f>
        <v>16946</v>
      </c>
      <c r="AH275" s="33">
        <f t="shared" ref="AH275" si="1283">SUM(D246:D446)</f>
        <v>793229890.34662843</v>
      </c>
      <c r="AI275" s="231">
        <f t="shared" ref="AI275" si="1284">+(AG275-AG268)/AG268</f>
        <v>0.30333794800799879</v>
      </c>
      <c r="AJ275" s="50"/>
      <c r="AK275" s="10"/>
      <c r="AL275" s="23">
        <f t="shared" ref="AL275" si="1285">+AP275-AP274</f>
        <v>105643</v>
      </c>
      <c r="AM275" s="24"/>
      <c r="AN275" s="24"/>
      <c r="AO275" s="24">
        <v>178263</v>
      </c>
      <c r="AP275" s="24">
        <v>9333176</v>
      </c>
      <c r="AQ275" s="24"/>
      <c r="AR275" s="504">
        <f t="shared" ref="AR275" si="1286">+AL275/AP274</f>
        <v>1.144867214238085E-2</v>
      </c>
      <c r="AS275" s="25"/>
      <c r="AT275" s="25"/>
      <c r="AU275" s="24"/>
      <c r="AV275" s="341">
        <f t="shared" ref="AV275" si="1287">+AP275/H275</f>
        <v>0.59068853694088097</v>
      </c>
      <c r="AW275" s="341"/>
      <c r="AX275" s="24">
        <f t="shared" ref="AX275" si="1288">+AP275/BW275</f>
        <v>35087.12781954887</v>
      </c>
      <c r="AY275" s="351"/>
      <c r="AZ275" s="10"/>
      <c r="BA275" s="66">
        <f t="shared" ref="BA275" si="1289">+BC275-BC274</f>
        <v>2007280</v>
      </c>
      <c r="BB275" s="67"/>
      <c r="BC275" s="67">
        <v>215121444</v>
      </c>
      <c r="BD275" s="67"/>
      <c r="BE275" s="67">
        <f t="shared" ref="BE275" si="1290">+D275</f>
        <v>227314</v>
      </c>
      <c r="BF275" s="67"/>
      <c r="BG275" s="156">
        <f t="shared" ref="BG275" si="1291">+BE275/BA275</f>
        <v>0.11324478896815592</v>
      </c>
      <c r="BH275" s="67"/>
      <c r="BI275" s="183"/>
      <c r="BJ275" s="67"/>
      <c r="BK275" s="67">
        <f t="shared" ref="BK275" si="1292">SUM(BA269:BA275)</f>
        <v>13351981</v>
      </c>
      <c r="BL275" s="67"/>
      <c r="BM275" s="156">
        <f t="shared" ref="BM275" si="1293">+Q275/BK275</f>
        <v>0.11194159128896304</v>
      </c>
      <c r="BN275" s="66">
        <f t="shared" ref="BN275" si="1294">+BC275/BW275</f>
        <v>808727.23308270681</v>
      </c>
      <c r="BO275" s="67"/>
      <c r="BP275" s="67">
        <f t="shared" ref="BP275" si="1295">+BP274+BE275</f>
        <v>15457856</v>
      </c>
      <c r="BQ275" s="67"/>
      <c r="BR275" s="478">
        <f t="shared" ref="BR275" si="1296">+BP275/BC275</f>
        <v>7.1856416136738099E-2</v>
      </c>
      <c r="BS275" s="67"/>
      <c r="BT275" s="86"/>
      <c r="BU275" s="183"/>
      <c r="BV275" s="1"/>
      <c r="BW275" s="61">
        <f t="shared" si="189"/>
        <v>266</v>
      </c>
    </row>
    <row r="276" spans="2:75" x14ac:dyDescent="0.3">
      <c r="B276" s="171">
        <f t="shared" si="163"/>
        <v>44176</v>
      </c>
      <c r="C276" s="61"/>
      <c r="D276" s="17">
        <v>246761</v>
      </c>
      <c r="E276" s="16"/>
      <c r="F276" s="16"/>
      <c r="G276" s="16"/>
      <c r="H276" s="16">
        <f t="shared" ref="H276" si="1297">+H275+D276</f>
        <v>16047264</v>
      </c>
      <c r="I276" s="16"/>
      <c r="J276" s="479">
        <f t="shared" ref="J276" si="1298">+D276/H275</f>
        <v>1.5617287626855931E-2</v>
      </c>
      <c r="K276" s="16"/>
      <c r="L276" s="16"/>
      <c r="M276" s="16"/>
      <c r="N276" s="16">
        <f t="shared" ref="N276" si="1299">SUM(D270:D276)</f>
        <v>1506131</v>
      </c>
      <c r="O276" s="16">
        <f t="shared" ref="O276" si="1300">+H276/BW276</f>
        <v>60102.112359550563</v>
      </c>
      <c r="P276" s="41"/>
      <c r="Q276" s="17">
        <f t="shared" ref="Q276" si="1301">SUM(D270:D276)</f>
        <v>1506131</v>
      </c>
      <c r="R276" s="16"/>
      <c r="S276" s="60">
        <f t="shared" ref="S276" si="1302">+(Q276-Q269)/Q269</f>
        <v>0.17392263384749687</v>
      </c>
      <c r="T276" s="16"/>
      <c r="U276" s="41"/>
      <c r="V276" s="10">
        <f t="shared" si="109"/>
        <v>168</v>
      </c>
      <c r="W276" s="34">
        <v>3031</v>
      </c>
      <c r="X276" s="33"/>
      <c r="Y276" s="33"/>
      <c r="Z276" s="33"/>
      <c r="AA276" s="33">
        <f t="shared" ref="AA276" si="1303">+AA275+W276</f>
        <v>301566</v>
      </c>
      <c r="AB276" s="33"/>
      <c r="AC276" s="46">
        <f t="shared" ref="AC276" si="1304">+AA276/H276</f>
        <v>1.8792362361583881E-2</v>
      </c>
      <c r="AD276" s="33"/>
      <c r="AE276" s="33">
        <f t="shared" ref="AE276" si="1305">+AA276/BW276</f>
        <v>1129.4606741573034</v>
      </c>
      <c r="AF276" s="50"/>
      <c r="AG276" s="33">
        <f t="shared" ref="AG276" si="1306">SUM(W270:W276)</f>
        <v>17259</v>
      </c>
      <c r="AH276" s="33">
        <f t="shared" ref="AH276" si="1307">SUM(D247:D447)</f>
        <v>793086984.34662843</v>
      </c>
      <c r="AI276" s="231">
        <f t="shared" ref="AI276" si="1308">+(AG276-AG269)/AG269</f>
        <v>0.20221510169963777</v>
      </c>
      <c r="AJ276" s="50"/>
      <c r="AK276" s="10"/>
      <c r="AL276" s="23">
        <f t="shared" ref="AL276" si="1309">+AP276-AP275</f>
        <v>174300</v>
      </c>
      <c r="AM276" s="24"/>
      <c r="AN276" s="24"/>
      <c r="AO276" s="24">
        <v>178263</v>
      </c>
      <c r="AP276" s="24">
        <v>9507476</v>
      </c>
      <c r="AQ276" s="24"/>
      <c r="AR276" s="504">
        <f t="shared" ref="AR276" si="1310">+AL276/AP275</f>
        <v>1.8675314812449696E-2</v>
      </c>
      <c r="AS276" s="25"/>
      <c r="AT276" s="25"/>
      <c r="AU276" s="24"/>
      <c r="AV276" s="341">
        <f t="shared" ref="AV276" si="1311">+AP276/H276</f>
        <v>0.59246710218015985</v>
      </c>
      <c r="AW276" s="341"/>
      <c r="AX276" s="24">
        <f t="shared" ref="AX276" si="1312">+AP276/BW276</f>
        <v>35608.52434456929</v>
      </c>
      <c r="AY276" s="351"/>
      <c r="AZ276" s="10"/>
      <c r="BA276" s="66">
        <f t="shared" ref="BA276" si="1313">+BC276-BC275</f>
        <v>2071253</v>
      </c>
      <c r="BB276" s="67"/>
      <c r="BC276" s="67">
        <v>217192697</v>
      </c>
      <c r="BD276" s="67"/>
      <c r="BE276" s="67">
        <f t="shared" ref="BE276" si="1314">+D276</f>
        <v>246761</v>
      </c>
      <c r="BF276" s="67"/>
      <c r="BG276" s="156">
        <f t="shared" ref="BG276" si="1315">+BE276/BA276</f>
        <v>0.11913609781132484</v>
      </c>
      <c r="BH276" s="67"/>
      <c r="BI276" s="183"/>
      <c r="BJ276" s="67"/>
      <c r="BK276" s="67">
        <f t="shared" ref="BK276" si="1316">SUM(BA270:BA276)</f>
        <v>13308696</v>
      </c>
      <c r="BL276" s="67"/>
      <c r="BM276" s="156">
        <f t="shared" ref="BM276" si="1317">+Q276/BK276</f>
        <v>0.11316893856467981</v>
      </c>
      <c r="BN276" s="66">
        <f t="shared" ref="BN276" si="1318">+BC276/BW276</f>
        <v>813455.79400749062</v>
      </c>
      <c r="BO276" s="67"/>
      <c r="BP276" s="67">
        <f t="shared" ref="BP276" si="1319">+BP275+BE276</f>
        <v>15704617</v>
      </c>
      <c r="BQ276" s="67"/>
      <c r="BR276" s="478">
        <f t="shared" ref="BR276" si="1320">+BP276/BC276</f>
        <v>7.2307297698872439E-2</v>
      </c>
      <c r="BS276" s="67"/>
      <c r="BT276" s="86"/>
      <c r="BU276" s="183"/>
      <c r="BV276" s="1"/>
      <c r="BW276" s="61">
        <f t="shared" si="189"/>
        <v>267</v>
      </c>
    </row>
    <row r="277" spans="2:75" x14ac:dyDescent="0.3">
      <c r="B277" s="171">
        <f t="shared" si="163"/>
        <v>44177</v>
      </c>
      <c r="C277" s="61"/>
      <c r="D277" s="17">
        <v>220298</v>
      </c>
      <c r="E277" s="16"/>
      <c r="F277" s="16"/>
      <c r="G277" s="16"/>
      <c r="H277" s="16">
        <f t="shared" ref="H277" si="1321">+H276+D277</f>
        <v>16267562</v>
      </c>
      <c r="I277" s="16"/>
      <c r="J277" s="479">
        <f t="shared" ref="J277" si="1322">+D277/H276</f>
        <v>1.3728072274501124E-2</v>
      </c>
      <c r="K277" s="16"/>
      <c r="L277" s="16"/>
      <c r="M277" s="16"/>
      <c r="N277" s="16">
        <f t="shared" ref="N277" si="1323">SUM(D271:D277)</f>
        <v>1513946</v>
      </c>
      <c r="O277" s="16">
        <f t="shared" ref="O277" si="1324">+H277/BW277</f>
        <v>60699.858208955222</v>
      </c>
      <c r="P277" s="41"/>
      <c r="Q277" s="17">
        <f t="shared" ref="Q277" si="1325">SUM(D271:D277)</f>
        <v>1513946</v>
      </c>
      <c r="R277" s="16"/>
      <c r="S277" s="60">
        <f t="shared" ref="S277" si="1326">+(Q277-Q270)/Q270</f>
        <v>0.11969972635160121</v>
      </c>
      <c r="T277" s="16"/>
      <c r="U277" s="41"/>
      <c r="V277" s="10">
        <f t="shared" si="109"/>
        <v>169</v>
      </c>
      <c r="W277" s="34">
        <v>2307</v>
      </c>
      <c r="X277" s="33"/>
      <c r="Y277" s="33"/>
      <c r="Z277" s="33"/>
      <c r="AA277" s="33">
        <f t="shared" ref="AA277" si="1327">+AA276+W277</f>
        <v>303873</v>
      </c>
      <c r="AB277" s="33"/>
      <c r="AC277" s="46">
        <f t="shared" ref="AC277" si="1328">+AA277/H277</f>
        <v>1.8679689064655169E-2</v>
      </c>
      <c r="AD277" s="33"/>
      <c r="AE277" s="33">
        <f t="shared" ref="AE277" si="1329">+AA277/BW277</f>
        <v>1133.8544776119404</v>
      </c>
      <c r="AF277" s="50"/>
      <c r="AG277" s="33">
        <f t="shared" ref="AG277" si="1330">SUM(W271:W277)</f>
        <v>17300</v>
      </c>
      <c r="AH277" s="33">
        <f t="shared" ref="AH277" si="1331">SUM(D248:D448)</f>
        <v>792925443.34662843</v>
      </c>
      <c r="AI277" s="231">
        <f t="shared" ref="AI277" si="1332">+(AG277-AG270)/AG270</f>
        <v>0.12293911463066338</v>
      </c>
      <c r="AJ277" s="50"/>
      <c r="AK277" s="10"/>
      <c r="AL277" s="23">
        <f t="shared" ref="AL277" si="1333">+AP277-AP276</f>
        <v>136849</v>
      </c>
      <c r="AM277" s="24"/>
      <c r="AN277" s="24"/>
      <c r="AO277" s="24">
        <v>178263</v>
      </c>
      <c r="AP277" s="24">
        <v>9644325</v>
      </c>
      <c r="AQ277" s="24"/>
      <c r="AR277" s="504">
        <f t="shared" ref="AR277" si="1334">+AL277/AP276</f>
        <v>1.4393830707540045E-2</v>
      </c>
      <c r="AS277" s="25"/>
      <c r="AT277" s="25"/>
      <c r="AU277" s="24"/>
      <c r="AV277" s="341">
        <f t="shared" ref="AV277" si="1335">+AP277/H277</f>
        <v>0.59285620057879607</v>
      </c>
      <c r="AW277" s="341"/>
      <c r="AX277" s="24">
        <f t="shared" ref="AX277" si="1336">+AP277/BW277</f>
        <v>35986.287313432833</v>
      </c>
      <c r="AY277" s="351"/>
      <c r="AZ277" s="10"/>
      <c r="BA277" s="66">
        <f t="shared" ref="BA277" si="1337">+BC277-BC276</f>
        <v>2312375</v>
      </c>
      <c r="BB277" s="67"/>
      <c r="BC277" s="67">
        <v>219505072</v>
      </c>
      <c r="BD277" s="67"/>
      <c r="BE277" s="67">
        <f t="shared" ref="BE277" si="1338">+D277</f>
        <v>220298</v>
      </c>
      <c r="BF277" s="67"/>
      <c r="BG277" s="156">
        <f t="shared" ref="BG277" si="1339">+BE277/BA277</f>
        <v>9.5269149683766693E-2</v>
      </c>
      <c r="BH277" s="67"/>
      <c r="BI277" s="183"/>
      <c r="BJ277" s="67"/>
      <c r="BK277" s="67">
        <f t="shared" ref="BK277" si="1340">SUM(BA271:BA277)</f>
        <v>13654831</v>
      </c>
      <c r="BL277" s="67"/>
      <c r="BM277" s="156">
        <f t="shared" ref="BM277" si="1341">+Q277/BK277</f>
        <v>0.11087255492213709</v>
      </c>
      <c r="BN277" s="66">
        <f t="shared" ref="BN277" si="1342">+BC277/BW277</f>
        <v>819048.77611940296</v>
      </c>
      <c r="BO277" s="67"/>
      <c r="BP277" s="67">
        <f t="shared" ref="BP277" si="1343">+BP276+BE277</f>
        <v>15924915</v>
      </c>
      <c r="BQ277" s="67"/>
      <c r="BR277" s="478">
        <f t="shared" ref="BR277" si="1344">+BP277/BC277</f>
        <v>7.2549189205067657E-2</v>
      </c>
      <c r="BS277" s="67"/>
      <c r="BT277" s="86"/>
      <c r="BU277" s="183"/>
      <c r="BV277" s="1"/>
      <c r="BW277" s="61">
        <f t="shared" si="189"/>
        <v>268</v>
      </c>
    </row>
    <row r="278" spans="2:75" x14ac:dyDescent="0.3">
      <c r="B278" s="390">
        <f t="shared" si="163"/>
        <v>44178</v>
      </c>
      <c r="C278" s="61"/>
      <c r="D278" s="17">
        <v>187901</v>
      </c>
      <c r="E278" s="16"/>
      <c r="F278" s="16"/>
      <c r="G278" s="16"/>
      <c r="H278" s="16">
        <f t="shared" ref="H278" si="1345">+H277+D278</f>
        <v>16455463</v>
      </c>
      <c r="I278" s="16"/>
      <c r="J278" s="479">
        <f t="shared" ref="J278" si="1346">+D278/H277</f>
        <v>1.1550655224181718E-2</v>
      </c>
      <c r="K278" s="16"/>
      <c r="L278" s="16"/>
      <c r="M278" s="16"/>
      <c r="N278" s="16">
        <f t="shared" ref="N278" si="1347">SUM(D272:D278)</f>
        <v>1519068</v>
      </c>
      <c r="O278" s="16">
        <f t="shared" ref="O278" si="1348">+H278/BW278</f>
        <v>61172.724907063195</v>
      </c>
      <c r="P278" s="41"/>
      <c r="Q278" s="17">
        <f t="shared" ref="Q278" si="1349">SUM(D272:D278)</f>
        <v>1519068</v>
      </c>
      <c r="R278" s="16"/>
      <c r="S278" s="60">
        <f t="shared" ref="S278" si="1350">+(Q278-Q271)/Q271</f>
        <v>8.7619237182741214E-2</v>
      </c>
      <c r="T278" s="16"/>
      <c r="U278" s="41"/>
      <c r="V278" s="10">
        <f t="shared" si="109"/>
        <v>170</v>
      </c>
      <c r="W278" s="34">
        <v>1379</v>
      </c>
      <c r="X278" s="33"/>
      <c r="Y278" s="33"/>
      <c r="Z278" s="33"/>
      <c r="AA278" s="33">
        <f t="shared" ref="AA278" si="1351">+AA277+W278</f>
        <v>305252</v>
      </c>
      <c r="AB278" s="33"/>
      <c r="AC278" s="46">
        <f t="shared" ref="AC278" si="1352">+AA278/H278</f>
        <v>1.8550192115530266E-2</v>
      </c>
      <c r="AD278" s="33"/>
      <c r="AE278" s="33">
        <f t="shared" ref="AE278" si="1353">+AA278/BW278</f>
        <v>1134.7657992565055</v>
      </c>
      <c r="AF278" s="50"/>
      <c r="AG278" s="33">
        <f t="shared" ref="AG278" si="1354">SUM(W272:W278)</f>
        <v>17587</v>
      </c>
      <c r="AH278" s="33">
        <f t="shared" ref="AH278" si="1355">SUM(D249:D449)</f>
        <v>792741916.34662843</v>
      </c>
      <c r="AI278" s="231">
        <f t="shared" ref="AI278" si="1356">+(AG278-AG271)/AG271</f>
        <v>0.12169143440270426</v>
      </c>
      <c r="AJ278" s="50"/>
      <c r="AK278" s="10"/>
      <c r="AL278" s="23">
        <f t="shared" ref="AL278" si="1357">+AP278-AP277</f>
        <v>80114</v>
      </c>
      <c r="AM278" s="24"/>
      <c r="AN278" s="24"/>
      <c r="AO278" s="24">
        <v>178263</v>
      </c>
      <c r="AP278" s="24">
        <v>9724439</v>
      </c>
      <c r="AQ278" s="24"/>
      <c r="AR278" s="504">
        <f t="shared" ref="AR278" si="1358">+AL278/AP277</f>
        <v>8.3068540307382841E-3</v>
      </c>
      <c r="AS278" s="25"/>
      <c r="AT278" s="25"/>
      <c r="AU278" s="24"/>
      <c r="AV278" s="341">
        <f t="shared" ref="AV278" si="1359">+AP278/H278</f>
        <v>0.59095505243456226</v>
      </c>
      <c r="AW278" s="341"/>
      <c r="AX278" s="24">
        <f t="shared" ref="AX278" si="1360">+AP278/BW278</f>
        <v>36150.33085501859</v>
      </c>
      <c r="AY278" s="351"/>
      <c r="AZ278" s="10"/>
      <c r="BA278" s="66">
        <f t="shared" ref="BA278" si="1361">+BC278-BC277</f>
        <v>1690558</v>
      </c>
      <c r="BB278" s="67"/>
      <c r="BC278" s="67">
        <v>221195630</v>
      </c>
      <c r="BD278" s="67"/>
      <c r="BE278" s="67">
        <f t="shared" ref="BE278" si="1362">+D278</f>
        <v>187901</v>
      </c>
      <c r="BF278" s="67"/>
      <c r="BG278" s="156">
        <f t="shared" ref="BG278" si="1363">+BE278/BA278</f>
        <v>0.11114732532098869</v>
      </c>
      <c r="BH278" s="67"/>
      <c r="BI278" s="183"/>
      <c r="BJ278" s="67"/>
      <c r="BK278" s="67">
        <f t="shared" ref="BK278" si="1364">SUM(BA272:BA278)</f>
        <v>13735289</v>
      </c>
      <c r="BL278" s="67"/>
      <c r="BM278" s="156">
        <f t="shared" ref="BM278" si="1365">+Q278/BK278</f>
        <v>0.11059599838052188</v>
      </c>
      <c r="BN278" s="66">
        <f t="shared" ref="BN278" si="1366">+BC278/BW278</f>
        <v>822288.58736059477</v>
      </c>
      <c r="BO278" s="67"/>
      <c r="BP278" s="67">
        <f t="shared" ref="BP278" si="1367">+BP277+BE278</f>
        <v>16112816</v>
      </c>
      <c r="BQ278" s="67"/>
      <c r="BR278" s="478">
        <f t="shared" ref="BR278" si="1368">+BP278/BC278</f>
        <v>7.2844187744577057E-2</v>
      </c>
      <c r="BS278" s="67"/>
      <c r="BT278" s="86"/>
      <c r="BU278" s="183"/>
      <c r="BV278" s="1"/>
      <c r="BW278" s="61">
        <f t="shared" si="189"/>
        <v>269</v>
      </c>
    </row>
    <row r="279" spans="2:75" x14ac:dyDescent="0.3">
      <c r="B279" s="171">
        <f t="shared" si="163"/>
        <v>44179</v>
      </c>
      <c r="C279" s="61"/>
      <c r="D279" s="17">
        <v>199732</v>
      </c>
      <c r="E279" s="16"/>
      <c r="F279" s="16"/>
      <c r="G279" s="16"/>
      <c r="H279" s="16">
        <f t="shared" ref="H279" si="1369">+H278+D279</f>
        <v>16655195</v>
      </c>
      <c r="I279" s="16"/>
      <c r="J279" s="479">
        <f t="shared" ref="J279" si="1370">+D279/H278</f>
        <v>1.213773201033602E-2</v>
      </c>
      <c r="K279" s="16"/>
      <c r="L279" s="16"/>
      <c r="M279" s="16"/>
      <c r="N279" s="16">
        <f t="shared" ref="N279" si="1371">SUM(D273:D279)</f>
        <v>1518715</v>
      </c>
      <c r="O279" s="16">
        <f t="shared" ref="O279" si="1372">+H279/BW279</f>
        <v>61685.907407407409</v>
      </c>
      <c r="P279" s="41"/>
      <c r="Q279" s="17">
        <f t="shared" ref="Q279" si="1373">SUM(D273:D279)</f>
        <v>1518715</v>
      </c>
      <c r="R279" s="16"/>
      <c r="S279" s="60">
        <f t="shared" ref="S279" si="1374">+(Q279-Q272)/Q272</f>
        <v>5.8184597633235045E-2</v>
      </c>
      <c r="T279" s="16"/>
      <c r="U279" s="41"/>
      <c r="V279" s="10">
        <f t="shared" si="109"/>
        <v>171</v>
      </c>
      <c r="W279" s="34">
        <v>1622</v>
      </c>
      <c r="X279" s="33"/>
      <c r="Y279" s="33"/>
      <c r="Z279" s="33"/>
      <c r="AA279" s="33">
        <f t="shared" ref="AA279" si="1375">+AA278+W279</f>
        <v>306874</v>
      </c>
      <c r="AB279" s="33"/>
      <c r="AC279" s="46">
        <f t="shared" ref="AC279" si="1376">+AA279/H279</f>
        <v>1.8425122011480503E-2</v>
      </c>
      <c r="AD279" s="33"/>
      <c r="AE279" s="33">
        <f t="shared" ref="AE279" si="1377">+AA279/BW279</f>
        <v>1136.5703703703705</v>
      </c>
      <c r="AF279" s="50"/>
      <c r="AG279" s="33">
        <f t="shared" ref="AG279" si="1378">SUM(W273:W279)</f>
        <v>17671</v>
      </c>
      <c r="AH279" s="33">
        <f t="shared" ref="AH279" si="1379">SUM(D250:D450)</f>
        <v>792584663.34662843</v>
      </c>
      <c r="AI279" s="231">
        <f t="shared" ref="AI279" si="1380">+(AG279-AG272)/AG272</f>
        <v>0.10588897928531198</v>
      </c>
      <c r="AJ279" s="50"/>
      <c r="AK279" s="10"/>
      <c r="AL279" s="23">
        <f t="shared" ref="AL279" si="1381">+AP279-AP278</f>
        <v>148685</v>
      </c>
      <c r="AM279" s="24"/>
      <c r="AN279" s="24"/>
      <c r="AO279" s="24">
        <v>178263</v>
      </c>
      <c r="AP279" s="24">
        <v>9873124</v>
      </c>
      <c r="AQ279" s="24"/>
      <c r="AR279" s="504">
        <f t="shared" ref="AR279" si="1382">+AL279/AP278</f>
        <v>1.5289828030182513E-2</v>
      </c>
      <c r="AS279" s="25"/>
      <c r="AT279" s="25"/>
      <c r="AU279" s="24"/>
      <c r="AV279" s="341">
        <f t="shared" ref="AV279" si="1383">+AP279/H279</f>
        <v>0.5927954611158861</v>
      </c>
      <c r="AW279" s="341"/>
      <c r="AX279" s="24">
        <f t="shared" ref="AX279" si="1384">+AP279/BW279</f>
        <v>36567.125925925924</v>
      </c>
      <c r="AY279" s="351"/>
      <c r="AZ279" s="10"/>
      <c r="BA279" s="66">
        <f t="shared" ref="BA279" si="1385">+BC279-BC278</f>
        <v>1989576</v>
      </c>
      <c r="BB279" s="67"/>
      <c r="BC279" s="67">
        <v>223185206</v>
      </c>
      <c r="BD279" s="67"/>
      <c r="BE279" s="67">
        <f t="shared" ref="BE279" si="1386">+D279</f>
        <v>199732</v>
      </c>
      <c r="BF279" s="67"/>
      <c r="BG279" s="156">
        <f t="shared" ref="BG279" si="1387">+BE279/BA279</f>
        <v>0.10038922865977475</v>
      </c>
      <c r="BH279" s="67"/>
      <c r="BI279" s="183"/>
      <c r="BJ279" s="67"/>
      <c r="BK279" s="67">
        <f t="shared" ref="BK279" si="1388">SUM(BA273:BA279)</f>
        <v>13685933</v>
      </c>
      <c r="BL279" s="67"/>
      <c r="BM279" s="156">
        <f t="shared" ref="BM279" si="1389">+Q279/BK279</f>
        <v>0.11096905121484958</v>
      </c>
      <c r="BN279" s="66">
        <f t="shared" ref="BN279" si="1390">+BC279/BW279</f>
        <v>826611.87407407409</v>
      </c>
      <c r="BO279" s="67"/>
      <c r="BP279" s="67">
        <f t="shared" ref="BP279" si="1391">+BP278+BE279</f>
        <v>16312548</v>
      </c>
      <c r="BQ279" s="67"/>
      <c r="BR279" s="478">
        <f t="shared" ref="BR279" si="1392">+BP279/BC279</f>
        <v>7.3089736960432763E-2</v>
      </c>
      <c r="BS279" s="67"/>
      <c r="BT279" s="86"/>
      <c r="BU279" s="183"/>
      <c r="BV279" s="1"/>
      <c r="BW279" s="61">
        <f t="shared" si="189"/>
        <v>270</v>
      </c>
    </row>
    <row r="280" spans="2:75" x14ac:dyDescent="0.3">
      <c r="B280" s="171">
        <f t="shared" si="163"/>
        <v>44180</v>
      </c>
      <c r="C280" s="61"/>
      <c r="D280" s="17">
        <v>200035</v>
      </c>
      <c r="E280" s="16"/>
      <c r="F280" s="16"/>
      <c r="G280" s="16"/>
      <c r="H280" s="16">
        <f t="shared" ref="H280" si="1393">+H279+D280</f>
        <v>16855230</v>
      </c>
      <c r="I280" s="16"/>
      <c r="J280" s="479">
        <f t="shared" ref="J280" si="1394">+D280/H279</f>
        <v>1.2010366735423992E-2</v>
      </c>
      <c r="K280" s="16"/>
      <c r="L280" s="16"/>
      <c r="M280" s="16"/>
      <c r="N280" s="16">
        <f t="shared" ref="N280" si="1395">SUM(D274:D280)</f>
        <v>1508994</v>
      </c>
      <c r="O280" s="16">
        <f t="shared" ref="O280" si="1396">+H280/BW280</f>
        <v>62196.420664206642</v>
      </c>
      <c r="P280" s="41"/>
      <c r="Q280" s="17">
        <f t="shared" ref="Q280" si="1397">SUM(D274:D280)</f>
        <v>1508994</v>
      </c>
      <c r="R280" s="16"/>
      <c r="S280" s="60">
        <f t="shared" ref="S280" si="1398">+(Q280-Q273)/Q273</f>
        <v>3.1658152661401477E-2</v>
      </c>
      <c r="T280" s="16"/>
      <c r="U280" s="41"/>
      <c r="V280" s="10">
        <f t="shared" si="109"/>
        <v>172</v>
      </c>
      <c r="W280" s="34">
        <v>2981</v>
      </c>
      <c r="X280" s="33"/>
      <c r="Y280" s="33"/>
      <c r="Z280" s="33"/>
      <c r="AA280" s="33">
        <f t="shared" ref="AA280" si="1399">+AA279+W280</f>
        <v>309855</v>
      </c>
      <c r="AB280" s="33"/>
      <c r="AC280" s="46">
        <f t="shared" ref="AC280" si="1400">+AA280/H280</f>
        <v>1.8383314852422662E-2</v>
      </c>
      <c r="AD280" s="33"/>
      <c r="AE280" s="33">
        <f t="shared" ref="AE280" si="1401">+AA280/BW280</f>
        <v>1143.3763837638376</v>
      </c>
      <c r="AF280" s="50"/>
      <c r="AG280" s="33">
        <f t="shared" ref="AG280" si="1402">SUM(W274:W280)</f>
        <v>17692</v>
      </c>
      <c r="AH280" s="33">
        <f t="shared" ref="AH280" si="1403">SUM(D251:D451)</f>
        <v>792446414.34662843</v>
      </c>
      <c r="AI280" s="231">
        <f t="shared" ref="AI280" si="1404">+(AG280-AG273)/AG273</f>
        <v>8.3736600306278719E-2</v>
      </c>
      <c r="AJ280" s="50"/>
      <c r="AK280" s="10"/>
      <c r="AL280" s="23">
        <f t="shared" ref="AL280" si="1405">+AP280-AP279</f>
        <v>134832</v>
      </c>
      <c r="AM280" s="24"/>
      <c r="AN280" s="24"/>
      <c r="AO280" s="24">
        <v>178263</v>
      </c>
      <c r="AP280" s="24">
        <v>10007956</v>
      </c>
      <c r="AQ280" s="24"/>
      <c r="AR280" s="504">
        <f t="shared" ref="AR280" si="1406">+AL280/AP279</f>
        <v>1.3656467800870322E-2</v>
      </c>
      <c r="AS280" s="25"/>
      <c r="AT280" s="25"/>
      <c r="AU280" s="24"/>
      <c r="AV280" s="341">
        <f t="shared" ref="AV280" si="1407">+AP280/H280</f>
        <v>0.59375968171303506</v>
      </c>
      <c r="AW280" s="341"/>
      <c r="AX280" s="24">
        <f t="shared" ref="AX280" si="1408">+AP280/BW280</f>
        <v>36929.72693726937</v>
      </c>
      <c r="AY280" s="351"/>
      <c r="AZ280" s="10"/>
      <c r="BA280" s="66">
        <f t="shared" ref="BA280" si="1409">+BC280-BC279</f>
        <v>1753436</v>
      </c>
      <c r="BB280" s="67"/>
      <c r="BC280" s="67">
        <v>224938642</v>
      </c>
      <c r="BD280" s="67"/>
      <c r="BE280" s="67">
        <f t="shared" ref="BE280" si="1410">+D280</f>
        <v>200035</v>
      </c>
      <c r="BF280" s="67"/>
      <c r="BG280" s="156">
        <f t="shared" ref="BG280" si="1411">+BE280/BA280</f>
        <v>0.11408172297135453</v>
      </c>
      <c r="BH280" s="67"/>
      <c r="BI280" s="183"/>
      <c r="BJ280" s="67"/>
      <c r="BK280" s="67">
        <f t="shared" ref="BK280" si="1412">SUM(BA274:BA280)</f>
        <v>13739696</v>
      </c>
      <c r="BL280" s="67"/>
      <c r="BM280" s="156">
        <f t="shared" ref="BM280" si="1413">+Q280/BK280</f>
        <v>0.1098273207791497</v>
      </c>
      <c r="BN280" s="66">
        <f t="shared" ref="BN280" si="1414">+BC280/BW280</f>
        <v>830031.88929889305</v>
      </c>
      <c r="BO280" s="67"/>
      <c r="BP280" s="67">
        <f t="shared" ref="BP280" si="1415">+BP279+BE280</f>
        <v>16512583</v>
      </c>
      <c r="BQ280" s="67"/>
      <c r="BR280" s="478">
        <f t="shared" ref="BR280" si="1416">+BP280/BC280</f>
        <v>7.3409276650652139E-2</v>
      </c>
      <c r="BS280" s="67"/>
      <c r="BT280" s="86"/>
      <c r="BU280" s="183"/>
      <c r="BV280" s="1"/>
      <c r="BW280" s="61">
        <f t="shared" si="189"/>
        <v>271</v>
      </c>
    </row>
    <row r="281" spans="2:75" x14ac:dyDescent="0.3">
      <c r="B281" s="171">
        <f t="shared" si="163"/>
        <v>44181</v>
      </c>
      <c r="C281" s="61"/>
      <c r="D281" s="17">
        <v>250173</v>
      </c>
      <c r="E281" s="16"/>
      <c r="F281" s="16"/>
      <c r="G281" s="16"/>
      <c r="H281" s="16">
        <f t="shared" ref="H281" si="1417">+H280+D281</f>
        <v>17105403</v>
      </c>
      <c r="I281" s="16"/>
      <c r="J281" s="479">
        <f t="shared" ref="J281" si="1418">+D281/H280</f>
        <v>1.4842455427781169E-2</v>
      </c>
      <c r="K281" s="16"/>
      <c r="L281" s="16"/>
      <c r="M281" s="16"/>
      <c r="N281" s="16">
        <f t="shared" ref="N281" si="1419">SUM(D275:D281)</f>
        <v>1532214</v>
      </c>
      <c r="O281" s="16">
        <f t="shared" ref="O281" si="1420">+H281/BW281</f>
        <v>62887.511029411762</v>
      </c>
      <c r="P281" s="41"/>
      <c r="Q281" s="17">
        <f t="shared" ref="Q281" si="1421">SUM(D275:D281)</f>
        <v>1532214</v>
      </c>
      <c r="R281" s="16"/>
      <c r="S281" s="60">
        <f t="shared" ref="S281" si="1422">+(Q281-Q274)/Q274</f>
        <v>3.1166212622080566E-2</v>
      </c>
      <c r="T281" s="16"/>
      <c r="U281" s="41"/>
      <c r="V281" s="10">
        <f t="shared" si="109"/>
        <v>173</v>
      </c>
      <c r="W281" s="34">
        <v>3561</v>
      </c>
      <c r="X281" s="33"/>
      <c r="Y281" s="33"/>
      <c r="Z281" s="33"/>
      <c r="AA281" s="33">
        <f t="shared" ref="AA281" si="1423">+AA280+W281</f>
        <v>313416</v>
      </c>
      <c r="AB281" s="33"/>
      <c r="AC281" s="46">
        <f t="shared" ref="AC281" si="1424">+AA281/H281</f>
        <v>1.8322631743899868E-2</v>
      </c>
      <c r="AD281" s="33"/>
      <c r="AE281" s="33">
        <f t="shared" ref="AE281" si="1425">+AA281/BW281</f>
        <v>1152.2647058823529</v>
      </c>
      <c r="AF281" s="50"/>
      <c r="AG281" s="33">
        <f t="shared" ref="AG281" si="1426">SUM(W275:W281)</f>
        <v>17988</v>
      </c>
      <c r="AH281" s="33">
        <f t="shared" ref="AH281" si="1427">SUM(D252:D452)</f>
        <v>792284265.34662843</v>
      </c>
      <c r="AI281" s="231">
        <f t="shared" ref="AI281" si="1428">+(AG281-AG274)/AG274</f>
        <v>7.3461836844303879E-2</v>
      </c>
      <c r="AJ281" s="50"/>
      <c r="AK281" s="10"/>
      <c r="AL281" s="23">
        <f t="shared" ref="AL281" si="1429">+AP281-AP280</f>
        <v>162832</v>
      </c>
      <c r="AM281" s="24"/>
      <c r="AN281" s="24"/>
      <c r="AO281" s="24">
        <v>178263</v>
      </c>
      <c r="AP281" s="24">
        <v>10170788</v>
      </c>
      <c r="AQ281" s="24"/>
      <c r="AR281" s="504">
        <f t="shared" ref="AR281" si="1430">+AL281/AP280</f>
        <v>1.627025538481584E-2</v>
      </c>
      <c r="AS281" s="25"/>
      <c r="AT281" s="25"/>
      <c r="AU281" s="24"/>
      <c r="AV281" s="341">
        <f t="shared" ref="AV281" si="1431">+AP281/H281</f>
        <v>0.59459505280290681</v>
      </c>
      <c r="AW281" s="341"/>
      <c r="AX281" s="24">
        <f t="shared" ref="AX281" si="1432">+AP281/BW281</f>
        <v>37392.602941176468</v>
      </c>
      <c r="AY281" s="351"/>
      <c r="AZ281" s="10"/>
      <c r="BA281" s="66">
        <f t="shared" ref="BA281" si="1433">+BC281-BC280</f>
        <v>1784514</v>
      </c>
      <c r="BB281" s="67"/>
      <c r="BC281" s="67">
        <v>226723156</v>
      </c>
      <c r="BD281" s="67"/>
      <c r="BE281" s="67">
        <f t="shared" ref="BE281" si="1434">+D281</f>
        <v>250173</v>
      </c>
      <c r="BF281" s="67"/>
      <c r="BG281" s="156">
        <f t="shared" ref="BG281" si="1435">+BE281/BA281</f>
        <v>0.1401911108570737</v>
      </c>
      <c r="BH281" s="67"/>
      <c r="BI281" s="183"/>
      <c r="BJ281" s="67"/>
      <c r="BK281" s="67">
        <f t="shared" ref="BK281" si="1436">SUM(BA275:BA281)</f>
        <v>13608992</v>
      </c>
      <c r="BL281" s="67"/>
      <c r="BM281" s="156">
        <f t="shared" ref="BM281" si="1437">+Q281/BK281</f>
        <v>0.11258835334755138</v>
      </c>
      <c r="BN281" s="66">
        <f t="shared" ref="BN281" si="1438">+BC281/BW281</f>
        <v>833541.01470588241</v>
      </c>
      <c r="BO281" s="67"/>
      <c r="BP281" s="67">
        <f t="shared" ref="BP281" si="1439">+BP280+BE281</f>
        <v>16762756</v>
      </c>
      <c r="BQ281" s="67"/>
      <c r="BR281" s="478">
        <f t="shared" ref="BR281" si="1440">+BP281/BC281</f>
        <v>7.393490940995899E-2</v>
      </c>
      <c r="BS281" s="67"/>
      <c r="BT281" s="86"/>
      <c r="BU281" s="183"/>
      <c r="BV281" s="1"/>
      <c r="BW281" s="61">
        <f t="shared" si="189"/>
        <v>272</v>
      </c>
    </row>
    <row r="282" spans="2:75" x14ac:dyDescent="0.3">
      <c r="B282" s="171">
        <f t="shared" si="163"/>
        <v>44182</v>
      </c>
      <c r="C282" s="61"/>
      <c r="D282" s="17">
        <v>237872</v>
      </c>
      <c r="E282" s="16"/>
      <c r="F282" s="16"/>
      <c r="G282" s="16"/>
      <c r="H282" s="16">
        <f t="shared" ref="H282" si="1441">+H281+D282</f>
        <v>17343275</v>
      </c>
      <c r="I282" s="16"/>
      <c r="J282" s="479">
        <f t="shared" ref="J282" si="1442">+D282/H281</f>
        <v>1.3906249387985773E-2</v>
      </c>
      <c r="K282" s="16"/>
      <c r="L282" s="16"/>
      <c r="M282" s="16"/>
      <c r="N282" s="16">
        <f t="shared" ref="N282" si="1443">SUM(D276:D282)</f>
        <v>1542772</v>
      </c>
      <c r="O282" s="16">
        <f t="shared" ref="O282" si="1444">+H282/BW282</f>
        <v>63528.479853479854</v>
      </c>
      <c r="P282" s="41"/>
      <c r="Q282" s="17">
        <f t="shared" ref="Q282" si="1445">SUM(D276:D282)</f>
        <v>1542772</v>
      </c>
      <c r="R282" s="16"/>
      <c r="S282" s="60">
        <f t="shared" ref="S282" si="1446">+(Q282-Q275)/Q275</f>
        <v>3.220169110730195E-2</v>
      </c>
      <c r="T282" s="16"/>
      <c r="U282" s="41"/>
      <c r="V282" s="10">
        <f t="shared" si="109"/>
        <v>174</v>
      </c>
      <c r="W282" s="34">
        <v>3400</v>
      </c>
      <c r="X282" s="33"/>
      <c r="Y282" s="33"/>
      <c r="Z282" s="33"/>
      <c r="AA282" s="33">
        <f t="shared" ref="AA282" si="1447">+AA281+W282</f>
        <v>316816</v>
      </c>
      <c r="AB282" s="33"/>
      <c r="AC282" s="46">
        <f t="shared" ref="AC282" si="1448">+AA282/H282</f>
        <v>1.8267368763973356E-2</v>
      </c>
      <c r="AD282" s="33"/>
      <c r="AE282" s="33">
        <f t="shared" ref="AE282" si="1449">+AA282/BW282</f>
        <v>1160.4981684981685</v>
      </c>
      <c r="AF282" s="50"/>
      <c r="AG282" s="33">
        <f t="shared" ref="AG282" si="1450">SUM(W276:W282)</f>
        <v>18281</v>
      </c>
      <c r="AH282" s="33">
        <f t="shared" ref="AH282" si="1451">SUM(D253:D453)</f>
        <v>792127004.34662843</v>
      </c>
      <c r="AI282" s="231">
        <f t="shared" ref="AI282" si="1452">+(AG282-AG275)/AG275</f>
        <v>7.8779653015460874E-2</v>
      </c>
      <c r="AJ282" s="50"/>
      <c r="AK282" s="10"/>
      <c r="AL282" s="23">
        <f t="shared" ref="AL282" si="1453">+AP282-AP281</f>
        <v>120817</v>
      </c>
      <c r="AM282" s="24"/>
      <c r="AN282" s="24"/>
      <c r="AO282" s="24">
        <v>178263</v>
      </c>
      <c r="AP282" s="24">
        <v>10291605</v>
      </c>
      <c r="AQ282" s="24"/>
      <c r="AR282" s="504">
        <f t="shared" ref="AR282" si="1454">+AL282/AP281</f>
        <v>1.187882394166509E-2</v>
      </c>
      <c r="AS282" s="25"/>
      <c r="AT282" s="25"/>
      <c r="AU282" s="24"/>
      <c r="AV282" s="341">
        <f t="shared" ref="AV282" si="1455">+AP282/H282</f>
        <v>0.59340608968029396</v>
      </c>
      <c r="AW282" s="341"/>
      <c r="AX282" s="24">
        <f t="shared" ref="AX282" si="1456">+AP282/BW282</f>
        <v>37698.18681318681</v>
      </c>
      <c r="AY282" s="351"/>
      <c r="AZ282" s="10"/>
      <c r="BA282" s="66">
        <f t="shared" ref="BA282" si="1457">+BC282-BC281</f>
        <v>1885917</v>
      </c>
      <c r="BB282" s="67"/>
      <c r="BC282" s="67">
        <v>228609073</v>
      </c>
      <c r="BD282" s="67"/>
      <c r="BE282" s="67">
        <f t="shared" ref="BE282" si="1458">+D282</f>
        <v>237872</v>
      </c>
      <c r="BF282" s="67"/>
      <c r="BG282" s="156">
        <f t="shared" ref="BG282" si="1459">+BE282/BA282</f>
        <v>0.12613068337577954</v>
      </c>
      <c r="BH282" s="67"/>
      <c r="BI282" s="183"/>
      <c r="BJ282" s="67"/>
      <c r="BK282" s="67">
        <f t="shared" ref="BK282" si="1460">SUM(BA276:BA282)</f>
        <v>13487629</v>
      </c>
      <c r="BL282" s="67"/>
      <c r="BM282" s="156">
        <f t="shared" ref="BM282" si="1461">+Q282/BK282</f>
        <v>0.11438422572269745</v>
      </c>
      <c r="BN282" s="66">
        <f t="shared" ref="BN282" si="1462">+BC282/BW282</f>
        <v>837395.87179487175</v>
      </c>
      <c r="BO282" s="67"/>
      <c r="BP282" s="67">
        <f t="shared" ref="BP282" si="1463">+BP281+BE282</f>
        <v>17000628</v>
      </c>
      <c r="BQ282" s="67"/>
      <c r="BR282" s="478">
        <f t="shared" ref="BR282" si="1464">+BP282/BC282</f>
        <v>7.4365499920469036E-2</v>
      </c>
      <c r="BS282" s="67"/>
      <c r="BT282" s="86"/>
      <c r="BU282" s="183"/>
      <c r="BV282" s="1"/>
      <c r="BW282" s="61">
        <f t="shared" si="189"/>
        <v>273</v>
      </c>
    </row>
    <row r="283" spans="2:75" x14ac:dyDescent="0.3">
      <c r="B283" s="171">
        <f t="shared" si="163"/>
        <v>44183</v>
      </c>
      <c r="C283" s="61"/>
      <c r="D283" s="17">
        <v>254680</v>
      </c>
      <c r="E283" s="16"/>
      <c r="F283" s="16"/>
      <c r="G283" s="16"/>
      <c r="H283" s="16">
        <f t="shared" ref="H283" si="1465">+H282+D283</f>
        <v>17597955</v>
      </c>
      <c r="I283" s="16"/>
      <c r="J283" s="479">
        <f t="shared" ref="J283" si="1466">+D283/H282</f>
        <v>1.4684654426571683E-2</v>
      </c>
      <c r="K283" s="16"/>
      <c r="L283" s="16"/>
      <c r="M283" s="16"/>
      <c r="N283" s="16">
        <f t="shared" ref="N283" si="1467">SUM(D277:D283)</f>
        <v>1550691</v>
      </c>
      <c r="O283" s="16">
        <f t="shared" ref="O283" si="1468">+H283/BW283</f>
        <v>64226.113138686131</v>
      </c>
      <c r="P283" s="41"/>
      <c r="Q283" s="17">
        <f t="shared" ref="Q283" si="1469">SUM(D277:D283)</f>
        <v>1550691</v>
      </c>
      <c r="R283" s="16"/>
      <c r="S283" s="60">
        <f t="shared" ref="S283" si="1470">+(Q283-Q276)/Q276</f>
        <v>2.9585739885839943E-2</v>
      </c>
      <c r="T283" s="16"/>
      <c r="U283" s="41"/>
      <c r="V283" s="10">
        <f t="shared" si="109"/>
        <v>175</v>
      </c>
      <c r="W283" s="34">
        <v>2794</v>
      </c>
      <c r="X283" s="33"/>
      <c r="Y283" s="33"/>
      <c r="Z283" s="33"/>
      <c r="AA283" s="33">
        <f t="shared" ref="AA283" si="1471">+AA282+W283</f>
        <v>319610</v>
      </c>
      <c r="AB283" s="33"/>
      <c r="AC283" s="46">
        <f t="shared" ref="AC283" si="1472">+AA283/H283</f>
        <v>1.8161769364679021E-2</v>
      </c>
      <c r="AD283" s="33"/>
      <c r="AE283" s="33">
        <f t="shared" ref="AE283" si="1473">+AA283/BW283</f>
        <v>1166.4598540145985</v>
      </c>
      <c r="AF283" s="50"/>
      <c r="AG283" s="33">
        <f t="shared" ref="AG283" si="1474">SUM(W277:W283)</f>
        <v>18044</v>
      </c>
      <c r="AH283" s="33">
        <f t="shared" ref="AH283" si="1475">SUM(D254:D454)</f>
        <v>791953236.34662843</v>
      </c>
      <c r="AI283" s="231">
        <f t="shared" ref="AI283" si="1476">+(AG283-AG276)/AG276</f>
        <v>4.5483515846804566E-2</v>
      </c>
      <c r="AJ283" s="50"/>
      <c r="AK283" s="10"/>
      <c r="AL283" s="23">
        <f t="shared" ref="AL283" si="1477">+AP283-AP282</f>
        <v>102681</v>
      </c>
      <c r="AM283" s="24"/>
      <c r="AN283" s="24"/>
      <c r="AO283" s="24">
        <v>178263</v>
      </c>
      <c r="AP283" s="24">
        <v>10394286</v>
      </c>
      <c r="AQ283" s="24"/>
      <c r="AR283" s="504">
        <f t="shared" ref="AR283" si="1478">+AL283/AP282</f>
        <v>9.9771609967541502E-3</v>
      </c>
      <c r="AS283" s="25"/>
      <c r="AT283" s="25"/>
      <c r="AU283" s="24"/>
      <c r="AV283" s="341">
        <f t="shared" ref="AV283" si="1479">+AP283/H283</f>
        <v>0.59065306167676868</v>
      </c>
      <c r="AW283" s="341"/>
      <c r="AX283" s="24">
        <f t="shared" ref="AX283" si="1480">+AP283/BW283</f>
        <v>37935.350364963502</v>
      </c>
      <c r="AY283" s="351"/>
      <c r="AZ283" s="10"/>
      <c r="BA283" s="66">
        <f t="shared" ref="BA283" si="1481">+BC283-BC282</f>
        <v>2207096</v>
      </c>
      <c r="BB283" s="67"/>
      <c r="BC283" s="67">
        <v>230816169</v>
      </c>
      <c r="BD283" s="67"/>
      <c r="BE283" s="67">
        <f t="shared" ref="BE283" si="1482">+D283</f>
        <v>254680</v>
      </c>
      <c r="BF283" s="67"/>
      <c r="BG283" s="156">
        <f t="shared" ref="BG283" si="1483">+BE283/BA283</f>
        <v>0.11539144649802274</v>
      </c>
      <c r="BH283" s="67"/>
      <c r="BI283" s="183"/>
      <c r="BJ283" s="67"/>
      <c r="BK283" s="67">
        <f t="shared" ref="BK283" si="1484">SUM(BA277:BA283)</f>
        <v>13623472</v>
      </c>
      <c r="BL283" s="67"/>
      <c r="BM283" s="156">
        <f t="shared" ref="BM283" si="1485">+Q283/BK283</f>
        <v>0.11382494858872981</v>
      </c>
      <c r="BN283" s="66">
        <f t="shared" ref="BN283" si="1486">+BC283/BW283</f>
        <v>842394.77737226279</v>
      </c>
      <c r="BO283" s="67"/>
      <c r="BP283" s="67">
        <f t="shared" ref="BP283" si="1487">+BP282+BE283</f>
        <v>17255308</v>
      </c>
      <c r="BQ283" s="67"/>
      <c r="BR283" s="478">
        <f t="shared" ref="BR283" si="1488">+BP283/BC283</f>
        <v>7.4757795672451346E-2</v>
      </c>
      <c r="BS283" s="67"/>
      <c r="BT283" s="86"/>
      <c r="BU283" s="183"/>
      <c r="BV283" s="1"/>
      <c r="BW283" s="61">
        <f t="shared" si="189"/>
        <v>274</v>
      </c>
    </row>
    <row r="284" spans="2:75" x14ac:dyDescent="0.3">
      <c r="B284" s="171">
        <f t="shared" si="163"/>
        <v>44184</v>
      </c>
      <c r="C284" s="61"/>
      <c r="D284" s="17">
        <v>189650</v>
      </c>
      <c r="E284" s="16"/>
      <c r="F284" s="16"/>
      <c r="G284" s="16"/>
      <c r="H284" s="16">
        <f t="shared" ref="H284" si="1489">+H283+D284</f>
        <v>17787605</v>
      </c>
      <c r="I284" s="16"/>
      <c r="J284" s="479">
        <f t="shared" ref="J284" si="1490">+D284/H283</f>
        <v>1.0776820374867421E-2</v>
      </c>
      <c r="K284" s="16"/>
      <c r="L284" s="16"/>
      <c r="M284" s="16"/>
      <c r="N284" s="16">
        <f t="shared" ref="N284" si="1491">SUM(D278:D284)</f>
        <v>1520043</v>
      </c>
      <c r="O284" s="16">
        <f t="shared" ref="O284" si="1492">+H284/BW284</f>
        <v>64682.2</v>
      </c>
      <c r="P284" s="41"/>
      <c r="Q284" s="17">
        <f t="shared" ref="Q284" si="1493">SUM(D278:D284)</f>
        <v>1520043</v>
      </c>
      <c r="R284" s="16"/>
      <c r="S284" s="60">
        <f t="shared" ref="S284" si="1494">+(Q284-Q277)/Q277</f>
        <v>4.0272242206789407E-3</v>
      </c>
      <c r="T284" s="16"/>
      <c r="U284" s="41"/>
      <c r="V284" s="10">
        <f t="shared" si="109"/>
        <v>176</v>
      </c>
      <c r="W284" s="34">
        <v>2559</v>
      </c>
      <c r="X284" s="33"/>
      <c r="Y284" s="33"/>
      <c r="Z284" s="33"/>
      <c r="AA284" s="33">
        <f t="shared" ref="AA284" si="1495">+AA283+W284</f>
        <v>322169</v>
      </c>
      <c r="AB284" s="33"/>
      <c r="AC284" s="46">
        <f t="shared" ref="AC284" si="1496">+AA284/H284</f>
        <v>1.8111994279162373E-2</v>
      </c>
      <c r="AD284" s="33"/>
      <c r="AE284" s="33">
        <f t="shared" ref="AE284" si="1497">+AA284/BW284</f>
        <v>1171.5236363636363</v>
      </c>
      <c r="AF284" s="50"/>
      <c r="AG284" s="33">
        <f t="shared" ref="AG284" si="1498">SUM(W278:W284)</f>
        <v>18296</v>
      </c>
      <c r="AH284" s="33">
        <f t="shared" ref="AH284" si="1499">SUM(D255:D455)</f>
        <v>791761050.34662843</v>
      </c>
      <c r="AI284" s="231">
        <f t="shared" ref="AI284" si="1500">+(AG284-AG277)/AG277</f>
        <v>5.7572254335260115E-2</v>
      </c>
      <c r="AJ284" s="50"/>
      <c r="AK284" s="10"/>
      <c r="AL284" s="23">
        <f t="shared" ref="AL284" si="1501">+AP284-AP283</f>
        <v>151159</v>
      </c>
      <c r="AM284" s="24"/>
      <c r="AN284" s="24"/>
      <c r="AO284" s="24">
        <v>178263</v>
      </c>
      <c r="AP284" s="24">
        <v>10545445</v>
      </c>
      <c r="AQ284" s="24"/>
      <c r="AR284" s="504">
        <f t="shared" ref="AR284" si="1502">+AL284/AP283</f>
        <v>1.4542509220931577E-2</v>
      </c>
      <c r="AS284" s="25"/>
      <c r="AT284" s="25"/>
      <c r="AU284" s="24"/>
      <c r="AV284" s="341">
        <f t="shared" ref="AV284" si="1503">+AP284/H284</f>
        <v>0.5928535629164241</v>
      </c>
      <c r="AW284" s="341"/>
      <c r="AX284" s="24">
        <f t="shared" ref="AX284" si="1504">+AP284/BW284</f>
        <v>38347.072727272731</v>
      </c>
      <c r="AY284" s="351"/>
      <c r="AZ284" s="10"/>
      <c r="BA284" s="66">
        <f t="shared" ref="BA284" si="1505">+BC284-BC283</f>
        <v>1780784</v>
      </c>
      <c r="BB284" s="67"/>
      <c r="BC284" s="67">
        <v>232596953</v>
      </c>
      <c r="BD284" s="67"/>
      <c r="BE284" s="67">
        <f t="shared" ref="BE284" si="1506">+D284</f>
        <v>189650</v>
      </c>
      <c r="BF284" s="67"/>
      <c r="BG284" s="156">
        <f t="shared" ref="BG284" si="1507">+BE284/BA284</f>
        <v>0.10649803681973782</v>
      </c>
      <c r="BH284" s="67"/>
      <c r="BI284" s="183"/>
      <c r="BJ284" s="67"/>
      <c r="BK284" s="67">
        <f t="shared" ref="BK284" si="1508">SUM(BA278:BA284)</f>
        <v>13091881</v>
      </c>
      <c r="BL284" s="67"/>
      <c r="BM284" s="156">
        <f t="shared" ref="BM284" si="1509">+Q284/BK284</f>
        <v>0.11610577578577135</v>
      </c>
      <c r="BN284" s="66">
        <f t="shared" ref="BN284" si="1510">+BC284/BW284</f>
        <v>845807.10181818181</v>
      </c>
      <c r="BO284" s="67"/>
      <c r="BP284" s="67">
        <f t="shared" ref="BP284" si="1511">+BP283+BE284</f>
        <v>17444958</v>
      </c>
      <c r="BQ284" s="67"/>
      <c r="BR284" s="478">
        <f t="shared" ref="BR284" si="1512">+BP284/BC284</f>
        <v>7.5000801923660626E-2</v>
      </c>
      <c r="BS284" s="67"/>
      <c r="BT284" s="86"/>
      <c r="BU284" s="183"/>
      <c r="BV284" s="1"/>
      <c r="BW284" s="61">
        <f t="shared" si="189"/>
        <v>275</v>
      </c>
    </row>
    <row r="285" spans="2:75" x14ac:dyDescent="0.3">
      <c r="B285" s="390">
        <f t="shared" si="163"/>
        <v>44185</v>
      </c>
      <c r="C285" s="61"/>
      <c r="D285" s="17">
        <v>188280</v>
      </c>
      <c r="E285" s="16"/>
      <c r="F285" s="16"/>
      <c r="G285" s="16"/>
      <c r="H285" s="16">
        <f t="shared" ref="H285" si="1513">+H284+D285</f>
        <v>17975885</v>
      </c>
      <c r="I285" s="16"/>
      <c r="J285" s="479">
        <f t="shared" ref="J285" si="1514">+D285/H284</f>
        <v>1.0584898866373522E-2</v>
      </c>
      <c r="K285" s="16"/>
      <c r="L285" s="16"/>
      <c r="M285" s="16"/>
      <c r="N285" s="16">
        <f t="shared" ref="N285" si="1515">SUM(D279:D285)</f>
        <v>1520422</v>
      </c>
      <c r="O285" s="16">
        <f t="shared" ref="O285" si="1516">+H285/BW285</f>
        <v>65130.018115942032</v>
      </c>
      <c r="P285" s="41"/>
      <c r="Q285" s="17">
        <f t="shared" ref="Q285" si="1517">SUM(D279:D285)</f>
        <v>1520422</v>
      </c>
      <c r="R285" s="16"/>
      <c r="S285" s="60">
        <f t="shared" ref="S285" si="1518">+(Q285-Q278)/Q278</f>
        <v>8.9133600339155327E-4</v>
      </c>
      <c r="T285" s="16"/>
      <c r="U285" s="41"/>
      <c r="V285" s="10">
        <f t="shared" si="109"/>
        <v>177</v>
      </c>
      <c r="W285" s="34">
        <v>1458</v>
      </c>
      <c r="X285" s="33"/>
      <c r="Y285" s="33"/>
      <c r="Z285" s="33"/>
      <c r="AA285" s="33">
        <f t="shared" ref="AA285" si="1519">+AA284+W285</f>
        <v>323627</v>
      </c>
      <c r="AB285" s="33"/>
      <c r="AC285" s="46">
        <f t="shared" ref="AC285" si="1520">+AA285/H285</f>
        <v>1.8003397329255277E-2</v>
      </c>
      <c r="AD285" s="33"/>
      <c r="AE285" s="33">
        <f t="shared" ref="AE285" si="1521">+AA285/BW285</f>
        <v>1172.5615942028985</v>
      </c>
      <c r="AF285" s="50"/>
      <c r="AG285" s="33">
        <f t="shared" ref="AG285" si="1522">SUM(W279:W285)</f>
        <v>18375</v>
      </c>
      <c r="AH285" s="33">
        <f t="shared" ref="AH285" si="1523">SUM(D256:D456)</f>
        <v>791556871.34662843</v>
      </c>
      <c r="AI285" s="231">
        <f t="shared" ref="AI285" si="1524">+(AG285-AG278)/AG278</f>
        <v>4.4805822482515495E-2</v>
      </c>
      <c r="AJ285" s="50"/>
      <c r="AK285" s="10"/>
      <c r="AL285" s="23">
        <f t="shared" ref="AL285" si="1525">+AP285-AP284</f>
        <v>76637</v>
      </c>
      <c r="AM285" s="24"/>
      <c r="AN285" s="24"/>
      <c r="AO285" s="24">
        <v>178263</v>
      </c>
      <c r="AP285" s="24">
        <v>10622082</v>
      </c>
      <c r="AQ285" s="24"/>
      <c r="AR285" s="504">
        <f t="shared" ref="AR285" si="1526">+AL285/AP284</f>
        <v>7.2673083023049286E-3</v>
      </c>
      <c r="AS285" s="25"/>
      <c r="AT285" s="25"/>
      <c r="AU285" s="24"/>
      <c r="AV285" s="341">
        <f t="shared" ref="AV285" si="1527">+AP285/H285</f>
        <v>0.59090731833231025</v>
      </c>
      <c r="AW285" s="341"/>
      <c r="AX285" s="24">
        <f t="shared" ref="AX285" si="1528">+AP285/BW285</f>
        <v>38485.804347826088</v>
      </c>
      <c r="AY285" s="351"/>
      <c r="AZ285" s="10"/>
      <c r="BA285" s="66">
        <f t="shared" ref="BA285" si="1529">+BC285-BC284</f>
        <v>1620242</v>
      </c>
      <c r="BB285" s="67"/>
      <c r="BC285" s="67">
        <v>234217195</v>
      </c>
      <c r="BD285" s="67"/>
      <c r="BE285" s="67">
        <f t="shared" ref="BE285" si="1530">+D285</f>
        <v>188280</v>
      </c>
      <c r="BF285" s="67"/>
      <c r="BG285" s="156">
        <f t="shared" ref="BG285" si="1531">+BE285/BA285</f>
        <v>0.11620486322413566</v>
      </c>
      <c r="BH285" s="67"/>
      <c r="BI285" s="183"/>
      <c r="BJ285" s="67"/>
      <c r="BK285" s="67">
        <f t="shared" ref="BK285" si="1532">SUM(BA279:BA285)</f>
        <v>13021565</v>
      </c>
      <c r="BL285" s="67"/>
      <c r="BM285" s="156">
        <f t="shared" ref="BM285" si="1533">+Q285/BK285</f>
        <v>0.11676184851820806</v>
      </c>
      <c r="BN285" s="66">
        <f t="shared" ref="BN285" si="1534">+BC285/BW285</f>
        <v>848613.02536231885</v>
      </c>
      <c r="BO285" s="67"/>
      <c r="BP285" s="67">
        <f t="shared" ref="BP285" si="1535">+BP284+BE285</f>
        <v>17633238</v>
      </c>
      <c r="BQ285" s="67"/>
      <c r="BR285" s="478">
        <f t="shared" ref="BR285" si="1536">+BP285/BC285</f>
        <v>7.5285838855682644E-2</v>
      </c>
      <c r="BS285" s="67"/>
      <c r="BT285" s="86"/>
      <c r="BU285" s="183"/>
      <c r="BV285" s="1"/>
      <c r="BW285" s="61">
        <f t="shared" si="189"/>
        <v>276</v>
      </c>
    </row>
    <row r="286" spans="2:75" x14ac:dyDescent="0.3">
      <c r="B286" s="171">
        <f t="shared" si="163"/>
        <v>44186</v>
      </c>
      <c r="C286" s="61"/>
      <c r="D286" s="17">
        <v>200109</v>
      </c>
      <c r="E286" s="16"/>
      <c r="F286" s="16"/>
      <c r="G286" s="16"/>
      <c r="H286" s="16">
        <f t="shared" ref="H286" si="1537">+H285+D286</f>
        <v>18175994</v>
      </c>
      <c r="I286" s="16"/>
      <c r="J286" s="479">
        <f t="shared" ref="J286" si="1538">+D286/H285</f>
        <v>1.1132080562375649E-2</v>
      </c>
      <c r="K286" s="16"/>
      <c r="L286" s="16"/>
      <c r="M286" s="16"/>
      <c r="N286" s="16">
        <f t="shared" ref="N286" si="1539">SUM(D280:D286)</f>
        <v>1520799</v>
      </c>
      <c r="O286" s="16">
        <f t="shared" ref="O286" si="1540">+H286/BW286</f>
        <v>65617.306859205783</v>
      </c>
      <c r="P286" s="41"/>
      <c r="Q286" s="17">
        <f t="shared" ref="Q286" si="1541">SUM(D280:D286)</f>
        <v>1520799</v>
      </c>
      <c r="R286" s="16"/>
      <c r="S286" s="60">
        <f t="shared" ref="S286" si="1542">+(Q286-Q279)/Q279</f>
        <v>1.3722126929674098E-3</v>
      </c>
      <c r="T286" s="16"/>
      <c r="U286" s="41"/>
      <c r="V286" s="10">
        <f t="shared" si="109"/>
        <v>178</v>
      </c>
      <c r="W286" s="34">
        <v>1841</v>
      </c>
      <c r="X286" s="33"/>
      <c r="Y286" s="33"/>
      <c r="Z286" s="33"/>
      <c r="AA286" s="33">
        <f t="shared" ref="AA286" si="1543">+AA285+W286</f>
        <v>325468</v>
      </c>
      <c r="AB286" s="33"/>
      <c r="AC286" s="46">
        <f t="shared" ref="AC286" si="1544">+AA286/H286</f>
        <v>1.7906475981451137E-2</v>
      </c>
      <c r="AD286" s="33"/>
      <c r="AE286" s="33">
        <f t="shared" ref="AE286" si="1545">+AA286/BW286</f>
        <v>1174.9747292418772</v>
      </c>
      <c r="AF286" s="50"/>
      <c r="AG286" s="33">
        <f t="shared" ref="AG286" si="1546">SUM(W280:W286)</f>
        <v>18594</v>
      </c>
      <c r="AH286" s="33">
        <f t="shared" ref="AH286" si="1547">SUM(D257:D457)</f>
        <v>791384032.34662843</v>
      </c>
      <c r="AI286" s="231">
        <f t="shared" ref="AI286" si="1548">+(AG286-AG279)/AG279</f>
        <v>5.2232471280629279E-2</v>
      </c>
      <c r="AJ286" s="50"/>
      <c r="AK286" s="10"/>
      <c r="AL286" s="23">
        <f t="shared" ref="AL286" si="1549">+AP286-AP285</f>
        <v>180414</v>
      </c>
      <c r="AM286" s="24"/>
      <c r="AN286" s="24"/>
      <c r="AO286" s="24">
        <v>178263</v>
      </c>
      <c r="AP286" s="24">
        <v>10802496</v>
      </c>
      <c r="AQ286" s="24"/>
      <c r="AR286" s="504">
        <f t="shared" ref="AR286" si="1550">+AL286/AP285</f>
        <v>1.6984805803607995E-2</v>
      </c>
      <c r="AS286" s="25"/>
      <c r="AT286" s="25"/>
      <c r="AU286" s="24"/>
      <c r="AV286" s="341">
        <f t="shared" ref="AV286" si="1551">+AP286/H286</f>
        <v>0.59432766097964163</v>
      </c>
      <c r="AW286" s="341"/>
      <c r="AX286" s="24">
        <f t="shared" ref="AX286" si="1552">+AP286/BW286</f>
        <v>38998.180505415163</v>
      </c>
      <c r="AY286" s="351"/>
      <c r="AZ286" s="10"/>
      <c r="BA286" s="66">
        <f t="shared" ref="BA286" si="1553">+BC286-BC285</f>
        <v>2403372</v>
      </c>
      <c r="BB286" s="67"/>
      <c r="BC286" s="67">
        <v>236620567</v>
      </c>
      <c r="BD286" s="67"/>
      <c r="BE286" s="67">
        <f t="shared" ref="BE286" si="1554">+D286</f>
        <v>200109</v>
      </c>
      <c r="BF286" s="67"/>
      <c r="BG286" s="156">
        <f t="shared" ref="BG286" si="1555">+BE286/BA286</f>
        <v>8.3261767217060037E-2</v>
      </c>
      <c r="BH286" s="67"/>
      <c r="BI286" s="183"/>
      <c r="BJ286" s="67"/>
      <c r="BK286" s="67">
        <f t="shared" ref="BK286" si="1556">SUM(BA280:BA286)</f>
        <v>13435361</v>
      </c>
      <c r="BL286" s="67"/>
      <c r="BM286" s="156">
        <f t="shared" ref="BM286" si="1557">+Q286/BK286</f>
        <v>0.11319375787520708</v>
      </c>
      <c r="BN286" s="66">
        <f t="shared" ref="BN286" si="1558">+BC286/BW286</f>
        <v>854225.87364620937</v>
      </c>
      <c r="BO286" s="67"/>
      <c r="BP286" s="67">
        <f t="shared" ref="BP286" si="1559">+BP285+BE286</f>
        <v>17833347</v>
      </c>
      <c r="BQ286" s="67"/>
      <c r="BR286" s="478">
        <f t="shared" ref="BR286" si="1560">+BP286/BC286</f>
        <v>7.536685092974188E-2</v>
      </c>
      <c r="BS286" s="67"/>
      <c r="BT286" s="86"/>
      <c r="BU286" s="183"/>
      <c r="BV286" s="1"/>
      <c r="BW286" s="61">
        <f t="shared" si="189"/>
        <v>277</v>
      </c>
    </row>
    <row r="287" spans="2:75" x14ac:dyDescent="0.3">
      <c r="B287" s="171">
        <f t="shared" si="163"/>
        <v>44187</v>
      </c>
      <c r="C287" s="61"/>
      <c r="D287" s="17">
        <v>199080</v>
      </c>
      <c r="E287" s="16"/>
      <c r="F287" s="16"/>
      <c r="G287" s="16"/>
      <c r="H287" s="16">
        <f t="shared" ref="H287" si="1561">+H286+D287</f>
        <v>18375074</v>
      </c>
      <c r="I287" s="16"/>
      <c r="J287" s="479">
        <f t="shared" ref="J287" si="1562">+D287/H286</f>
        <v>1.0952908545194283E-2</v>
      </c>
      <c r="K287" s="16"/>
      <c r="L287" s="16"/>
      <c r="M287" s="16"/>
      <c r="N287" s="16">
        <f t="shared" ref="N287" si="1563">SUM(D281:D287)</f>
        <v>1519844</v>
      </c>
      <c r="O287" s="16">
        <f t="shared" ref="O287" si="1564">+H287/BW287</f>
        <v>66097.388489208635</v>
      </c>
      <c r="P287" s="41"/>
      <c r="Q287" s="17">
        <f t="shared" ref="Q287" si="1565">SUM(D281:D287)</f>
        <v>1519844</v>
      </c>
      <c r="R287" s="16"/>
      <c r="S287" s="60">
        <f t="shared" ref="S287" si="1566">+(Q287-Q280)/Q280</f>
        <v>7.1902207695988185E-3</v>
      </c>
      <c r="T287" s="16"/>
      <c r="U287" s="41"/>
      <c r="V287" s="10">
        <f t="shared" si="109"/>
        <v>179</v>
      </c>
      <c r="W287" s="34">
        <v>3376</v>
      </c>
      <c r="X287" s="33"/>
      <c r="Y287" s="33"/>
      <c r="Z287" s="33"/>
      <c r="AA287" s="33">
        <f t="shared" ref="AA287" si="1567">+AA286+W287</f>
        <v>328844</v>
      </c>
      <c r="AB287" s="33"/>
      <c r="AC287" s="46">
        <f t="shared" ref="AC287" si="1568">+AA287/H287</f>
        <v>1.7896200037071961E-2</v>
      </c>
      <c r="AD287" s="33"/>
      <c r="AE287" s="33">
        <f t="shared" ref="AE287" si="1569">+AA287/BW287</f>
        <v>1182.8920863309352</v>
      </c>
      <c r="AF287" s="50"/>
      <c r="AG287" s="33">
        <f t="shared" ref="AG287" si="1570">SUM(W281:W287)</f>
        <v>18989</v>
      </c>
      <c r="AH287" s="33">
        <f t="shared" ref="AH287" si="1571">SUM(D258:D458)</f>
        <v>791247405.34662843</v>
      </c>
      <c r="AI287" s="231">
        <f t="shared" ref="AI287" si="1572">+(AG287-AG280)/AG280</f>
        <v>7.3309970608184491E-2</v>
      </c>
      <c r="AJ287" s="50"/>
      <c r="AK287" s="10"/>
      <c r="AL287" s="23">
        <f t="shared" ref="AL287" si="1573">+AP287-AP286</f>
        <v>142601</v>
      </c>
      <c r="AM287" s="24"/>
      <c r="AN287" s="24"/>
      <c r="AO287" s="24">
        <v>178263</v>
      </c>
      <c r="AP287" s="24">
        <v>10945097</v>
      </c>
      <c r="AQ287" s="24"/>
      <c r="AR287" s="504">
        <f t="shared" ref="AR287" si="1574">+AL287/AP286</f>
        <v>1.3200745457346154E-2</v>
      </c>
      <c r="AS287" s="25"/>
      <c r="AT287" s="25"/>
      <c r="AU287" s="24"/>
      <c r="AV287" s="341">
        <f t="shared" ref="AV287" si="1575">+AP287/H287</f>
        <v>0.59564913861027169</v>
      </c>
      <c r="AW287" s="341"/>
      <c r="AX287" s="24">
        <f t="shared" ref="AX287" si="1576">+AP287/BW287</f>
        <v>39370.852517985615</v>
      </c>
      <c r="AY287" s="351"/>
      <c r="AZ287" s="10"/>
      <c r="BA287" s="66">
        <f t="shared" ref="BA287" si="1577">+BC287-BC286</f>
        <v>1768330</v>
      </c>
      <c r="BB287" s="67"/>
      <c r="BC287" s="67">
        <v>238388897</v>
      </c>
      <c r="BD287" s="67"/>
      <c r="BE287" s="67">
        <f t="shared" ref="BE287" si="1578">+D287</f>
        <v>199080</v>
      </c>
      <c r="BF287" s="67"/>
      <c r="BG287" s="156">
        <f t="shared" ref="BG287" si="1579">+BE287/BA287</f>
        <v>0.11258079657077581</v>
      </c>
      <c r="BH287" s="67"/>
      <c r="BI287" s="183"/>
      <c r="BJ287" s="67"/>
      <c r="BK287" s="67">
        <f t="shared" ref="BK287" si="1580">SUM(BA281:BA287)</f>
        <v>13450255</v>
      </c>
      <c r="BL287" s="67"/>
      <c r="BM287" s="156">
        <f t="shared" ref="BM287" si="1581">+Q287/BK287</f>
        <v>0.11299741157323782</v>
      </c>
      <c r="BN287" s="66">
        <f t="shared" ref="BN287" si="1582">+BC287/BW287</f>
        <v>857514.01798561146</v>
      </c>
      <c r="BO287" s="67"/>
      <c r="BP287" s="67">
        <f t="shared" ref="BP287" si="1583">+BP286+BE287</f>
        <v>18032427</v>
      </c>
      <c r="BQ287" s="67"/>
      <c r="BR287" s="478">
        <f t="shared" ref="BR287" si="1584">+BP287/BC287</f>
        <v>7.5642897915669291E-2</v>
      </c>
      <c r="BS287" s="67"/>
      <c r="BT287" s="86"/>
      <c r="BU287" s="183"/>
      <c r="BV287" s="1"/>
      <c r="BW287" s="61">
        <f t="shared" si="189"/>
        <v>278</v>
      </c>
    </row>
    <row r="288" spans="2:75" x14ac:dyDescent="0.3">
      <c r="B288" s="171">
        <f t="shared" si="163"/>
        <v>44188</v>
      </c>
      <c r="C288" s="61"/>
      <c r="D288" s="17">
        <v>232342</v>
      </c>
      <c r="E288" s="16"/>
      <c r="F288" s="16"/>
      <c r="G288" s="16"/>
      <c r="H288" s="16">
        <f t="shared" ref="H288" si="1585">+H287+D288</f>
        <v>18607416</v>
      </c>
      <c r="I288" s="16"/>
      <c r="J288" s="479">
        <f t="shared" ref="J288" si="1586">+D288/H287</f>
        <v>1.2644411663321737E-2</v>
      </c>
      <c r="K288" s="16"/>
      <c r="L288" s="16"/>
      <c r="M288" s="16"/>
      <c r="N288" s="16">
        <f t="shared" ref="N288" si="1587">SUM(D282:D288)</f>
        <v>1502013</v>
      </c>
      <c r="O288" s="16">
        <f t="shared" ref="O288" si="1588">+H288/BW288</f>
        <v>66693.247311827959</v>
      </c>
      <c r="P288" s="41"/>
      <c r="Q288" s="17">
        <f t="shared" ref="Q288" si="1589">SUM(D282:D288)</f>
        <v>1502013</v>
      </c>
      <c r="R288" s="16"/>
      <c r="S288" s="60">
        <f t="shared" ref="S288" si="1590">+(Q288-Q281)/Q281</f>
        <v>-1.9710693153828382E-2</v>
      </c>
      <c r="T288" s="16"/>
      <c r="U288" s="41"/>
      <c r="V288" s="10">
        <f t="shared" si="109"/>
        <v>180</v>
      </c>
      <c r="W288" s="34">
        <v>3401</v>
      </c>
      <c r="X288" s="33"/>
      <c r="Y288" s="33"/>
      <c r="Z288" s="33"/>
      <c r="AA288" s="33">
        <f t="shared" ref="AA288" si="1591">+AA287+W288</f>
        <v>332245</v>
      </c>
      <c r="AB288" s="33"/>
      <c r="AC288" s="46">
        <f t="shared" ref="AC288" si="1592">+AA288/H288</f>
        <v>1.7855515241879904E-2</v>
      </c>
      <c r="AD288" s="33"/>
      <c r="AE288" s="33">
        <f t="shared" ref="AE288" si="1593">+AA288/BW288</f>
        <v>1190.84229390681</v>
      </c>
      <c r="AF288" s="50"/>
      <c r="AG288" s="33">
        <f t="shared" ref="AG288" si="1594">SUM(W282:W288)</f>
        <v>18829</v>
      </c>
      <c r="AH288" s="33">
        <f t="shared" ref="AH288" si="1595">SUM(D259:D459)</f>
        <v>791075105.34662843</v>
      </c>
      <c r="AI288" s="231">
        <f t="shared" ref="AI288" si="1596">+(AG288-AG281)/AG281</f>
        <v>4.6753391149655328E-2</v>
      </c>
      <c r="AJ288" s="50"/>
      <c r="AK288" s="10"/>
      <c r="AL288" s="23">
        <f t="shared" ref="AL288" si="1597">+AP288-AP287</f>
        <v>156769</v>
      </c>
      <c r="AM288" s="24"/>
      <c r="AN288" s="24"/>
      <c r="AO288" s="24">
        <v>178263</v>
      </c>
      <c r="AP288" s="24">
        <v>11101866</v>
      </c>
      <c r="AQ288" s="24"/>
      <c r="AR288" s="504">
        <f t="shared" ref="AR288" si="1598">+AL288/AP287</f>
        <v>1.4323217053261382E-2</v>
      </c>
      <c r="AS288" s="25"/>
      <c r="AT288" s="25"/>
      <c r="AU288" s="24"/>
      <c r="AV288" s="341">
        <f t="shared" ref="AV288" si="1599">+AP288/H288</f>
        <v>0.59663663133021805</v>
      </c>
      <c r="AW288" s="341"/>
      <c r="AX288" s="24">
        <f t="shared" ref="AX288" si="1600">+AP288/BW288</f>
        <v>39791.634408602149</v>
      </c>
      <c r="AY288" s="351"/>
      <c r="AZ288" s="10"/>
      <c r="BA288" s="66">
        <f t="shared" ref="BA288" si="1601">+BC288-BC287</f>
        <v>1746852</v>
      </c>
      <c r="BB288" s="67"/>
      <c r="BC288" s="67">
        <v>240135749</v>
      </c>
      <c r="BD288" s="67"/>
      <c r="BE288" s="67">
        <f t="shared" ref="BE288" si="1602">+D288</f>
        <v>232342</v>
      </c>
      <c r="BF288" s="67"/>
      <c r="BG288" s="156">
        <f t="shared" ref="BG288" si="1603">+BE288/BA288</f>
        <v>0.13300611614492813</v>
      </c>
      <c r="BH288" s="67"/>
      <c r="BI288" s="183"/>
      <c r="BJ288" s="67"/>
      <c r="BK288" s="67">
        <f t="shared" ref="BK288" si="1604">SUM(BA282:BA288)</f>
        <v>13412593</v>
      </c>
      <c r="BL288" s="67"/>
      <c r="BM288" s="156">
        <f t="shared" ref="BM288" si="1605">+Q288/BK288</f>
        <v>0.11198528129497407</v>
      </c>
      <c r="BN288" s="66">
        <f t="shared" ref="BN288" si="1606">+BC288/BW288</f>
        <v>860701.60931899643</v>
      </c>
      <c r="BO288" s="67"/>
      <c r="BP288" s="67">
        <f t="shared" ref="BP288" si="1607">+BP287+BE288</f>
        <v>18264769</v>
      </c>
      <c r="BQ288" s="67"/>
      <c r="BR288" s="478">
        <f t="shared" ref="BR288" si="1608">+BP288/BC288</f>
        <v>7.6060182942607177E-2</v>
      </c>
      <c r="BS288" s="67"/>
      <c r="BT288" s="86"/>
      <c r="BU288" s="183"/>
      <c r="BV288" s="1"/>
      <c r="BW288" s="61">
        <f t="shared" si="189"/>
        <v>279</v>
      </c>
    </row>
    <row r="289" spans="2:85" x14ac:dyDescent="0.3">
      <c r="B289" s="171">
        <f t="shared" si="163"/>
        <v>44189</v>
      </c>
      <c r="C289" s="61"/>
      <c r="D289" s="17">
        <v>193030</v>
      </c>
      <c r="E289" s="16"/>
      <c r="F289" s="16"/>
      <c r="G289" s="16"/>
      <c r="H289" s="16">
        <f t="shared" ref="H289" si="1609">+H288+D289</f>
        <v>18800446</v>
      </c>
      <c r="I289" s="16"/>
      <c r="J289" s="479">
        <f t="shared" ref="J289" si="1610">+D289/H288</f>
        <v>1.0373820846484003E-2</v>
      </c>
      <c r="K289" s="16"/>
      <c r="L289" s="16"/>
      <c r="M289" s="16"/>
      <c r="N289" s="16">
        <f t="shared" ref="N289" si="1611">SUM(D283:D289)</f>
        <v>1457171</v>
      </c>
      <c r="O289" s="16">
        <f t="shared" ref="O289" si="1612">+H289/BW289</f>
        <v>67144.45</v>
      </c>
      <c r="P289" s="41"/>
      <c r="Q289" s="17">
        <f t="shared" ref="Q289" si="1613">SUM(D283:D289)</f>
        <v>1457171</v>
      </c>
      <c r="R289" s="16"/>
      <c r="S289" s="60">
        <f t="shared" ref="S289" si="1614">+(Q289-Q282)/Q282</f>
        <v>-5.5485191590202571E-2</v>
      </c>
      <c r="T289" s="16"/>
      <c r="U289" s="41"/>
      <c r="V289" s="10">
        <f t="shared" si="109"/>
        <v>181</v>
      </c>
      <c r="W289" s="34">
        <v>2835</v>
      </c>
      <c r="X289" s="33"/>
      <c r="Y289" s="33"/>
      <c r="Z289" s="33"/>
      <c r="AA289" s="33">
        <f t="shared" ref="AA289" si="1615">+AA288+W289</f>
        <v>335080</v>
      </c>
      <c r="AB289" s="33"/>
      <c r="AC289" s="46">
        <f t="shared" ref="AC289" si="1616">+AA289/H289</f>
        <v>1.7822981433525568E-2</v>
      </c>
      <c r="AD289" s="33"/>
      <c r="AE289" s="33">
        <f t="shared" ref="AE289" si="1617">+AA289/BW289</f>
        <v>1196.7142857142858</v>
      </c>
      <c r="AF289" s="50"/>
      <c r="AG289" s="33">
        <f t="shared" ref="AG289" si="1618">SUM(W283:W289)</f>
        <v>18264</v>
      </c>
      <c r="AH289" s="33">
        <f t="shared" ref="AH289" si="1619">SUM(D260:D460)</f>
        <v>790898023.34662843</v>
      </c>
      <c r="AI289" s="231">
        <f t="shared" ref="AI289" si="1620">+(AG289-AG282)/AG282</f>
        <v>-9.2992724686833327E-4</v>
      </c>
      <c r="AJ289" s="50"/>
      <c r="AK289" s="10"/>
      <c r="AL289" s="23">
        <f t="shared" ref="AL289" si="1621">+AP289-AP288</f>
        <v>117257</v>
      </c>
      <c r="AM289" s="24"/>
      <c r="AN289" s="24"/>
      <c r="AO289" s="24">
        <v>178263</v>
      </c>
      <c r="AP289" s="24">
        <v>11219123</v>
      </c>
      <c r="AQ289" s="24"/>
      <c r="AR289" s="504">
        <f t="shared" ref="AR289" si="1622">+AL289/AP288</f>
        <v>1.056191814961557E-2</v>
      </c>
      <c r="AS289" s="25"/>
      <c r="AT289" s="25"/>
      <c r="AU289" s="24"/>
      <c r="AV289" s="341">
        <f t="shared" ref="AV289" si="1623">+AP289/H289</f>
        <v>0.59674770481508788</v>
      </c>
      <c r="AW289" s="341"/>
      <c r="AX289" s="24">
        <f t="shared" ref="AX289" si="1624">+AP289/BW289</f>
        <v>40068.296428571426</v>
      </c>
      <c r="AY289" s="351"/>
      <c r="AZ289" s="10"/>
      <c r="BA289" s="66">
        <f t="shared" ref="BA289" si="1625">+BC289-BC288</f>
        <v>1932743</v>
      </c>
      <c r="BB289" s="67"/>
      <c r="BC289" s="67">
        <v>242068492</v>
      </c>
      <c r="BD289" s="67"/>
      <c r="BE289" s="67">
        <f t="shared" ref="BE289" si="1626">+D289</f>
        <v>193030</v>
      </c>
      <c r="BF289" s="67"/>
      <c r="BG289" s="156">
        <f t="shared" ref="BG289" si="1627">+BE289/BA289</f>
        <v>9.9873599335245297E-2</v>
      </c>
      <c r="BH289" s="67"/>
      <c r="BI289" s="183"/>
      <c r="BJ289" s="67"/>
      <c r="BK289" s="67">
        <f t="shared" ref="BK289" si="1628">SUM(BA283:BA289)</f>
        <v>13459419</v>
      </c>
      <c r="BL289" s="67"/>
      <c r="BM289" s="156">
        <f t="shared" ref="BM289" si="1629">+Q289/BK289</f>
        <v>0.10826403427963718</v>
      </c>
      <c r="BN289" s="66">
        <f t="shared" ref="BN289" si="1630">+BC289/BW289</f>
        <v>864530.32857142854</v>
      </c>
      <c r="BO289" s="67"/>
      <c r="BP289" s="67">
        <f t="shared" ref="BP289" si="1631">+BP288+BE289</f>
        <v>18457799</v>
      </c>
      <c r="BQ289" s="67"/>
      <c r="BR289" s="478">
        <f t="shared" ref="BR289" si="1632">+BP289/BC289</f>
        <v>7.6250315964293283E-2</v>
      </c>
      <c r="BS289" s="67"/>
      <c r="BT289" s="86"/>
      <c r="BU289" s="183"/>
      <c r="BV289" s="1"/>
      <c r="BW289" s="61">
        <f t="shared" si="189"/>
        <v>280</v>
      </c>
    </row>
    <row r="290" spans="2:85" x14ac:dyDescent="0.3">
      <c r="B290" s="171">
        <f t="shared" si="163"/>
        <v>44190</v>
      </c>
      <c r="C290" s="61"/>
      <c r="D290" s="17">
        <v>98840</v>
      </c>
      <c r="E290" s="16"/>
      <c r="F290" s="16"/>
      <c r="G290" s="16"/>
      <c r="H290" s="16">
        <f t="shared" ref="H290" si="1633">+H289+D290</f>
        <v>18899286</v>
      </c>
      <c r="I290" s="16"/>
      <c r="J290" s="479">
        <f t="shared" ref="J290" si="1634">+D290/H289</f>
        <v>5.2573220869334691E-3</v>
      </c>
      <c r="K290" s="16"/>
      <c r="L290" s="16"/>
      <c r="M290" s="16"/>
      <c r="N290" s="16">
        <f t="shared" ref="N290" si="1635">SUM(D284:D290)</f>
        <v>1301331</v>
      </c>
      <c r="O290" s="16">
        <f t="shared" ref="O290" si="1636">+H290/BW290</f>
        <v>67257.245551601431</v>
      </c>
      <c r="P290" s="41"/>
      <c r="Q290" s="17">
        <f t="shared" ref="Q290" si="1637">SUM(D284:D290)</f>
        <v>1301331</v>
      </c>
      <c r="R290" s="16"/>
      <c r="S290" s="60">
        <f t="shared" ref="S290" si="1638">+(Q290-Q283)/Q283</f>
        <v>-0.160805731122448</v>
      </c>
      <c r="T290" s="16"/>
      <c r="U290" s="41"/>
      <c r="V290" s="10">
        <f t="shared" si="109"/>
        <v>182</v>
      </c>
      <c r="W290" s="34">
        <v>1197</v>
      </c>
      <c r="X290" s="33"/>
      <c r="Y290" s="33"/>
      <c r="Z290" s="33"/>
      <c r="AA290" s="33">
        <f t="shared" ref="AA290" si="1639">+AA289+W290</f>
        <v>336277</v>
      </c>
      <c r="AB290" s="33"/>
      <c r="AC290" s="46">
        <f t="shared" ref="AC290" si="1640">+AA290/H290</f>
        <v>1.779310604644006E-2</v>
      </c>
      <c r="AD290" s="33"/>
      <c r="AE290" s="33">
        <f t="shared" ref="AE290" si="1641">+AA290/BW290</f>
        <v>1196.7153024911031</v>
      </c>
      <c r="AF290" s="50"/>
      <c r="AG290" s="33">
        <f t="shared" ref="AG290" si="1642">SUM(W284:W290)</f>
        <v>16667</v>
      </c>
      <c r="AH290" s="33">
        <f t="shared" ref="AH290" si="1643">SUM(D261:D461)</f>
        <v>790717120.34662843</v>
      </c>
      <c r="AI290" s="231">
        <f t="shared" ref="AI290" si="1644">+(AG290-AG283)/AG283</f>
        <v>-7.6313455996453117E-2</v>
      </c>
      <c r="AJ290" s="50"/>
      <c r="AK290" s="10"/>
      <c r="AL290" s="23">
        <f t="shared" ref="AL290" si="1645">+AP290-AP289</f>
        <v>38588</v>
      </c>
      <c r="AM290" s="24"/>
      <c r="AN290" s="24"/>
      <c r="AO290" s="24">
        <v>178263</v>
      </c>
      <c r="AP290" s="24">
        <v>11257711</v>
      </c>
      <c r="AQ290" s="24"/>
      <c r="AR290" s="504">
        <f t="shared" ref="AR290" si="1646">+AL290/AP289</f>
        <v>3.4394845301187978E-3</v>
      </c>
      <c r="AS290" s="25"/>
      <c r="AT290" s="25"/>
      <c r="AU290" s="24"/>
      <c r="AV290" s="341">
        <f t="shared" ref="AV290" si="1647">+AP290/H290</f>
        <v>0.59566858769161968</v>
      </c>
      <c r="AW290" s="341"/>
      <c r="AX290" s="24">
        <f t="shared" ref="AX290" si="1648">+AP290/BW290</f>
        <v>40063.028469750891</v>
      </c>
      <c r="AY290" s="351"/>
      <c r="AZ290" s="10"/>
      <c r="BA290" s="66">
        <f t="shared" ref="BA290" si="1649">+BC290-BC289</f>
        <v>1097555</v>
      </c>
      <c r="BB290" s="67"/>
      <c r="BC290" s="67">
        <v>243166047</v>
      </c>
      <c r="BD290" s="67"/>
      <c r="BE290" s="67">
        <f t="shared" ref="BE290" si="1650">+D290</f>
        <v>98840</v>
      </c>
      <c r="BF290" s="67"/>
      <c r="BG290" s="156">
        <f t="shared" ref="BG290" si="1651">+BE290/BA290</f>
        <v>9.0054712520101499E-2</v>
      </c>
      <c r="BH290" s="67"/>
      <c r="BI290" s="183"/>
      <c r="BJ290" s="67"/>
      <c r="BK290" s="67">
        <f t="shared" ref="BK290" si="1652">SUM(BA284:BA290)</f>
        <v>12349878</v>
      </c>
      <c r="BL290" s="67"/>
      <c r="BM290" s="156">
        <f t="shared" ref="BM290" si="1653">+Q290/BK290</f>
        <v>0.10537197209559479</v>
      </c>
      <c r="BN290" s="66">
        <f t="shared" ref="BN290" si="1654">+BC290/BW290</f>
        <v>865359.5978647687</v>
      </c>
      <c r="BO290" s="67"/>
      <c r="BP290" s="67">
        <f t="shared" ref="BP290" si="1655">+BP289+BE290</f>
        <v>18556639</v>
      </c>
      <c r="BQ290" s="67"/>
      <c r="BR290" s="478">
        <f t="shared" ref="BR290" si="1656">+BP290/BC290</f>
        <v>7.631262353004406E-2</v>
      </c>
      <c r="BS290" s="67"/>
      <c r="BT290" s="86"/>
      <c r="BU290" s="183"/>
      <c r="BV290" s="1"/>
      <c r="BW290" s="61">
        <f t="shared" si="189"/>
        <v>281</v>
      </c>
    </row>
    <row r="291" spans="2:85" x14ac:dyDescent="0.3">
      <c r="B291" s="171">
        <f t="shared" si="163"/>
        <v>44191</v>
      </c>
      <c r="C291" s="61"/>
      <c r="D291" s="17">
        <v>160604</v>
      </c>
      <c r="E291" s="16"/>
      <c r="F291" s="16"/>
      <c r="G291" s="16"/>
      <c r="H291" s="16">
        <f t="shared" ref="H291" si="1657">+H290+D291</f>
        <v>19059890</v>
      </c>
      <c r="I291" s="16"/>
      <c r="J291" s="479">
        <f t="shared" ref="J291" si="1658">+D291/H290</f>
        <v>8.4978871688591827E-3</v>
      </c>
      <c r="K291" s="16"/>
      <c r="L291" s="16"/>
      <c r="M291" s="16"/>
      <c r="N291" s="16">
        <f t="shared" ref="N291" si="1659">SUM(D285:D291)</f>
        <v>1272285</v>
      </c>
      <c r="O291" s="16">
        <f t="shared" ref="O291" si="1660">+H291/BW291</f>
        <v>67588.262411347518</v>
      </c>
      <c r="P291" s="41"/>
      <c r="Q291" s="17">
        <f t="shared" ref="Q291" si="1661">SUM(D285:D291)</f>
        <v>1272285</v>
      </c>
      <c r="R291" s="16"/>
      <c r="S291" s="60">
        <f t="shared" ref="S291" si="1662">+(Q291-Q284)/Q284</f>
        <v>-0.16299407319398201</v>
      </c>
      <c r="T291" s="16"/>
      <c r="U291" s="41"/>
      <c r="V291" s="10">
        <f t="shared" si="109"/>
        <v>183</v>
      </c>
      <c r="W291" s="34">
        <v>1408</v>
      </c>
      <c r="X291" s="33"/>
      <c r="Y291" s="33"/>
      <c r="Z291" s="33"/>
      <c r="AA291" s="33">
        <f t="shared" ref="AA291" si="1663">+AA290+W291</f>
        <v>337685</v>
      </c>
      <c r="AB291" s="33"/>
      <c r="AC291" s="46">
        <f t="shared" ref="AC291" si="1664">+AA291/H291</f>
        <v>1.7717048734279157E-2</v>
      </c>
      <c r="AD291" s="33"/>
      <c r="AE291" s="33">
        <f t="shared" ref="AE291" si="1665">+AA291/BW291</f>
        <v>1197.4645390070923</v>
      </c>
      <c r="AF291" s="50"/>
      <c r="AG291" s="33">
        <f t="shared" ref="AG291" si="1666">SUM(W285:W291)</f>
        <v>15516</v>
      </c>
      <c r="AH291" s="33">
        <f t="shared" ref="AH291" si="1667">SUM(D262:D462)</f>
        <v>790609057.34662843</v>
      </c>
      <c r="AI291" s="231">
        <f t="shared" ref="AI291" si="1668">+(AG291-AG284)/AG284</f>
        <v>-0.1519457804984696</v>
      </c>
      <c r="AJ291" s="50"/>
      <c r="AK291" s="10"/>
      <c r="AL291" s="23">
        <f t="shared" ref="AL291" si="1669">+AP291-AP290</f>
        <v>152790</v>
      </c>
      <c r="AM291" s="24"/>
      <c r="AN291" s="24"/>
      <c r="AO291" s="24">
        <v>178263</v>
      </c>
      <c r="AP291" s="24">
        <v>11410501</v>
      </c>
      <c r="AQ291" s="24"/>
      <c r="AR291" s="504">
        <f t="shared" ref="AR291" si="1670">+AL291/AP290</f>
        <v>1.3572030761848479E-2</v>
      </c>
      <c r="AS291" s="25"/>
      <c r="AT291" s="25"/>
      <c r="AU291" s="24"/>
      <c r="AV291" s="341">
        <f t="shared" ref="AV291" si="1671">+AP291/H291</f>
        <v>0.59866562713635807</v>
      </c>
      <c r="AW291" s="341"/>
      <c r="AX291" s="24">
        <f t="shared" ref="AX291" si="1672">+AP291/BW291</f>
        <v>40462.7695035461</v>
      </c>
      <c r="AY291" s="351"/>
      <c r="AZ291" s="10"/>
      <c r="BA291" s="66">
        <f t="shared" ref="BA291" si="1673">+BC291-BC290</f>
        <v>2275459</v>
      </c>
      <c r="BB291" s="67"/>
      <c r="BC291" s="67">
        <v>245441506</v>
      </c>
      <c r="BD291" s="67"/>
      <c r="BE291" s="67">
        <f t="shared" ref="BE291" si="1674">+D291</f>
        <v>160604</v>
      </c>
      <c r="BF291" s="67"/>
      <c r="BG291" s="156">
        <f t="shared" ref="BG291" si="1675">+BE291/BA291</f>
        <v>7.0580924551925564E-2</v>
      </c>
      <c r="BH291" s="67"/>
      <c r="BI291" s="183"/>
      <c r="BJ291" s="67"/>
      <c r="BK291" s="67">
        <f t="shared" ref="BK291" si="1676">SUM(BA285:BA291)</f>
        <v>12844553</v>
      </c>
      <c r="BL291" s="67"/>
      <c r="BM291" s="156">
        <f t="shared" ref="BM291" si="1677">+Q291/BK291</f>
        <v>9.9052493302024605E-2</v>
      </c>
      <c r="BN291" s="66">
        <f t="shared" ref="BN291" si="1678">+BC291/BW291</f>
        <v>870359.95035460987</v>
      </c>
      <c r="BO291" s="67"/>
      <c r="BP291" s="67">
        <f t="shared" ref="BP291" si="1679">+BP290+BE291</f>
        <v>18717243</v>
      </c>
      <c r="BQ291" s="67"/>
      <c r="BR291" s="478">
        <f t="shared" ref="BR291" si="1680">+BP291/BC291</f>
        <v>7.6259485630763693E-2</v>
      </c>
      <c r="BS291" s="67"/>
      <c r="BT291" s="86"/>
      <c r="BU291" s="183"/>
      <c r="BV291" s="1"/>
      <c r="BW291" s="61">
        <f t="shared" si="189"/>
        <v>282</v>
      </c>
    </row>
    <row r="292" spans="2:85" x14ac:dyDescent="0.3">
      <c r="B292" s="390">
        <f t="shared" si="163"/>
        <v>44192</v>
      </c>
      <c r="C292" s="61"/>
      <c r="D292" s="17">
        <v>127740</v>
      </c>
      <c r="E292" s="16"/>
      <c r="F292" s="16"/>
      <c r="G292" s="16"/>
      <c r="H292" s="16">
        <f t="shared" ref="H292" si="1681">+H291+D292</f>
        <v>19187630</v>
      </c>
      <c r="I292" s="16"/>
      <c r="J292" s="479">
        <f t="shared" ref="J292" si="1682">+D292/H291</f>
        <v>6.7020323831879407E-3</v>
      </c>
      <c r="K292" s="16"/>
      <c r="L292" s="16"/>
      <c r="M292" s="16"/>
      <c r="N292" s="16">
        <f t="shared" ref="N292" si="1683">SUM(D286:D292)</f>
        <v>1211745</v>
      </c>
      <c r="O292" s="16">
        <f t="shared" ref="O292" si="1684">+H292/BW292</f>
        <v>67800.812720848058</v>
      </c>
      <c r="P292" s="41"/>
      <c r="Q292" s="17">
        <f t="shared" ref="Q292" si="1685">SUM(D286:D292)</f>
        <v>1211745</v>
      </c>
      <c r="R292" s="16"/>
      <c r="S292" s="60">
        <f t="shared" ref="S292" si="1686">+(Q292-Q285)/Q285</f>
        <v>-0.20302060875204384</v>
      </c>
      <c r="T292" s="16"/>
      <c r="U292" s="41"/>
      <c r="V292" s="10">
        <f t="shared" si="109"/>
        <v>184</v>
      </c>
      <c r="W292" s="34">
        <v>1215</v>
      </c>
      <c r="X292" s="33"/>
      <c r="Y292" s="33"/>
      <c r="Z292" s="33"/>
      <c r="AA292" s="33">
        <f t="shared" ref="AA292" si="1687">+AA291+W292</f>
        <v>338900</v>
      </c>
      <c r="AB292" s="33"/>
      <c r="AC292" s="46">
        <f t="shared" ref="AC292" si="1688">+AA292/H292</f>
        <v>1.7662421049394843E-2</v>
      </c>
      <c r="AD292" s="33"/>
      <c r="AE292" s="33">
        <f t="shared" ref="AE292" si="1689">+AA292/BW292</f>
        <v>1197.5265017667843</v>
      </c>
      <c r="AF292" s="50"/>
      <c r="AG292" s="33">
        <f t="shared" ref="AG292" si="1690">SUM(W286:W292)</f>
        <v>15273</v>
      </c>
      <c r="AH292" s="33">
        <f t="shared" ref="AH292" si="1691">SUM(D263:D463)</f>
        <v>790445045.34662843</v>
      </c>
      <c r="AI292" s="231">
        <f t="shared" ref="AI292" si="1692">+(AG292-AG285)/AG285</f>
        <v>-0.16881632653061224</v>
      </c>
      <c r="AJ292" s="50"/>
      <c r="AK292" s="10"/>
      <c r="AL292" s="23">
        <f t="shared" ref="AL292" si="1693">+AP292-AP291</f>
        <v>85374</v>
      </c>
      <c r="AM292" s="24"/>
      <c r="AN292" s="24"/>
      <c r="AO292" s="24">
        <v>178263</v>
      </c>
      <c r="AP292" s="24">
        <v>11495875</v>
      </c>
      <c r="AQ292" s="24"/>
      <c r="AR292" s="504">
        <f t="shared" ref="AR292" si="1694">+AL292/AP291</f>
        <v>7.4820553453349686E-3</v>
      </c>
      <c r="AS292" s="25"/>
      <c r="AT292" s="25"/>
      <c r="AU292" s="24"/>
      <c r="AV292" s="341">
        <f t="shared" ref="AV292" si="1695">+AP292/H292</f>
        <v>0.59912949123992909</v>
      </c>
      <c r="AW292" s="341"/>
      <c r="AX292" s="24">
        <f t="shared" ref="AX292" si="1696">+AP292/BW292</f>
        <v>40621.466431095403</v>
      </c>
      <c r="AY292" s="351"/>
      <c r="AZ292" s="10"/>
      <c r="BA292" s="66">
        <f t="shared" ref="BA292" si="1697">+BC292-BC291</f>
        <v>1268467</v>
      </c>
      <c r="BB292" s="67"/>
      <c r="BC292" s="67">
        <v>246709973</v>
      </c>
      <c r="BD292" s="67"/>
      <c r="BE292" s="67">
        <f t="shared" ref="BE292" si="1698">+D292</f>
        <v>127740</v>
      </c>
      <c r="BF292" s="67"/>
      <c r="BG292" s="156">
        <f t="shared" ref="BG292" si="1699">+BE292/BA292</f>
        <v>0.10070423590050037</v>
      </c>
      <c r="BH292" s="67"/>
      <c r="BI292" s="183"/>
      <c r="BJ292" s="67"/>
      <c r="BK292" s="67">
        <f t="shared" ref="BK292" si="1700">SUM(BA286:BA292)</f>
        <v>12492778</v>
      </c>
      <c r="BL292" s="67"/>
      <c r="BM292" s="156">
        <f t="shared" ref="BM292" si="1701">+Q292/BK292</f>
        <v>9.6995640201082575E-2</v>
      </c>
      <c r="BN292" s="66">
        <f t="shared" ref="BN292" si="1702">+BC292/BW292</f>
        <v>871766.68904593645</v>
      </c>
      <c r="BO292" s="67"/>
      <c r="BP292" s="67">
        <f t="shared" ref="BP292" si="1703">+BP291+BE292</f>
        <v>18844983</v>
      </c>
      <c r="BQ292" s="67"/>
      <c r="BR292" s="478">
        <f t="shared" ref="BR292" si="1704">+BP292/BC292</f>
        <v>7.6385169074620257E-2</v>
      </c>
      <c r="BS292" s="67"/>
      <c r="BT292" s="86"/>
      <c r="BU292" s="183"/>
      <c r="BV292" s="1"/>
      <c r="BW292" s="61">
        <f t="shared" si="189"/>
        <v>283</v>
      </c>
    </row>
    <row r="293" spans="2:85" x14ac:dyDescent="0.3">
      <c r="B293" s="171">
        <f t="shared" si="163"/>
        <v>44193</v>
      </c>
      <c r="C293" s="61"/>
      <c r="D293" s="17"/>
      <c r="E293" s="16"/>
      <c r="F293" s="16"/>
      <c r="G293" s="16"/>
      <c r="H293" s="16"/>
      <c r="I293" s="16"/>
      <c r="J293" s="479"/>
      <c r="K293" s="16"/>
      <c r="L293" s="16"/>
      <c r="M293" s="16"/>
      <c r="N293" s="16"/>
      <c r="O293" s="16"/>
      <c r="P293" s="41"/>
      <c r="Q293" s="17"/>
      <c r="R293" s="16"/>
      <c r="S293" s="60"/>
      <c r="T293" s="16"/>
      <c r="U293" s="41"/>
      <c r="V293" s="10"/>
      <c r="W293" s="34"/>
      <c r="X293" s="33"/>
      <c r="Y293" s="33"/>
      <c r="Z293" s="33"/>
      <c r="AA293" s="33"/>
      <c r="AB293" s="33"/>
      <c r="AC293" s="46"/>
      <c r="AD293" s="33"/>
      <c r="AE293" s="33"/>
      <c r="AF293" s="50"/>
      <c r="AG293" s="33"/>
      <c r="AH293" s="33"/>
      <c r="AI293" s="231"/>
      <c r="AJ293" s="50"/>
      <c r="AK293" s="10"/>
      <c r="AL293" s="23"/>
      <c r="AM293" s="24"/>
      <c r="AN293" s="24"/>
      <c r="AO293" s="24"/>
      <c r="AP293" s="24"/>
      <c r="AQ293" s="24"/>
      <c r="AR293" s="504"/>
      <c r="AS293" s="25"/>
      <c r="AT293" s="25"/>
      <c r="AU293" s="24"/>
      <c r="AV293" s="341"/>
      <c r="AW293" s="341"/>
      <c r="AX293" s="24"/>
      <c r="AY293" s="351"/>
      <c r="AZ293" s="10"/>
      <c r="BA293" s="66"/>
      <c r="BB293" s="67"/>
      <c r="BC293" s="67"/>
      <c r="BD293" s="67"/>
      <c r="BE293" s="67"/>
      <c r="BF293" s="67"/>
      <c r="BG293" s="156"/>
      <c r="BH293" s="67"/>
      <c r="BI293" s="183"/>
      <c r="BJ293" s="67"/>
      <c r="BK293" s="67"/>
      <c r="BL293" s="67"/>
      <c r="BM293" s="156"/>
      <c r="BN293" s="66"/>
      <c r="BO293" s="67"/>
      <c r="BP293" s="67"/>
      <c r="BQ293" s="67"/>
      <c r="BR293" s="478"/>
      <c r="BS293" s="67"/>
      <c r="BT293" s="86"/>
      <c r="BU293" s="183"/>
      <c r="BV293" s="1"/>
      <c r="BW293" s="61"/>
    </row>
    <row r="294" spans="2:85" x14ac:dyDescent="0.3">
      <c r="B294" s="171">
        <f t="shared" si="163"/>
        <v>44194</v>
      </c>
      <c r="C294" s="61"/>
      <c r="D294" s="17"/>
      <c r="E294" s="16"/>
      <c r="F294" s="16"/>
      <c r="G294" s="16"/>
      <c r="H294" s="16"/>
      <c r="I294" s="16"/>
      <c r="J294" s="479"/>
      <c r="K294" s="16"/>
      <c r="L294" s="16"/>
      <c r="M294" s="16"/>
      <c r="N294" s="16"/>
      <c r="O294" s="16"/>
      <c r="P294" s="41"/>
      <c r="Q294" s="17"/>
      <c r="R294" s="16"/>
      <c r="S294" s="60"/>
      <c r="T294" s="16"/>
      <c r="U294" s="41"/>
      <c r="V294" s="10"/>
      <c r="W294" s="34"/>
      <c r="X294" s="33"/>
      <c r="Y294" s="33"/>
      <c r="Z294" s="33"/>
      <c r="AA294" s="33"/>
      <c r="AB294" s="33"/>
      <c r="AC294" s="46"/>
      <c r="AD294" s="33"/>
      <c r="AE294" s="33"/>
      <c r="AF294" s="50"/>
      <c r="AG294" s="33"/>
      <c r="AH294" s="33"/>
      <c r="AI294" s="231"/>
      <c r="AJ294" s="50"/>
      <c r="AK294" s="10"/>
      <c r="AL294" s="23"/>
      <c r="AM294" s="24"/>
      <c r="AN294" s="24"/>
      <c r="AO294" s="24"/>
      <c r="AP294" s="24"/>
      <c r="AQ294" s="24"/>
      <c r="AR294" s="504"/>
      <c r="AS294" s="25"/>
      <c r="AT294" s="25"/>
      <c r="AU294" s="24"/>
      <c r="AV294" s="341"/>
      <c r="AW294" s="341"/>
      <c r="AX294" s="24"/>
      <c r="AY294" s="351"/>
      <c r="AZ294" s="10"/>
      <c r="BA294" s="66"/>
      <c r="BB294" s="67"/>
      <c r="BC294" s="67"/>
      <c r="BD294" s="67"/>
      <c r="BE294" s="67"/>
      <c r="BF294" s="67"/>
      <c r="BG294" s="156"/>
      <c r="BH294" s="67"/>
      <c r="BI294" s="183"/>
      <c r="BJ294" s="67"/>
      <c r="BK294" s="67"/>
      <c r="BL294" s="67"/>
      <c r="BM294" s="156"/>
      <c r="BN294" s="66"/>
      <c r="BO294" s="67"/>
      <c r="BP294" s="67"/>
      <c r="BQ294" s="67"/>
      <c r="BR294" s="478"/>
      <c r="BS294" s="67"/>
      <c r="BT294" s="86"/>
      <c r="BU294" s="183"/>
      <c r="BV294" s="1"/>
      <c r="BW294" s="61"/>
    </row>
    <row r="295" spans="2:85" x14ac:dyDescent="0.3">
      <c r="B295" s="171">
        <f t="shared" si="163"/>
        <v>44195</v>
      </c>
      <c r="C295" s="61"/>
      <c r="D295" s="17"/>
      <c r="E295" s="16"/>
      <c r="F295" s="16"/>
      <c r="G295" s="16"/>
      <c r="H295" s="16"/>
      <c r="I295" s="16"/>
      <c r="J295" s="479"/>
      <c r="K295" s="16"/>
      <c r="L295" s="16"/>
      <c r="M295" s="16"/>
      <c r="N295" s="16"/>
      <c r="O295" s="16"/>
      <c r="P295" s="41"/>
      <c r="Q295" s="17"/>
      <c r="R295" s="16"/>
      <c r="S295" s="60"/>
      <c r="T295" s="16"/>
      <c r="U295" s="41"/>
      <c r="V295" s="10"/>
      <c r="W295" s="34"/>
      <c r="X295" s="33"/>
      <c r="Y295" s="33"/>
      <c r="Z295" s="33"/>
      <c r="AA295" s="33"/>
      <c r="AB295" s="33"/>
      <c r="AC295" s="46"/>
      <c r="AD295" s="33"/>
      <c r="AE295" s="33"/>
      <c r="AF295" s="50"/>
      <c r="AG295" s="33"/>
      <c r="AH295" s="33"/>
      <c r="AI295" s="231"/>
      <c r="AJ295" s="50"/>
      <c r="AK295" s="10"/>
      <c r="AL295" s="23"/>
      <c r="AM295" s="24"/>
      <c r="AN295" s="24"/>
      <c r="AO295" s="24"/>
      <c r="AP295" s="24"/>
      <c r="AQ295" s="24"/>
      <c r="AR295" s="504"/>
      <c r="AS295" s="25"/>
      <c r="AT295" s="25"/>
      <c r="AU295" s="24"/>
      <c r="AV295" s="341"/>
      <c r="AW295" s="341"/>
      <c r="AX295" s="24"/>
      <c r="AY295" s="351"/>
      <c r="AZ295" s="10"/>
      <c r="BA295" s="66"/>
      <c r="BB295" s="67"/>
      <c r="BC295" s="67"/>
      <c r="BD295" s="67"/>
      <c r="BE295" s="67"/>
      <c r="BF295" s="67"/>
      <c r="BG295" s="156"/>
      <c r="BH295" s="67"/>
      <c r="BI295" s="183"/>
      <c r="BJ295" s="67"/>
      <c r="BK295" s="67"/>
      <c r="BL295" s="67"/>
      <c r="BM295" s="156"/>
      <c r="BN295" s="66"/>
      <c r="BO295" s="67"/>
      <c r="BP295" s="67"/>
      <c r="BQ295" s="67"/>
      <c r="BR295" s="478"/>
      <c r="BS295" s="67"/>
      <c r="BT295" s="86"/>
      <c r="BU295" s="183"/>
      <c r="BV295" s="1"/>
      <c r="BW295" s="61"/>
    </row>
    <row r="296" spans="2:85" x14ac:dyDescent="0.3">
      <c r="B296" s="171">
        <f t="shared" si="163"/>
        <v>44196</v>
      </c>
      <c r="C296" s="61"/>
      <c r="D296" s="17"/>
      <c r="E296" s="16"/>
      <c r="F296" s="16"/>
      <c r="G296" s="16"/>
      <c r="H296" s="16"/>
      <c r="I296" s="16"/>
      <c r="J296" s="479"/>
      <c r="K296" s="16"/>
      <c r="L296" s="16"/>
      <c r="M296" s="16"/>
      <c r="N296" s="16"/>
      <c r="O296" s="16"/>
      <c r="P296" s="41"/>
      <c r="Q296" s="17"/>
      <c r="R296" s="16"/>
      <c r="S296" s="60"/>
      <c r="T296" s="16"/>
      <c r="U296" s="41"/>
      <c r="V296" s="10"/>
      <c r="W296" s="34"/>
      <c r="X296" s="33"/>
      <c r="Y296" s="33"/>
      <c r="Z296" s="33"/>
      <c r="AA296" s="33"/>
      <c r="AB296" s="33"/>
      <c r="AC296" s="46"/>
      <c r="AD296" s="33"/>
      <c r="AE296" s="33"/>
      <c r="AF296" s="50"/>
      <c r="AG296" s="33"/>
      <c r="AH296" s="33"/>
      <c r="AI296" s="231"/>
      <c r="AJ296" s="50"/>
      <c r="AK296" s="10"/>
      <c r="AL296" s="23"/>
      <c r="AM296" s="24"/>
      <c r="AN296" s="24"/>
      <c r="AO296" s="24"/>
      <c r="AP296" s="24"/>
      <c r="AQ296" s="24"/>
      <c r="AR296" s="504"/>
      <c r="AS296" s="25"/>
      <c r="AT296" s="25"/>
      <c r="AU296" s="24"/>
      <c r="AV296" s="341"/>
      <c r="AW296" s="341"/>
      <c r="AX296" s="24"/>
      <c r="AY296" s="351"/>
      <c r="AZ296" s="10"/>
      <c r="BA296" s="66"/>
      <c r="BB296" s="67"/>
      <c r="BC296" s="67"/>
      <c r="BD296" s="67"/>
      <c r="BE296" s="67"/>
      <c r="BF296" s="67"/>
      <c r="BG296" s="156"/>
      <c r="BH296" s="67"/>
      <c r="BI296" s="183"/>
      <c r="BJ296" s="67"/>
      <c r="BK296" s="67"/>
      <c r="BL296" s="67"/>
      <c r="BM296" s="156"/>
      <c r="BN296" s="66"/>
      <c r="BO296" s="67"/>
      <c r="BP296" s="67"/>
      <c r="BQ296" s="67"/>
      <c r="BR296" s="478"/>
      <c r="BS296" s="67"/>
      <c r="BT296" s="86"/>
      <c r="BU296" s="183"/>
      <c r="BV296" s="1"/>
      <c r="BW296" s="61"/>
    </row>
    <row r="297" spans="2:85" x14ac:dyDescent="0.3">
      <c r="B297" s="171">
        <f t="shared" si="163"/>
        <v>44197</v>
      </c>
      <c r="C297" s="61"/>
      <c r="D297" s="17"/>
      <c r="E297" s="16"/>
      <c r="F297" s="16"/>
      <c r="G297" s="16"/>
      <c r="H297" s="16"/>
      <c r="I297" s="16"/>
      <c r="J297" s="479"/>
      <c r="K297" s="16"/>
      <c r="L297" s="16"/>
      <c r="M297" s="16"/>
      <c r="N297" s="16"/>
      <c r="O297" s="16"/>
      <c r="P297" s="41"/>
      <c r="Q297" s="453"/>
      <c r="R297" s="16"/>
      <c r="S297" s="60"/>
      <c r="T297" s="16"/>
      <c r="U297" s="41"/>
      <c r="V297" s="10"/>
      <c r="W297" s="34"/>
      <c r="X297" s="33"/>
      <c r="Y297" s="33"/>
      <c r="Z297" s="33"/>
      <c r="AA297" s="33"/>
      <c r="AB297" s="33"/>
      <c r="AC297" s="46"/>
      <c r="AD297" s="33"/>
      <c r="AE297" s="33"/>
      <c r="AF297" s="50"/>
      <c r="AG297" s="33"/>
      <c r="AH297" s="33"/>
      <c r="AI297" s="231"/>
      <c r="AJ297" s="50"/>
      <c r="AK297" s="10"/>
      <c r="AL297" s="23"/>
      <c r="AM297" s="24"/>
      <c r="AN297" s="24"/>
      <c r="AO297" s="24"/>
      <c r="AP297" s="24"/>
      <c r="AQ297" s="24"/>
      <c r="AR297" s="504"/>
      <c r="AS297" s="25"/>
      <c r="AT297" s="25"/>
      <c r="AU297" s="24"/>
      <c r="AV297" s="341"/>
      <c r="AW297" s="341"/>
      <c r="AX297" s="24"/>
      <c r="AY297" s="351"/>
      <c r="AZ297" s="10"/>
      <c r="BA297" s="66"/>
      <c r="BB297" s="67"/>
      <c r="BC297" s="67"/>
      <c r="BD297" s="67"/>
      <c r="BE297" s="67"/>
      <c r="BF297" s="67"/>
      <c r="BG297" s="156"/>
      <c r="BH297" s="67"/>
      <c r="BI297" s="183"/>
      <c r="BJ297" s="67"/>
      <c r="BK297" s="67"/>
      <c r="BL297" s="67"/>
      <c r="BM297" s="156"/>
      <c r="BN297" s="66"/>
      <c r="BO297" s="67"/>
      <c r="BP297" s="67"/>
      <c r="BQ297" s="67"/>
      <c r="BR297" s="478"/>
      <c r="BS297" s="67"/>
      <c r="BT297" s="86"/>
      <c r="BU297" s="183"/>
      <c r="BV297" s="1"/>
      <c r="BW297" s="61">
        <f>+BW291+1</f>
        <v>283</v>
      </c>
    </row>
    <row r="298" spans="2:85" x14ac:dyDescent="0.3">
      <c r="B298" s="171">
        <f t="shared" si="163"/>
        <v>44198</v>
      </c>
      <c r="D298" s="18"/>
      <c r="E298" s="19"/>
      <c r="F298" s="19"/>
      <c r="G298" s="19"/>
      <c r="H298" s="19"/>
      <c r="I298" s="19"/>
      <c r="J298" s="39"/>
      <c r="K298" s="19"/>
      <c r="L298" s="19"/>
      <c r="M298" s="19"/>
      <c r="N298" s="19"/>
      <c r="O298" s="19"/>
      <c r="P298" s="43"/>
      <c r="Q298" s="18"/>
      <c r="R298" s="19"/>
      <c r="S298" s="19"/>
      <c r="T298" s="19"/>
      <c r="U298" s="43"/>
      <c r="V298" s="1"/>
      <c r="W298" s="35"/>
      <c r="X298" s="36"/>
      <c r="Y298" s="36"/>
      <c r="Z298" s="36"/>
      <c r="AA298" s="36"/>
      <c r="AB298" s="36"/>
      <c r="AC298" s="47"/>
      <c r="AD298" s="36"/>
      <c r="AE298" s="36"/>
      <c r="AF298" s="51"/>
      <c r="AG298" s="36"/>
      <c r="AH298" s="36"/>
      <c r="AI298" s="36"/>
      <c r="AJ298" s="51"/>
      <c r="AK298" s="1"/>
      <c r="AL298" s="26"/>
      <c r="AM298" s="27"/>
      <c r="AN298" s="27"/>
      <c r="AO298" s="27"/>
      <c r="AP298" s="27"/>
      <c r="AQ298" s="27"/>
      <c r="AR298" s="27"/>
      <c r="AS298" s="27"/>
      <c r="AT298" s="27"/>
      <c r="AU298" s="27"/>
      <c r="AV298" s="343"/>
      <c r="AW298" s="343"/>
      <c r="AX298" s="27"/>
      <c r="AY298" s="350"/>
      <c r="AZ298" s="1"/>
      <c r="BA298" s="68"/>
      <c r="BB298" s="69"/>
      <c r="BC298" s="69"/>
      <c r="BD298" s="69"/>
      <c r="BE298" s="69"/>
      <c r="BF298" s="69"/>
      <c r="BG298" s="69"/>
      <c r="BH298" s="69"/>
      <c r="BI298" s="184"/>
      <c r="BJ298" s="69"/>
      <c r="BK298" s="69"/>
      <c r="BL298" s="69"/>
      <c r="BM298" s="69"/>
      <c r="BN298" s="68"/>
      <c r="BO298" s="69"/>
      <c r="BP298" s="69"/>
      <c r="BQ298" s="69"/>
      <c r="BR298" s="71"/>
      <c r="BS298" s="69"/>
      <c r="BT298" s="69"/>
      <c r="BU298" s="184"/>
      <c r="BV298" s="1"/>
      <c r="BW298" s="61">
        <f t="shared" si="189"/>
        <v>284</v>
      </c>
    </row>
    <row r="299" spans="2:85" x14ac:dyDescent="0.3">
      <c r="B299" s="56"/>
      <c r="D299" s="1"/>
      <c r="E299" s="1"/>
      <c r="F299" s="1"/>
      <c r="G299" s="1"/>
      <c r="H299" s="59"/>
      <c r="I299" s="1"/>
      <c r="J299" s="5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59"/>
      <c r="X299" s="1"/>
      <c r="Y299" s="1"/>
      <c r="Z299" s="1"/>
      <c r="AA299" s="1"/>
      <c r="AB299" s="1"/>
      <c r="AC299" s="59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59"/>
      <c r="BD299" s="1"/>
      <c r="BE299" s="59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</row>
    <row r="300" spans="2:85" x14ac:dyDescent="0.3">
      <c r="B300" s="179" t="s">
        <v>82</v>
      </c>
      <c r="D300" s="56">
        <f>+D292</f>
        <v>127740</v>
      </c>
      <c r="E300" s="56">
        <f t="shared" ref="E300:G300" si="1705">+E238</f>
        <v>0</v>
      </c>
      <c r="F300" s="56">
        <f t="shared" si="1705"/>
        <v>0</v>
      </c>
      <c r="G300" s="56">
        <f t="shared" si="1705"/>
        <v>0</v>
      </c>
      <c r="H300" s="56">
        <f t="shared" ref="H300:BS300" si="1706">+H292</f>
        <v>19187630</v>
      </c>
      <c r="I300" s="56">
        <f t="shared" si="1706"/>
        <v>0</v>
      </c>
      <c r="J300" s="56">
        <f t="shared" si="1706"/>
        <v>6.7020323831879407E-3</v>
      </c>
      <c r="K300" s="56">
        <f t="shared" si="1706"/>
        <v>0</v>
      </c>
      <c r="L300" s="56">
        <f t="shared" si="1706"/>
        <v>0</v>
      </c>
      <c r="M300" s="56">
        <f t="shared" si="1706"/>
        <v>0</v>
      </c>
      <c r="N300" s="56">
        <f t="shared" si="1706"/>
        <v>1211745</v>
      </c>
      <c r="O300" s="56">
        <f t="shared" si="1706"/>
        <v>67800.812720848058</v>
      </c>
      <c r="P300" s="56">
        <f t="shared" si="1706"/>
        <v>0</v>
      </c>
      <c r="Q300" s="56">
        <f t="shared" si="1706"/>
        <v>1211745</v>
      </c>
      <c r="R300" s="56">
        <f t="shared" si="1706"/>
        <v>0</v>
      </c>
      <c r="S300" s="56">
        <f t="shared" si="1706"/>
        <v>-0.20302060875204384</v>
      </c>
      <c r="T300" s="56">
        <f t="shared" si="1706"/>
        <v>0</v>
      </c>
      <c r="U300" s="56">
        <f t="shared" si="1706"/>
        <v>0</v>
      </c>
      <c r="V300" s="56">
        <f t="shared" si="1706"/>
        <v>184</v>
      </c>
      <c r="W300" s="56">
        <f t="shared" si="1706"/>
        <v>1215</v>
      </c>
      <c r="X300" s="56">
        <f t="shared" si="1706"/>
        <v>0</v>
      </c>
      <c r="Y300" s="56">
        <f t="shared" si="1706"/>
        <v>0</v>
      </c>
      <c r="Z300" s="56">
        <f t="shared" si="1706"/>
        <v>0</v>
      </c>
      <c r="AA300" s="56">
        <f t="shared" si="1706"/>
        <v>338900</v>
      </c>
      <c r="AB300" s="56">
        <f t="shared" si="1706"/>
        <v>0</v>
      </c>
      <c r="AC300" s="56">
        <f t="shared" si="1706"/>
        <v>1.7662421049394843E-2</v>
      </c>
      <c r="AD300" s="56">
        <f t="shared" si="1706"/>
        <v>0</v>
      </c>
      <c r="AE300" s="56">
        <f t="shared" si="1706"/>
        <v>1197.5265017667843</v>
      </c>
      <c r="AF300" s="56">
        <f t="shared" si="1706"/>
        <v>0</v>
      </c>
      <c r="AG300" s="56">
        <f t="shared" si="1706"/>
        <v>15273</v>
      </c>
      <c r="AH300" s="56">
        <f t="shared" si="1706"/>
        <v>790445045.34662843</v>
      </c>
      <c r="AI300" s="56">
        <f t="shared" si="1706"/>
        <v>-0.16881632653061224</v>
      </c>
      <c r="AJ300" s="56">
        <f t="shared" si="1706"/>
        <v>0</v>
      </c>
      <c r="AK300" s="56">
        <f t="shared" si="1706"/>
        <v>0</v>
      </c>
      <c r="AL300" s="56">
        <f t="shared" si="1706"/>
        <v>85374</v>
      </c>
      <c r="AM300" s="56">
        <f t="shared" si="1706"/>
        <v>0</v>
      </c>
      <c r="AN300" s="56">
        <f t="shared" si="1706"/>
        <v>0</v>
      </c>
      <c r="AO300" s="56">
        <f t="shared" si="1706"/>
        <v>178263</v>
      </c>
      <c r="AP300" s="56">
        <f t="shared" si="1706"/>
        <v>11495875</v>
      </c>
      <c r="AQ300" s="56">
        <f t="shared" si="1706"/>
        <v>0</v>
      </c>
      <c r="AR300" s="56">
        <f t="shared" si="1706"/>
        <v>7.4820553453349686E-3</v>
      </c>
      <c r="AS300" s="56">
        <f t="shared" si="1706"/>
        <v>0</v>
      </c>
      <c r="AT300" s="56">
        <f t="shared" si="1706"/>
        <v>0</v>
      </c>
      <c r="AU300" s="56">
        <f t="shared" si="1706"/>
        <v>0</v>
      </c>
      <c r="AV300" s="56">
        <f t="shared" si="1706"/>
        <v>0.59912949123992909</v>
      </c>
      <c r="AW300" s="56">
        <f t="shared" si="1706"/>
        <v>0</v>
      </c>
      <c r="AX300" s="56">
        <f t="shared" si="1706"/>
        <v>40621.466431095403</v>
      </c>
      <c r="AY300" s="56">
        <f t="shared" si="1706"/>
        <v>0</v>
      </c>
      <c r="AZ300" s="56">
        <f t="shared" si="1706"/>
        <v>0</v>
      </c>
      <c r="BA300" s="56">
        <f t="shared" si="1706"/>
        <v>1268467</v>
      </c>
      <c r="BB300" s="56">
        <f t="shared" si="1706"/>
        <v>0</v>
      </c>
      <c r="BC300" s="56">
        <f t="shared" si="1706"/>
        <v>246709973</v>
      </c>
      <c r="BD300" s="56">
        <f t="shared" si="1706"/>
        <v>0</v>
      </c>
      <c r="BE300" s="56">
        <f t="shared" si="1706"/>
        <v>127740</v>
      </c>
      <c r="BF300" s="56">
        <f t="shared" si="1706"/>
        <v>0</v>
      </c>
      <c r="BG300" s="56">
        <f t="shared" si="1706"/>
        <v>0.10070423590050037</v>
      </c>
      <c r="BH300" s="56">
        <f t="shared" si="1706"/>
        <v>0</v>
      </c>
      <c r="BI300" s="56">
        <f t="shared" si="1706"/>
        <v>0</v>
      </c>
      <c r="BJ300" s="56">
        <f t="shared" si="1706"/>
        <v>0</v>
      </c>
      <c r="BK300" s="56">
        <f t="shared" si="1706"/>
        <v>12492778</v>
      </c>
      <c r="BL300" s="56">
        <f t="shared" si="1706"/>
        <v>0</v>
      </c>
      <c r="BM300" s="56">
        <f t="shared" si="1706"/>
        <v>9.6995640201082575E-2</v>
      </c>
      <c r="BN300" s="56">
        <f t="shared" si="1706"/>
        <v>871766.68904593645</v>
      </c>
      <c r="BO300" s="56">
        <f t="shared" si="1706"/>
        <v>0</v>
      </c>
      <c r="BP300" s="56">
        <f t="shared" si="1706"/>
        <v>18844983</v>
      </c>
      <c r="BQ300" s="56">
        <f t="shared" si="1706"/>
        <v>0</v>
      </c>
      <c r="BR300" s="56">
        <f t="shared" si="1706"/>
        <v>7.6385169074620257E-2</v>
      </c>
      <c r="BS300" s="56">
        <f t="shared" si="1706"/>
        <v>0</v>
      </c>
      <c r="BT300" s="56">
        <f t="shared" ref="BT300" si="1707">+BT292</f>
        <v>0</v>
      </c>
      <c r="BU300" s="56">
        <f t="shared" ref="BU300:BV300" si="1708">+BU289</f>
        <v>0</v>
      </c>
      <c r="BV300" s="56">
        <f t="shared" si="1708"/>
        <v>0</v>
      </c>
      <c r="BW300" s="160"/>
      <c r="BX300" s="10"/>
      <c r="BY300" s="62"/>
      <c r="BZ300" s="10"/>
      <c r="CA300" s="160"/>
      <c r="CB300" s="61"/>
      <c r="CC300" s="61"/>
      <c r="CD300" s="61"/>
      <c r="CE300" s="61"/>
      <c r="CF300" s="61"/>
      <c r="CG300" s="157"/>
    </row>
    <row r="301" spans="2:85" x14ac:dyDescent="0.3">
      <c r="B301" t="s">
        <v>118</v>
      </c>
      <c r="D301" s="56">
        <f>+D291-D300</f>
        <v>32864</v>
      </c>
      <c r="E301" s="56">
        <f t="shared" ref="E301:G301" si="1709">+E237-E300</f>
        <v>0</v>
      </c>
      <c r="F301" s="56">
        <f t="shared" si="1709"/>
        <v>0</v>
      </c>
      <c r="G301" s="56">
        <f t="shared" si="1709"/>
        <v>0</v>
      </c>
      <c r="H301" s="56">
        <f t="shared" ref="H301:BS301" si="1710">+H291-H300</f>
        <v>-127740</v>
      </c>
      <c r="I301" s="56">
        <f t="shared" si="1710"/>
        <v>0</v>
      </c>
      <c r="J301" s="56">
        <f t="shared" si="1710"/>
        <v>1.795854785671242E-3</v>
      </c>
      <c r="K301" s="56">
        <f t="shared" si="1710"/>
        <v>0</v>
      </c>
      <c r="L301" s="56">
        <f t="shared" si="1710"/>
        <v>0</v>
      </c>
      <c r="M301" s="56">
        <f t="shared" si="1710"/>
        <v>0</v>
      </c>
      <c r="N301" s="56">
        <f t="shared" si="1710"/>
        <v>60540</v>
      </c>
      <c r="O301" s="56">
        <f t="shared" si="1710"/>
        <v>-212.55030950054061</v>
      </c>
      <c r="P301" s="56">
        <f t="shared" si="1710"/>
        <v>0</v>
      </c>
      <c r="Q301" s="56">
        <f t="shared" si="1710"/>
        <v>60540</v>
      </c>
      <c r="R301" s="56">
        <f t="shared" si="1710"/>
        <v>0</v>
      </c>
      <c r="S301" s="56">
        <f t="shared" si="1710"/>
        <v>4.0026535558061821E-2</v>
      </c>
      <c r="T301" s="56">
        <f t="shared" si="1710"/>
        <v>0</v>
      </c>
      <c r="U301" s="56">
        <f t="shared" si="1710"/>
        <v>0</v>
      </c>
      <c r="V301" s="56">
        <f t="shared" si="1710"/>
        <v>-1</v>
      </c>
      <c r="W301" s="56">
        <f t="shared" si="1710"/>
        <v>193</v>
      </c>
      <c r="X301" s="56">
        <f t="shared" si="1710"/>
        <v>0</v>
      </c>
      <c r="Y301" s="56">
        <f t="shared" si="1710"/>
        <v>0</v>
      </c>
      <c r="Z301" s="56">
        <f t="shared" si="1710"/>
        <v>0</v>
      </c>
      <c r="AA301" s="56">
        <f t="shared" si="1710"/>
        <v>-1215</v>
      </c>
      <c r="AB301" s="56">
        <f t="shared" si="1710"/>
        <v>0</v>
      </c>
      <c r="AC301" s="56">
        <f t="shared" si="1710"/>
        <v>5.4627684884313993E-5</v>
      </c>
      <c r="AD301" s="56">
        <f t="shared" si="1710"/>
        <v>0</v>
      </c>
      <c r="AE301" s="56">
        <f t="shared" si="1710"/>
        <v>-6.1962759692050895E-2</v>
      </c>
      <c r="AF301" s="56">
        <f t="shared" si="1710"/>
        <v>0</v>
      </c>
      <c r="AG301" s="56">
        <f t="shared" si="1710"/>
        <v>243</v>
      </c>
      <c r="AH301" s="56">
        <f t="shared" si="1710"/>
        <v>164012</v>
      </c>
      <c r="AI301" s="56">
        <f t="shared" si="1710"/>
        <v>1.6870546032142636E-2</v>
      </c>
      <c r="AJ301" s="56">
        <f t="shared" si="1710"/>
        <v>0</v>
      </c>
      <c r="AK301" s="56">
        <f t="shared" si="1710"/>
        <v>0</v>
      </c>
      <c r="AL301" s="56">
        <f t="shared" si="1710"/>
        <v>67416</v>
      </c>
      <c r="AM301" s="56">
        <f t="shared" si="1710"/>
        <v>0</v>
      </c>
      <c r="AN301" s="56">
        <f t="shared" si="1710"/>
        <v>0</v>
      </c>
      <c r="AO301" s="56">
        <f t="shared" si="1710"/>
        <v>0</v>
      </c>
      <c r="AP301" s="56">
        <f t="shared" si="1710"/>
        <v>-85374</v>
      </c>
      <c r="AQ301" s="56">
        <f t="shared" si="1710"/>
        <v>0</v>
      </c>
      <c r="AR301" s="56">
        <f t="shared" si="1710"/>
        <v>6.0899754165135104E-3</v>
      </c>
      <c r="AS301" s="56">
        <f t="shared" si="1710"/>
        <v>0</v>
      </c>
      <c r="AT301" s="56">
        <f t="shared" si="1710"/>
        <v>0</v>
      </c>
      <c r="AU301" s="56">
        <f t="shared" si="1710"/>
        <v>0</v>
      </c>
      <c r="AV301" s="56">
        <f t="shared" si="1710"/>
        <v>-4.6386410357102115E-4</v>
      </c>
      <c r="AW301" s="56">
        <f t="shared" si="1710"/>
        <v>0</v>
      </c>
      <c r="AX301" s="56">
        <f t="shared" si="1710"/>
        <v>-158.69692754930293</v>
      </c>
      <c r="AY301" s="56">
        <f t="shared" si="1710"/>
        <v>0</v>
      </c>
      <c r="AZ301" s="56">
        <f t="shared" si="1710"/>
        <v>0</v>
      </c>
      <c r="BA301" s="56">
        <f t="shared" si="1710"/>
        <v>1006992</v>
      </c>
      <c r="BB301" s="56">
        <f t="shared" si="1710"/>
        <v>0</v>
      </c>
      <c r="BC301" s="56">
        <f t="shared" si="1710"/>
        <v>-1268467</v>
      </c>
      <c r="BD301" s="56">
        <f t="shared" si="1710"/>
        <v>0</v>
      </c>
      <c r="BE301" s="56">
        <f t="shared" si="1710"/>
        <v>32864</v>
      </c>
      <c r="BF301" s="56">
        <f t="shared" si="1710"/>
        <v>0</v>
      </c>
      <c r="BG301" s="56">
        <f t="shared" si="1710"/>
        <v>-3.0123311348574808E-2</v>
      </c>
      <c r="BH301" s="56">
        <f t="shared" si="1710"/>
        <v>0</v>
      </c>
      <c r="BI301" s="56">
        <f t="shared" si="1710"/>
        <v>0</v>
      </c>
      <c r="BJ301" s="56">
        <f t="shared" si="1710"/>
        <v>0</v>
      </c>
      <c r="BK301" s="56">
        <f t="shared" si="1710"/>
        <v>351775</v>
      </c>
      <c r="BL301" s="56">
        <f t="shared" si="1710"/>
        <v>0</v>
      </c>
      <c r="BM301" s="56">
        <f t="shared" si="1710"/>
        <v>2.0568531009420299E-3</v>
      </c>
      <c r="BN301" s="56">
        <f t="shared" si="1710"/>
        <v>-1406.73869132658</v>
      </c>
      <c r="BO301" s="56">
        <f t="shared" si="1710"/>
        <v>0</v>
      </c>
      <c r="BP301" s="56">
        <f t="shared" si="1710"/>
        <v>-127740</v>
      </c>
      <c r="BQ301" s="56">
        <f t="shared" si="1710"/>
        <v>0</v>
      </c>
      <c r="BR301" s="56">
        <f t="shared" si="1710"/>
        <v>-1.2568344385656405E-4</v>
      </c>
      <c r="BS301" s="56">
        <f t="shared" si="1710"/>
        <v>0</v>
      </c>
      <c r="BT301" s="56">
        <f t="shared" ref="BT301" si="1711">+BT291-BT300</f>
        <v>0</v>
      </c>
      <c r="BU301" s="56">
        <f t="shared" ref="BU301:BV301" si="1712">+BU288-BU300</f>
        <v>0</v>
      </c>
      <c r="BV301" s="56">
        <f t="shared" si="1712"/>
        <v>0</v>
      </c>
      <c r="BW301" s="62"/>
      <c r="BX301" s="10"/>
      <c r="BY301" s="10"/>
      <c r="BZ301" s="10"/>
      <c r="CA301" s="62"/>
      <c r="CB301" s="61"/>
      <c r="CC301" s="61"/>
      <c r="CD301" s="61"/>
      <c r="CE301" s="61"/>
      <c r="CF301" s="61"/>
      <c r="CG301" s="117"/>
    </row>
    <row r="302" spans="2:85" x14ac:dyDescent="0.3">
      <c r="B302" s="56"/>
      <c r="D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10"/>
      <c r="BT302" s="10"/>
      <c r="BU302" s="10"/>
      <c r="BV302" s="10"/>
      <c r="BW302" s="10"/>
      <c r="BX302" s="10"/>
      <c r="BY302" s="10"/>
      <c r="BZ302" s="10"/>
      <c r="CA302" s="10"/>
      <c r="CB302" s="61"/>
      <c r="CC302" s="117"/>
      <c r="CD302" s="117"/>
      <c r="CE302" s="117"/>
      <c r="CF302" s="117"/>
    </row>
    <row r="303" spans="2:85" x14ac:dyDescent="0.3">
      <c r="B303" s="56"/>
      <c r="D303" s="56"/>
      <c r="H303" s="1"/>
      <c r="O303" s="1"/>
      <c r="W303" s="56">
        <f>SUM(W213:W243)</f>
        <v>25465</v>
      </c>
      <c r="AA303" s="59">
        <f>+AA304/W304</f>
        <v>0.16106608684193188</v>
      </c>
      <c r="BA303" s="59"/>
      <c r="BC303" s="56"/>
      <c r="BE303" s="59"/>
      <c r="BJ303" s="61"/>
      <c r="BK303" s="10">
        <f>+BK187</f>
        <v>4928581</v>
      </c>
      <c r="BL303" s="61"/>
      <c r="BM303" s="61"/>
      <c r="BN303" s="61"/>
      <c r="BO303" s="61"/>
      <c r="BP303" s="61"/>
      <c r="BQ303" s="61"/>
      <c r="BR303" s="61"/>
      <c r="BS303" s="10"/>
      <c r="BT303" s="10"/>
    </row>
    <row r="304" spans="2:85" x14ac:dyDescent="0.3">
      <c r="B304" s="56"/>
      <c r="D304" s="56"/>
      <c r="H304" s="56"/>
      <c r="W304" s="56">
        <f>SUM(W144:W174)</f>
        <v>30354</v>
      </c>
      <c r="AA304" s="1">
        <f>+W304-W303</f>
        <v>4889</v>
      </c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56"/>
      <c r="AU304" t="s">
        <v>174</v>
      </c>
      <c r="BC304" s="1"/>
      <c r="BE304" s="59"/>
      <c r="BH304" s="108"/>
      <c r="BI304" s="108"/>
      <c r="BJ304" s="108"/>
      <c r="BK304" s="536"/>
      <c r="BL304" s="108"/>
      <c r="BM304" s="108"/>
      <c r="BN304" s="108"/>
      <c r="BO304" s="108"/>
      <c r="BP304" s="108"/>
      <c r="BQ304" s="108"/>
      <c r="BR304" s="90"/>
      <c r="BS304" s="1"/>
      <c r="BT304" s="1"/>
    </row>
    <row r="305" spans="2:72" x14ac:dyDescent="0.3">
      <c r="D305" s="1"/>
      <c r="E305" s="123" t="s">
        <v>28</v>
      </c>
      <c r="F305" s="124"/>
      <c r="H305" s="124" t="s">
        <v>67</v>
      </c>
      <c r="I305" s="116"/>
      <c r="J305" s="116"/>
      <c r="K305" s="61"/>
      <c r="L305" s="10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BC305" s="56"/>
      <c r="BE305" s="59"/>
      <c r="BH305" s="108"/>
      <c r="BI305" s="108"/>
      <c r="BJ305" s="108"/>
      <c r="BK305" s="536">
        <f>+BK194-BK300</f>
        <v>-6729669</v>
      </c>
      <c r="BL305" s="108"/>
      <c r="BM305" s="108"/>
      <c r="BN305" s="108"/>
      <c r="BO305" s="108"/>
      <c r="BP305" s="108"/>
      <c r="BQ305" s="108"/>
      <c r="BR305" s="90"/>
      <c r="BS305" s="1"/>
      <c r="BT305" s="1"/>
    </row>
    <row r="306" spans="2:72" x14ac:dyDescent="0.3">
      <c r="B306" s="56"/>
      <c r="D306" s="1"/>
      <c r="E306" s="123" t="s">
        <v>40</v>
      </c>
      <c r="F306" s="124"/>
      <c r="H306" s="124" t="s">
        <v>42</v>
      </c>
      <c r="I306" s="10"/>
      <c r="J306" s="10"/>
      <c r="K306" s="61"/>
      <c r="L306" s="10"/>
      <c r="AD306" s="1"/>
      <c r="AE306" s="1"/>
      <c r="AF306" s="1"/>
      <c r="AG306" s="1"/>
      <c r="AH306" s="1"/>
      <c r="AI306" s="1">
        <f>SUM(W213:W243)</f>
        <v>25465</v>
      </c>
      <c r="AJ306" s="1"/>
      <c r="AK306" s="1"/>
      <c r="AL306" s="1" t="s">
        <v>17</v>
      </c>
      <c r="AM306" s="1"/>
      <c r="AN306" s="1"/>
      <c r="AO306" s="1"/>
      <c r="BC306" s="56"/>
      <c r="BE306" s="59"/>
      <c r="BH306" s="109"/>
      <c r="BI306" s="109"/>
      <c r="BJ306" s="109"/>
      <c r="BK306" s="536">
        <f>+BK187-BK300</f>
        <v>-7564197</v>
      </c>
      <c r="BL306" s="109"/>
      <c r="BM306" s="109"/>
      <c r="BN306" s="109"/>
      <c r="BO306" s="109"/>
      <c r="BP306" s="109"/>
      <c r="BQ306" s="109"/>
      <c r="BR306" s="90"/>
      <c r="BS306" s="1"/>
      <c r="BT306" s="1"/>
    </row>
    <row r="307" spans="2:72" x14ac:dyDescent="0.3">
      <c r="B307" s="273"/>
      <c r="D307" s="1"/>
      <c r="E307" s="123" t="s">
        <v>47</v>
      </c>
      <c r="F307" s="124"/>
      <c r="H307" s="124" t="s">
        <v>57</v>
      </c>
      <c r="I307" s="10"/>
      <c r="J307" s="10"/>
      <c r="K307" s="61"/>
      <c r="L307" s="10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BC307" s="56"/>
      <c r="BE307" s="59"/>
      <c r="BH307" s="109"/>
      <c r="BI307" s="109"/>
      <c r="BJ307" s="109"/>
      <c r="BK307" s="536"/>
      <c r="BL307" s="109"/>
      <c r="BM307" s="109"/>
      <c r="BN307" s="109"/>
      <c r="BO307" s="109"/>
      <c r="BP307" s="109"/>
      <c r="BQ307" s="109"/>
      <c r="BR307" s="90"/>
      <c r="BS307" s="1"/>
      <c r="BT307" s="1"/>
    </row>
    <row r="308" spans="2:72" x14ac:dyDescent="0.3">
      <c r="D308" s="1"/>
      <c r="E308" s="123" t="s">
        <v>68</v>
      </c>
      <c r="F308" s="61"/>
      <c r="H308" s="93" t="s">
        <v>148</v>
      </c>
      <c r="I308" s="61"/>
      <c r="J308" s="61"/>
      <c r="K308" s="61"/>
      <c r="L308" s="6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BH308" s="109"/>
      <c r="BI308" s="109"/>
      <c r="BJ308" s="109"/>
      <c r="BK308" s="539"/>
      <c r="BL308" s="109"/>
      <c r="BM308" s="109"/>
      <c r="BN308" s="109"/>
      <c r="BO308" s="109"/>
      <c r="BP308" s="109"/>
      <c r="BQ308" s="109"/>
      <c r="BR308" s="90"/>
      <c r="BS308" s="1"/>
      <c r="BT308" s="1"/>
    </row>
    <row r="309" spans="2:72" x14ac:dyDescent="0.3">
      <c r="E309" s="123" t="s">
        <v>149</v>
      </c>
      <c r="H309" s="93" t="s">
        <v>150</v>
      </c>
      <c r="AD309" s="1"/>
      <c r="AE309" s="1"/>
      <c r="AF309" s="1"/>
      <c r="AG309" s="1"/>
      <c r="AH309" s="1"/>
      <c r="AI309" s="1"/>
      <c r="BD309" s="90"/>
      <c r="BE309" s="90"/>
      <c r="BF309" s="90"/>
      <c r="BG309" s="90"/>
      <c r="BH309" s="90"/>
      <c r="BI309" s="90"/>
      <c r="BJ309" s="90"/>
      <c r="BK309" s="537"/>
      <c r="BL309" s="90"/>
      <c r="BM309" s="90"/>
      <c r="BN309" s="90"/>
      <c r="BO309" s="90"/>
      <c r="BP309" s="90"/>
      <c r="BQ309" s="90"/>
      <c r="BR309" s="90"/>
      <c r="BS309" s="1"/>
      <c r="BT309" s="1"/>
    </row>
    <row r="310" spans="2:72" x14ac:dyDescent="0.3">
      <c r="B310" s="56"/>
      <c r="AD310" s="1"/>
      <c r="AE310" s="1"/>
      <c r="AF310" s="1"/>
      <c r="AG310" s="1"/>
      <c r="AH310" s="1"/>
      <c r="AI310" s="1"/>
      <c r="BA310" s="588">
        <v>157602857</v>
      </c>
      <c r="BK310" s="538"/>
    </row>
    <row r="311" spans="2:72" ht="15" thickBot="1" x14ac:dyDescent="0.35">
      <c r="D311" s="56"/>
      <c r="AD311" s="1"/>
      <c r="AE311" s="550"/>
      <c r="AF311" s="590"/>
      <c r="AG311" s="550"/>
      <c r="AH311" s="550"/>
      <c r="AI311" s="550"/>
      <c r="AJ311" s="543"/>
      <c r="AK311" s="543"/>
      <c r="AL311" s="543"/>
      <c r="AM311" s="543"/>
      <c r="AN311" s="543"/>
      <c r="AO311" s="543"/>
      <c r="AP311" s="543"/>
      <c r="AQ311" s="543"/>
      <c r="AR311" s="543"/>
      <c r="AS311" s="543"/>
      <c r="AT311" s="543"/>
      <c r="AU311" s="543"/>
      <c r="AV311" s="543"/>
      <c r="AW311" s="543"/>
      <c r="AX311" s="543"/>
      <c r="AZ311" s="118"/>
      <c r="BA311" s="118"/>
      <c r="BB311" s="118"/>
      <c r="BC311" s="118"/>
      <c r="BK311" s="1"/>
    </row>
    <row r="312" spans="2:72" x14ac:dyDescent="0.3">
      <c r="D312" s="574"/>
      <c r="J312" s="529"/>
      <c r="V312" s="118"/>
      <c r="AA312" s="56"/>
      <c r="AD312" s="1"/>
      <c r="AE312" s="550"/>
      <c r="AF312" s="589"/>
      <c r="AG312" s="1"/>
      <c r="AH312" s="1"/>
      <c r="AI312" s="528"/>
      <c r="AJ312" s="507"/>
      <c r="AK312" s="508"/>
      <c r="AL312" s="508"/>
      <c r="AM312" s="508"/>
      <c r="AN312" s="508"/>
      <c r="AO312" s="508"/>
      <c r="AP312" s="508"/>
      <c r="AQ312" s="508"/>
      <c r="AR312" s="508"/>
      <c r="AS312" s="508"/>
      <c r="AT312" s="508"/>
      <c r="AU312" s="508"/>
      <c r="AV312" s="508"/>
      <c r="AW312" s="509"/>
      <c r="AX312" s="543"/>
      <c r="AZ312" s="118"/>
      <c r="BA312" s="89"/>
      <c r="BB312" s="118"/>
      <c r="BC312" s="118"/>
      <c r="BK312" s="56"/>
    </row>
    <row r="313" spans="2:72" x14ac:dyDescent="0.3">
      <c r="D313" s="1"/>
      <c r="J313" s="232"/>
      <c r="AD313" s="1"/>
      <c r="AE313" s="550"/>
      <c r="AF313" s="589"/>
      <c r="AG313" s="1"/>
      <c r="AH313" s="1"/>
      <c r="AI313" s="528"/>
      <c r="AJ313" s="510"/>
      <c r="AK313" s="604" t="s">
        <v>155</v>
      </c>
      <c r="AL313" s="604"/>
      <c r="AM313" s="604"/>
      <c r="AN313" s="604"/>
      <c r="AO313" s="604"/>
      <c r="AP313" s="604"/>
      <c r="AQ313" s="604"/>
      <c r="AR313" s="604"/>
      <c r="AS313" s="604"/>
      <c r="AT313" s="604"/>
      <c r="AU313" s="604"/>
      <c r="AV313" s="604"/>
      <c r="AW313" s="511"/>
      <c r="AX313" s="543"/>
      <c r="AZ313" s="118"/>
      <c r="BA313" s="118"/>
      <c r="BB313" s="118"/>
      <c r="BC313" s="118"/>
    </row>
    <row r="314" spans="2:72" ht="15.6" x14ac:dyDescent="0.3">
      <c r="D314" s="1">
        <v>331000000</v>
      </c>
      <c r="H314" s="277">
        <f>+H269/D314</f>
        <v>4.3930915407854987E-2</v>
      </c>
      <c r="J314" s="57"/>
      <c r="AD314" s="1"/>
      <c r="AE314" s="550"/>
      <c r="AF314" s="589"/>
      <c r="AG314" s="1"/>
      <c r="AH314" s="1"/>
      <c r="AI314" s="528"/>
      <c r="AJ314" s="510"/>
      <c r="AK314" s="604" t="s">
        <v>154</v>
      </c>
      <c r="AL314" s="604"/>
      <c r="AM314" s="604"/>
      <c r="AN314" s="604"/>
      <c r="AO314" s="516"/>
      <c r="AP314" s="517" t="s">
        <v>20</v>
      </c>
      <c r="AQ314" s="516"/>
      <c r="AR314" s="517" t="s">
        <v>4</v>
      </c>
      <c r="AS314" s="518"/>
      <c r="AT314" s="518"/>
      <c r="AU314" s="518"/>
      <c r="AV314" s="522" t="s">
        <v>10</v>
      </c>
      <c r="AW314" s="511"/>
      <c r="AX314" s="543"/>
      <c r="AZ314" s="118"/>
      <c r="BA314" s="118"/>
      <c r="BB314" s="118"/>
      <c r="BC314" s="118"/>
    </row>
    <row r="315" spans="2:72" ht="15.6" x14ac:dyDescent="0.3">
      <c r="H315" s="277">
        <f>+AA269/H269</f>
        <v>1.9551915246219121E-2</v>
      </c>
      <c r="AD315" s="1"/>
      <c r="AE315" s="550"/>
      <c r="AF315" s="589"/>
      <c r="AG315" s="1"/>
      <c r="AH315" s="1"/>
      <c r="AI315" s="528"/>
      <c r="AJ315" s="510"/>
      <c r="AK315" s="603" t="s">
        <v>151</v>
      </c>
      <c r="AL315" s="603"/>
      <c r="AM315" s="603"/>
      <c r="AN315" s="603"/>
      <c r="AO315" s="516"/>
      <c r="AP315" s="519">
        <f>+AH50</f>
        <v>898992</v>
      </c>
      <c r="AQ315" s="520"/>
      <c r="AR315" s="519">
        <f>+AH51</f>
        <v>55687</v>
      </c>
      <c r="AS315" s="521"/>
      <c r="AT315" s="521"/>
      <c r="AU315" s="521"/>
      <c r="AV315" s="534">
        <f t="shared" ref="AV315:AV321" si="1713">+AR315/AP315</f>
        <v>6.194382152455194E-2</v>
      </c>
      <c r="AW315" s="511"/>
      <c r="AX315" s="543"/>
      <c r="AZ315" s="118"/>
      <c r="BA315" s="89"/>
      <c r="BB315" s="118"/>
      <c r="BC315" s="118"/>
    </row>
    <row r="316" spans="2:72" ht="15.6" x14ac:dyDescent="0.3">
      <c r="D316" s="277"/>
      <c r="AD316" s="1"/>
      <c r="AE316" s="550"/>
      <c r="AF316" s="589"/>
      <c r="AG316" s="1"/>
      <c r="AH316" s="1"/>
      <c r="AI316" s="528"/>
      <c r="AJ316" s="510"/>
      <c r="AK316" s="640" t="s">
        <v>152</v>
      </c>
      <c r="AL316" s="641"/>
      <c r="AM316" s="641"/>
      <c r="AN316" s="641"/>
      <c r="AO316" s="65"/>
      <c r="AP316" s="512">
        <f>+AG83</f>
        <v>742147</v>
      </c>
      <c r="AQ316" s="65"/>
      <c r="AR316" s="512">
        <f>+AG84</f>
        <v>42339</v>
      </c>
      <c r="AS316" s="65"/>
      <c r="AT316" s="65"/>
      <c r="AU316" s="65"/>
      <c r="AV316" s="532">
        <f t="shared" si="1713"/>
        <v>5.7049344671608188E-2</v>
      </c>
      <c r="AW316" s="511"/>
      <c r="AX316" s="543"/>
      <c r="AZ316" s="118"/>
      <c r="BA316" s="89"/>
      <c r="BB316" s="118"/>
      <c r="BC316" s="118"/>
    </row>
    <row r="317" spans="2:72" ht="15.6" x14ac:dyDescent="0.3">
      <c r="AD317" s="1"/>
      <c r="AE317" s="550"/>
      <c r="AF317" s="589"/>
      <c r="AG317" s="1"/>
      <c r="AH317" s="1"/>
      <c r="AI317" s="528"/>
      <c r="AJ317" s="510"/>
      <c r="AK317" s="641" t="s">
        <v>153</v>
      </c>
      <c r="AL317" s="641"/>
      <c r="AM317" s="641"/>
      <c r="AN317" s="641"/>
      <c r="AO317" s="65"/>
      <c r="AP317" s="512">
        <f>+AH113</f>
        <v>869627</v>
      </c>
      <c r="AQ317" s="65"/>
      <c r="AR317" s="512">
        <f>+AH114</f>
        <v>21252</v>
      </c>
      <c r="AS317" s="65"/>
      <c r="AT317" s="65"/>
      <c r="AU317" s="65"/>
      <c r="AV317" s="532">
        <f t="shared" si="1713"/>
        <v>2.4438063675575852E-2</v>
      </c>
      <c r="AW317" s="511"/>
      <c r="AX317" s="543"/>
      <c r="AZ317" s="118"/>
      <c r="BA317" s="118"/>
      <c r="BB317" s="118"/>
      <c r="BC317" s="118"/>
    </row>
    <row r="318" spans="2:72" ht="15.6" x14ac:dyDescent="0.3">
      <c r="D318" s="471"/>
      <c r="AD318" s="1"/>
      <c r="AE318" s="550"/>
      <c r="AF318" s="589"/>
      <c r="AG318" s="1"/>
      <c r="AH318" s="1"/>
      <c r="AI318" s="528"/>
      <c r="AJ318" s="510"/>
      <c r="AK318" s="641" t="s">
        <v>156</v>
      </c>
      <c r="AL318" s="641"/>
      <c r="AM318" s="641"/>
      <c r="AN318" s="641"/>
      <c r="AO318" s="65"/>
      <c r="AP318" s="512">
        <f>+AG324</f>
        <v>1970617</v>
      </c>
      <c r="AQ318" s="65"/>
      <c r="AR318" s="512">
        <f>+AG326</f>
        <v>25901</v>
      </c>
      <c r="AS318" s="65"/>
      <c r="AT318" s="65"/>
      <c r="AU318" s="65"/>
      <c r="AV318" s="532">
        <f t="shared" si="1713"/>
        <v>1.3143599187462607E-2</v>
      </c>
      <c r="AW318" s="511"/>
      <c r="AX318" s="543"/>
    </row>
    <row r="319" spans="2:72" ht="15.6" x14ac:dyDescent="0.3">
      <c r="D319" s="471"/>
      <c r="AD319" s="1"/>
      <c r="AE319" s="550"/>
      <c r="AF319" s="589"/>
      <c r="AG319" s="1"/>
      <c r="AH319" s="1"/>
      <c r="AI319" s="528"/>
      <c r="AJ319" s="510"/>
      <c r="AK319" s="586"/>
      <c r="AL319" s="586" t="s">
        <v>164</v>
      </c>
      <c r="AM319" s="586"/>
      <c r="AN319" s="586"/>
      <c r="AO319" s="65"/>
      <c r="AP319" s="512">
        <f>SUM(D144:D174)</f>
        <v>1493931</v>
      </c>
      <c r="AQ319" s="65"/>
      <c r="AR319" s="512">
        <f>SUM(W144:W174)</f>
        <v>30354</v>
      </c>
      <c r="AS319" s="65"/>
      <c r="AT319" s="65"/>
      <c r="AU319" s="65"/>
      <c r="AV319" s="532">
        <f t="shared" si="1713"/>
        <v>2.0318207467413155E-2</v>
      </c>
      <c r="AW319" s="511"/>
      <c r="AX319" s="543"/>
    </row>
    <row r="320" spans="2:72" ht="15.6" x14ac:dyDescent="0.3">
      <c r="D320" s="471"/>
      <c r="AD320" s="1"/>
      <c r="AE320" s="550"/>
      <c r="AF320" s="589"/>
      <c r="AG320" s="1"/>
      <c r="AH320" s="1"/>
      <c r="AI320" s="528"/>
      <c r="AJ320" s="510"/>
      <c r="AK320" s="586"/>
      <c r="AL320" s="586" t="s">
        <v>165</v>
      </c>
      <c r="AM320" s="586"/>
      <c r="AN320" s="586"/>
      <c r="AO320" s="65"/>
      <c r="AP320" s="512">
        <f>SUM(D175:D204)</f>
        <v>1202331</v>
      </c>
      <c r="AQ320" s="65"/>
      <c r="AR320" s="587">
        <f>SUM(W175:W204)</f>
        <v>24042</v>
      </c>
      <c r="AS320" s="65"/>
      <c r="AT320" s="65"/>
      <c r="AU320" s="65"/>
      <c r="AV320" s="532">
        <f t="shared" si="1713"/>
        <v>1.9996157464125936E-2</v>
      </c>
      <c r="AW320" s="511"/>
      <c r="AX320" s="543"/>
    </row>
    <row r="321" spans="2:87" ht="15.6" x14ac:dyDescent="0.3">
      <c r="D321" s="471"/>
      <c r="AD321" s="1"/>
      <c r="AE321" s="550"/>
      <c r="AF321" s="589"/>
      <c r="AG321" s="1"/>
      <c r="AH321" s="1"/>
      <c r="AI321" s="528"/>
      <c r="AJ321" s="510"/>
      <c r="AK321" s="586"/>
      <c r="AL321" s="586" t="s">
        <v>166</v>
      </c>
      <c r="AM321" s="586"/>
      <c r="AN321" s="586"/>
      <c r="AO321" s="65"/>
      <c r="AP321" s="512">
        <f>SUM(D205:D230)</f>
        <v>1470960</v>
      </c>
      <c r="AQ321" s="65"/>
      <c r="AR321" s="512">
        <f>SUM(W205:W235)</f>
        <v>24156</v>
      </c>
      <c r="AS321" s="65"/>
      <c r="AT321" s="65"/>
      <c r="AU321" s="65"/>
      <c r="AV321" s="532">
        <f t="shared" si="1713"/>
        <v>1.6421928536465982E-2</v>
      </c>
      <c r="AW321" s="511"/>
      <c r="AX321" s="543"/>
      <c r="BA321" s="529">
        <f>+AV315-AV321</f>
        <v>4.5521892988085955E-2</v>
      </c>
    </row>
    <row r="322" spans="2:87" ht="15" thickBot="1" x14ac:dyDescent="0.35">
      <c r="B322" s="470"/>
      <c r="D322" s="277"/>
      <c r="AD322" s="1"/>
      <c r="AE322" s="550"/>
      <c r="AF322" s="589"/>
      <c r="AG322" s="1"/>
      <c r="AH322" s="1"/>
      <c r="AI322" s="528"/>
      <c r="AJ322" s="510"/>
      <c r="AK322" s="523"/>
      <c r="AL322" s="523"/>
      <c r="AM322" s="523"/>
      <c r="AN322" s="523"/>
      <c r="AO322" s="524"/>
      <c r="AP322" s="525"/>
      <c r="AQ322" s="524"/>
      <c r="AR322" s="525"/>
      <c r="AS322" s="524"/>
      <c r="AT322" s="524"/>
      <c r="AU322" s="524"/>
      <c r="AV322" s="526"/>
      <c r="AW322" s="511"/>
      <c r="AX322" s="543"/>
      <c r="BA322">
        <f>+BA321/AV315</f>
        <v>0.73488996751747038</v>
      </c>
    </row>
    <row r="323" spans="2:87" ht="15.6" x14ac:dyDescent="0.3">
      <c r="B323" s="470"/>
      <c r="D323" s="277"/>
      <c r="AD323" s="1"/>
      <c r="AE323" s="550"/>
      <c r="AF323" s="589"/>
      <c r="AG323" s="1"/>
      <c r="AH323" s="1"/>
      <c r="AI323" s="528"/>
      <c r="AJ323" s="510"/>
      <c r="AK323" s="603" t="s">
        <v>151</v>
      </c>
      <c r="AL323" s="603"/>
      <c r="AM323" s="603"/>
      <c r="AN323" s="603"/>
      <c r="AO323" s="65"/>
      <c r="AP323" s="512"/>
      <c r="AQ323" s="65"/>
      <c r="AR323" s="512">
        <f>+AR315</f>
        <v>55687</v>
      </c>
      <c r="AS323" s="65"/>
      <c r="AT323" s="65"/>
      <c r="AU323" s="65"/>
      <c r="AV323" s="156"/>
      <c r="AW323" s="511"/>
      <c r="AX323" s="543"/>
    </row>
    <row r="324" spans="2:87" ht="15.6" x14ac:dyDescent="0.3">
      <c r="B324" s="470"/>
      <c r="D324" s="277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10"/>
      <c r="AE324" s="550"/>
      <c r="AF324" s="589"/>
      <c r="AG324" s="33">
        <f>SUM(D113:D143)</f>
        <v>1970617</v>
      </c>
      <c r="AH324" s="1"/>
      <c r="AI324" s="528"/>
      <c r="AJ324" s="510"/>
      <c r="AK324" s="638" t="s">
        <v>166</v>
      </c>
      <c r="AL324" s="638"/>
      <c r="AM324" s="638"/>
      <c r="AN324" s="638"/>
      <c r="AO324" s="65"/>
      <c r="AP324" s="512"/>
      <c r="AQ324" s="65"/>
      <c r="AR324" s="512">
        <f>+AR321</f>
        <v>24156</v>
      </c>
      <c r="AS324" s="65"/>
      <c r="AT324" s="65"/>
      <c r="AU324" s="65"/>
      <c r="AV324" s="156"/>
      <c r="AW324" s="511"/>
      <c r="AX324" s="543"/>
    </row>
    <row r="325" spans="2:87" ht="15.6" x14ac:dyDescent="0.3">
      <c r="B325" s="470"/>
      <c r="D325" s="277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10"/>
      <c r="AE325" s="550"/>
      <c r="AF325" s="589"/>
      <c r="AG325" s="33">
        <f>SUM(W125:W138)</f>
        <v>12117</v>
      </c>
      <c r="AH325" s="1"/>
      <c r="AI325" s="528"/>
      <c r="AJ325" s="510"/>
      <c r="AK325" s="64"/>
      <c r="AL325" s="540" t="s">
        <v>3</v>
      </c>
      <c r="AM325" s="64"/>
      <c r="AN325" s="64"/>
      <c r="AO325" s="65"/>
      <c r="AP325" s="512"/>
      <c r="AQ325" s="65"/>
      <c r="AR325" s="512">
        <f>+AR323-AR324</f>
        <v>31531</v>
      </c>
      <c r="AS325" s="65"/>
      <c r="AT325" s="65"/>
      <c r="AU325" s="65"/>
      <c r="AV325" s="527">
        <f>+AR325/AR323</f>
        <v>0.5662183274372834</v>
      </c>
      <c r="AW325" s="511"/>
      <c r="AX325" s="543"/>
    </row>
    <row r="326" spans="2:87" ht="15" thickBot="1" x14ac:dyDescent="0.35">
      <c r="D326" s="470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10"/>
      <c r="AE326" s="550"/>
      <c r="AF326" s="591"/>
      <c r="AG326" s="33">
        <f>SUM(W113:W143)</f>
        <v>25901</v>
      </c>
      <c r="AH326" s="1"/>
      <c r="AI326" s="528"/>
      <c r="AJ326" s="513"/>
      <c r="AK326" s="514"/>
      <c r="AL326" s="514"/>
      <c r="AM326" s="514"/>
      <c r="AN326" s="514"/>
      <c r="AO326" s="514"/>
      <c r="AP326" s="514"/>
      <c r="AQ326" s="514"/>
      <c r="AR326" s="514"/>
      <c r="AS326" s="514"/>
      <c r="AT326" s="514"/>
      <c r="AU326" s="514"/>
      <c r="AV326" s="514"/>
      <c r="AW326" s="515"/>
      <c r="AX326" s="543"/>
      <c r="BD326" s="90"/>
      <c r="BE326" s="90"/>
      <c r="BF326" s="90"/>
      <c r="BG326" s="90"/>
      <c r="BH326" s="90"/>
      <c r="BI326" s="90"/>
      <c r="BJ326" s="90"/>
      <c r="BK326" s="90"/>
      <c r="BL326" s="90"/>
      <c r="BM326" s="90"/>
      <c r="BN326" s="90"/>
      <c r="BO326" s="90"/>
      <c r="BP326" s="90"/>
      <c r="BQ326" s="90"/>
      <c r="BR326" s="90"/>
      <c r="BS326" s="1"/>
      <c r="BT326" s="1"/>
      <c r="BU326" s="1"/>
      <c r="BV326" s="1"/>
      <c r="BW326" s="90"/>
      <c r="BX326" s="90"/>
      <c r="BY326" s="90"/>
      <c r="BZ326" s="90"/>
      <c r="CA326" s="90"/>
      <c r="CB326" s="90"/>
      <c r="CC326" s="90"/>
      <c r="CD326" s="90"/>
      <c r="CE326" s="90"/>
      <c r="CF326" s="90"/>
      <c r="CG326" s="90"/>
      <c r="CH326" s="90"/>
      <c r="CI326" s="90"/>
    </row>
    <row r="327" spans="2:87" x14ac:dyDescent="0.3"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10"/>
      <c r="AE327" s="550"/>
      <c r="AF327" s="550"/>
      <c r="AG327" s="550"/>
      <c r="AH327" s="550"/>
      <c r="AI327" s="550"/>
      <c r="AJ327" s="543"/>
      <c r="AK327" s="543"/>
      <c r="AL327" s="543"/>
      <c r="AM327" s="543"/>
      <c r="AN327" s="543"/>
      <c r="AO327" s="543"/>
      <c r="AP327" s="543"/>
      <c r="AQ327" s="543"/>
      <c r="AR327" s="543"/>
      <c r="AS327" s="543"/>
      <c r="AT327" s="543"/>
      <c r="AU327" s="543"/>
      <c r="AV327" s="543"/>
      <c r="AW327" s="543"/>
      <c r="AX327" s="543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89"/>
      <c r="BX327" s="89"/>
      <c r="BY327" s="89"/>
      <c r="BZ327" s="89"/>
      <c r="CA327" s="121"/>
      <c r="CB327" s="1"/>
      <c r="CC327" s="1"/>
      <c r="CD327" s="1"/>
      <c r="CE327" s="1"/>
      <c r="CF327" s="1"/>
      <c r="CG327" s="1"/>
      <c r="CH327" s="1"/>
      <c r="CI327" s="1"/>
    </row>
    <row r="328" spans="2:87" x14ac:dyDescent="0.3">
      <c r="D328">
        <v>10</v>
      </c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10"/>
      <c r="AE328" s="10"/>
      <c r="AF328" s="10"/>
      <c r="AG328" s="10"/>
      <c r="AH328" s="10"/>
      <c r="AI328" s="10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89"/>
      <c r="BX328" s="89"/>
      <c r="BY328" s="89"/>
      <c r="BZ328" s="89"/>
      <c r="CA328" s="89"/>
      <c r="CB328" s="1"/>
      <c r="CC328" s="1"/>
      <c r="CD328" s="1"/>
      <c r="CE328" s="1"/>
      <c r="CF328" s="1"/>
      <c r="CG328" s="1"/>
      <c r="CH328" s="1"/>
      <c r="CI328" s="1"/>
    </row>
    <row r="329" spans="2:87" x14ac:dyDescent="0.3">
      <c r="D329" s="1">
        <v>77000000</v>
      </c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10"/>
      <c r="AE329" s="10"/>
      <c r="AF329" s="10"/>
      <c r="AG329" s="10"/>
      <c r="AH329" s="10"/>
      <c r="AI329" s="10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89"/>
      <c r="BX329" s="89"/>
      <c r="BY329" s="89"/>
      <c r="BZ329" s="89"/>
      <c r="CA329" s="89"/>
      <c r="CB329" s="1"/>
      <c r="CC329" s="1"/>
      <c r="CD329" s="1"/>
      <c r="CE329" s="1"/>
      <c r="CF329" s="1"/>
      <c r="CG329" s="1"/>
    </row>
    <row r="330" spans="2:87" x14ac:dyDescent="0.3">
      <c r="D330" s="57">
        <f>+D329/D332</f>
        <v>0.23262839879154079</v>
      </c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10"/>
      <c r="AE330" s="10"/>
      <c r="AF330" s="10"/>
      <c r="AG330" s="544"/>
      <c r="AH330" s="10"/>
      <c r="AI330" s="10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89"/>
      <c r="BX330" s="89"/>
      <c r="BY330" s="89"/>
      <c r="BZ330" s="89"/>
      <c r="CA330" s="89"/>
      <c r="CB330" s="1"/>
      <c r="CC330" s="1"/>
      <c r="CD330" s="1"/>
      <c r="CE330" s="1"/>
      <c r="CF330" s="1"/>
      <c r="CG330" s="1"/>
    </row>
    <row r="331" spans="2:87" x14ac:dyDescent="0.3"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10"/>
      <c r="AE331" s="10"/>
      <c r="AF331" s="550"/>
      <c r="AG331" s="569"/>
      <c r="AH331" s="550"/>
      <c r="AI331" s="550"/>
      <c r="AJ331" s="543"/>
      <c r="AK331" s="543"/>
      <c r="AL331" s="543"/>
      <c r="AM331" s="543"/>
      <c r="AN331" s="543"/>
      <c r="AO331" s="543"/>
      <c r="AP331" s="543"/>
      <c r="AQ331" s="543"/>
      <c r="AR331" s="543"/>
      <c r="AS331" s="543"/>
      <c r="AT331" s="543"/>
      <c r="AU331" s="543"/>
      <c r="AV331" s="543"/>
      <c r="AW331" s="543"/>
      <c r="AX331" s="543"/>
      <c r="AY331" s="543"/>
      <c r="AZ331" s="543"/>
      <c r="BA331" s="543"/>
      <c r="BB331" s="543"/>
      <c r="BC331" s="543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89"/>
      <c r="BX331" s="89"/>
      <c r="BY331" s="122"/>
      <c r="BZ331" s="89"/>
      <c r="CA331" s="89"/>
    </row>
    <row r="332" spans="2:87" x14ac:dyDescent="0.3">
      <c r="D332" s="1">
        <v>331000000</v>
      </c>
      <c r="H332">
        <v>0.13400000000000001</v>
      </c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10"/>
      <c r="AE332" s="10"/>
      <c r="AF332" s="550"/>
      <c r="AG332" s="570"/>
      <c r="AH332" s="550"/>
      <c r="AI332" s="550"/>
      <c r="AJ332" s="567"/>
      <c r="AK332" s="567"/>
      <c r="AL332" s="568"/>
      <c r="AM332" s="568"/>
      <c r="AN332" s="568"/>
      <c r="AO332" s="568"/>
      <c r="AP332" s="568"/>
      <c r="AQ332" s="568"/>
      <c r="AR332" s="568"/>
      <c r="AS332" s="568"/>
      <c r="AT332" s="568"/>
      <c r="AU332" s="568"/>
      <c r="AV332" s="568"/>
      <c r="AW332" s="568"/>
      <c r="AX332" s="568"/>
      <c r="AY332" s="568"/>
      <c r="AZ332" s="568"/>
      <c r="BA332" s="568"/>
      <c r="BB332" s="567"/>
      <c r="BC332" s="567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89"/>
      <c r="BX332" s="89"/>
      <c r="BY332" s="89"/>
      <c r="BZ332" s="89"/>
      <c r="CA332" s="89"/>
    </row>
    <row r="333" spans="2:87" x14ac:dyDescent="0.3">
      <c r="D333" s="1">
        <f>+D332*H332</f>
        <v>44354000</v>
      </c>
      <c r="H333" s="1">
        <f>+D333*0.001</f>
        <v>44354</v>
      </c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10"/>
      <c r="AE333" s="10"/>
      <c r="AF333" s="550"/>
      <c r="AG333" s="569"/>
      <c r="AH333" s="550"/>
      <c r="AI333" s="550"/>
      <c r="AJ333" s="567"/>
      <c r="AK333" s="567"/>
      <c r="AL333" s="150"/>
      <c r="AM333" s="150"/>
      <c r="AN333" s="150"/>
      <c r="AO333" s="150"/>
      <c r="AP333" s="150"/>
      <c r="AQ333" s="150"/>
      <c r="AR333" s="150"/>
      <c r="AS333" s="90"/>
      <c r="AT333" s="90"/>
      <c r="AU333" s="90"/>
      <c r="AV333" s="110"/>
      <c r="AW333" s="110"/>
      <c r="AX333" s="110"/>
      <c r="AY333" s="110"/>
      <c r="AZ333" s="567"/>
      <c r="BA333" s="567"/>
      <c r="BB333" s="573"/>
      <c r="BC333" s="567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89"/>
      <c r="BX333" s="89"/>
      <c r="BY333" s="89"/>
      <c r="BZ333" s="89"/>
      <c r="CA333" s="89"/>
    </row>
    <row r="334" spans="2:87" x14ac:dyDescent="0.3">
      <c r="D334" s="468">
        <v>7.1999999999999995E-2</v>
      </c>
      <c r="H334" s="1">
        <f>+AA204*H332</f>
        <v>28384.416000000001</v>
      </c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10"/>
      <c r="AE334" s="10"/>
      <c r="AF334" s="550"/>
      <c r="AG334" s="569">
        <v>44031</v>
      </c>
      <c r="AH334" s="550"/>
      <c r="AI334" s="550"/>
      <c r="AJ334" s="567"/>
      <c r="AK334" s="567"/>
      <c r="AL334" s="150"/>
      <c r="AM334" s="150"/>
      <c r="AN334" s="150"/>
      <c r="AO334" s="150"/>
      <c r="AP334" s="150"/>
      <c r="AQ334" s="150"/>
      <c r="AR334" s="150"/>
      <c r="AS334" s="150"/>
      <c r="AT334" s="110"/>
      <c r="AU334" s="90"/>
      <c r="AV334" s="110"/>
      <c r="AW334" s="110"/>
      <c r="AX334" s="110"/>
      <c r="AY334" s="110"/>
      <c r="AZ334" s="567"/>
      <c r="BA334" s="567"/>
      <c r="BB334" s="573"/>
      <c r="BC334" s="567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89"/>
      <c r="BX334" s="89"/>
      <c r="BY334" s="89"/>
      <c r="BZ334" s="89"/>
      <c r="CA334" s="89"/>
    </row>
    <row r="335" spans="2:87" x14ac:dyDescent="0.3"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10"/>
      <c r="AE335" s="10"/>
      <c r="AF335" s="550"/>
      <c r="AG335" s="569">
        <v>44038</v>
      </c>
      <c r="AH335" s="550"/>
      <c r="AI335" s="550"/>
      <c r="AJ335" s="567"/>
      <c r="AK335" s="567"/>
      <c r="AL335" s="90"/>
      <c r="AM335" s="90"/>
      <c r="AN335" s="151"/>
      <c r="AO335" s="151"/>
      <c r="AP335" s="151"/>
      <c r="AQ335" s="151"/>
      <c r="AR335" s="151"/>
      <c r="AS335" s="90"/>
      <c r="AT335" s="90"/>
      <c r="AU335" s="90"/>
      <c r="AV335" s="110"/>
      <c r="AW335" s="110"/>
      <c r="AX335" s="110"/>
      <c r="AY335" s="110"/>
      <c r="AZ335" s="567"/>
      <c r="BA335" s="567"/>
      <c r="BB335" s="573"/>
      <c r="BC335" s="567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89"/>
      <c r="BX335" s="89"/>
      <c r="BY335" s="89"/>
      <c r="BZ335" s="89"/>
      <c r="CA335" s="89"/>
    </row>
    <row r="336" spans="2:87" x14ac:dyDescent="0.3">
      <c r="D336" s="277">
        <v>4.2000000000000003E-2</v>
      </c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10"/>
      <c r="AE336" s="10"/>
      <c r="AF336" s="550"/>
      <c r="AG336" s="569">
        <v>44045</v>
      </c>
      <c r="AH336" s="550"/>
      <c r="AI336" s="550"/>
      <c r="AJ336" s="567"/>
      <c r="AK336" s="567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10"/>
      <c r="AW336" s="110"/>
      <c r="AX336" s="110"/>
      <c r="AY336" s="110"/>
      <c r="AZ336" s="567"/>
      <c r="BA336" s="567"/>
      <c r="BB336" s="573"/>
      <c r="BC336" s="567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</row>
    <row r="337" spans="2:79" x14ac:dyDescent="0.3">
      <c r="D337" s="574">
        <f>+D332*D334*D336</f>
        <v>1000944.0000000001</v>
      </c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10"/>
      <c r="AE337" s="10"/>
      <c r="AF337" s="550"/>
      <c r="AG337" s="569">
        <v>44052</v>
      </c>
      <c r="AH337" s="550"/>
      <c r="AI337" s="550"/>
      <c r="AJ337" s="567"/>
      <c r="AK337" s="567"/>
      <c r="AL337" s="90"/>
      <c r="AM337" s="90"/>
      <c r="AN337" s="151"/>
      <c r="AO337" s="151"/>
      <c r="AP337" s="151"/>
      <c r="AQ337" s="151"/>
      <c r="AR337" s="151"/>
      <c r="AS337" s="151"/>
      <c r="AT337" s="151"/>
      <c r="AU337" s="90"/>
      <c r="AV337" s="110"/>
      <c r="AW337" s="110"/>
      <c r="AX337" s="110"/>
      <c r="AY337" s="110"/>
      <c r="AZ337" s="567"/>
      <c r="BA337" s="567"/>
      <c r="BB337" s="573"/>
      <c r="BC337" s="567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</row>
    <row r="338" spans="2:79" x14ac:dyDescent="0.3"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10"/>
      <c r="AE338" s="10"/>
      <c r="AF338" s="550"/>
      <c r="AG338" s="569"/>
      <c r="AH338" s="550"/>
      <c r="AI338" s="550"/>
      <c r="AJ338" s="567"/>
      <c r="AK338" s="567"/>
      <c r="AL338" s="90"/>
      <c r="AM338" s="90"/>
      <c r="AN338" s="151"/>
      <c r="AO338" s="151"/>
      <c r="AP338" s="151"/>
      <c r="AQ338" s="151"/>
      <c r="AR338" s="151"/>
      <c r="AS338" s="151"/>
      <c r="AT338" s="151"/>
      <c r="AU338" s="90"/>
      <c r="AV338" s="110"/>
      <c r="AW338" s="110"/>
      <c r="AX338" s="110"/>
      <c r="AY338" s="110"/>
      <c r="AZ338" s="567"/>
      <c r="BA338" s="567"/>
      <c r="BB338" s="573"/>
      <c r="BC338" s="567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</row>
    <row r="339" spans="2:79" x14ac:dyDescent="0.3"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10"/>
      <c r="AE339" s="10"/>
      <c r="AF339" s="550"/>
      <c r="AG339" s="569"/>
      <c r="AH339" s="550"/>
      <c r="AI339" s="550"/>
      <c r="AJ339" s="567"/>
      <c r="AK339" s="567"/>
      <c r="AL339" s="90"/>
      <c r="AM339" s="90"/>
      <c r="AN339" s="151"/>
      <c r="AO339" s="151"/>
      <c r="AP339" s="151"/>
      <c r="AQ339" s="151"/>
      <c r="AR339" s="151"/>
      <c r="AS339" s="151"/>
      <c r="AT339" s="151"/>
      <c r="AU339" s="90"/>
      <c r="AV339" s="110"/>
      <c r="AW339" s="110"/>
      <c r="AX339" s="110"/>
      <c r="AY339" s="110"/>
      <c r="AZ339" s="567"/>
      <c r="BA339" s="567"/>
      <c r="BB339" s="573"/>
      <c r="BC339" s="567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</row>
    <row r="340" spans="2:79" x14ac:dyDescent="0.3"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10"/>
      <c r="AE340" s="10"/>
      <c r="AF340" s="550"/>
      <c r="AG340" s="571"/>
      <c r="AH340" s="550"/>
      <c r="AI340" s="550"/>
      <c r="AJ340" s="567"/>
      <c r="AK340" s="567"/>
      <c r="AL340" s="90"/>
      <c r="AM340" s="90"/>
      <c r="AN340" s="151"/>
      <c r="AO340" s="151"/>
      <c r="AP340" s="151"/>
      <c r="AQ340" s="151"/>
      <c r="AR340" s="151"/>
      <c r="AS340" s="151"/>
      <c r="AT340" s="151"/>
      <c r="AU340" s="90"/>
      <c r="AV340" s="110"/>
      <c r="AW340" s="110"/>
      <c r="AX340" s="110"/>
      <c r="AY340" s="110"/>
      <c r="AZ340" s="567"/>
      <c r="BA340" s="567"/>
      <c r="BB340" s="573"/>
      <c r="BC340" s="567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</row>
    <row r="341" spans="2:79" x14ac:dyDescent="0.3"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10"/>
      <c r="AE341" s="10"/>
      <c r="AF341" s="550"/>
      <c r="AG341" s="550"/>
      <c r="AH341" s="550"/>
      <c r="AI341" s="550"/>
      <c r="AJ341" s="567"/>
      <c r="AK341" s="567"/>
      <c r="AL341" s="90"/>
      <c r="AM341" s="90"/>
      <c r="AN341" s="151"/>
      <c r="AO341" s="151"/>
      <c r="AP341" s="151"/>
      <c r="AQ341" s="151"/>
      <c r="AR341" s="151"/>
      <c r="AS341" s="151"/>
      <c r="AT341" s="151"/>
      <c r="AU341" s="90"/>
      <c r="AV341" s="110"/>
      <c r="AW341" s="110"/>
      <c r="AX341" s="110"/>
      <c r="AY341" s="110"/>
      <c r="AZ341" s="567"/>
      <c r="BA341" s="567"/>
      <c r="BB341" s="573"/>
      <c r="BC341" s="567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</row>
    <row r="342" spans="2:79" x14ac:dyDescent="0.3"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10"/>
      <c r="AE342" s="10"/>
      <c r="AF342" s="550"/>
      <c r="AG342" s="550"/>
      <c r="AH342" s="550"/>
      <c r="AI342" s="550"/>
      <c r="AJ342" s="567"/>
      <c r="AK342" s="567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90"/>
      <c r="AW342" s="90"/>
      <c r="AX342" s="90"/>
      <c r="AY342" s="90"/>
      <c r="AZ342" s="567"/>
      <c r="BA342" s="573"/>
      <c r="BB342" s="573"/>
      <c r="BC342" s="567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</row>
    <row r="343" spans="2:79" x14ac:dyDescent="0.3">
      <c r="AD343" s="10"/>
      <c r="AE343" s="10"/>
      <c r="AF343" s="550"/>
      <c r="AG343" s="550"/>
      <c r="AH343" s="550"/>
      <c r="AI343" s="550"/>
      <c r="AJ343" s="567"/>
      <c r="AK343" s="567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90"/>
      <c r="AW343" s="90"/>
      <c r="AX343" s="90"/>
      <c r="AY343" s="90"/>
      <c r="AZ343" s="567"/>
      <c r="BA343" s="573"/>
      <c r="BB343" s="573"/>
      <c r="BC343" s="567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</row>
    <row r="344" spans="2:79" ht="15" thickBot="1" x14ac:dyDescent="0.35">
      <c r="B344" s="543"/>
      <c r="C344" s="543"/>
      <c r="D344" s="543"/>
      <c r="E344" s="543"/>
      <c r="F344" s="543"/>
      <c r="G344" s="543"/>
      <c r="H344" s="543"/>
      <c r="I344" s="543"/>
      <c r="J344" s="543"/>
      <c r="K344" s="543"/>
      <c r="L344" s="543"/>
      <c r="M344" s="543"/>
      <c r="N344" s="543"/>
      <c r="O344" s="543"/>
      <c r="P344" s="543"/>
      <c r="Q344" s="543"/>
      <c r="R344" s="543"/>
      <c r="S344" s="543"/>
      <c r="T344" s="543"/>
      <c r="U344" s="543"/>
      <c r="V344" s="543"/>
      <c r="AD344" s="10"/>
      <c r="AE344" s="10"/>
      <c r="AF344" s="550"/>
      <c r="AG344" s="550"/>
      <c r="AH344" s="550"/>
      <c r="AI344" s="550"/>
      <c r="AJ344" s="567"/>
      <c r="AK344" s="567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90"/>
      <c r="AW344" s="90"/>
      <c r="AX344" s="90"/>
      <c r="AY344" s="90"/>
      <c r="AZ344" s="567"/>
      <c r="BA344" s="573"/>
      <c r="BB344" s="573"/>
      <c r="BC344" s="567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</row>
    <row r="345" spans="2:79" x14ac:dyDescent="0.3">
      <c r="B345" s="543"/>
      <c r="C345" s="553"/>
      <c r="D345" s="400"/>
      <c r="E345" s="400"/>
      <c r="F345" s="400"/>
      <c r="G345" s="400"/>
      <c r="H345" s="400"/>
      <c r="I345" s="400"/>
      <c r="J345" s="400"/>
      <c r="K345" s="400"/>
      <c r="L345" s="400"/>
      <c r="M345" s="400"/>
      <c r="N345" s="400"/>
      <c r="O345" s="400"/>
      <c r="P345" s="554"/>
      <c r="V345" s="543"/>
      <c r="AD345" s="10"/>
      <c r="AE345" s="10"/>
      <c r="AF345" s="550"/>
      <c r="AG345" s="550"/>
      <c r="AH345" s="550"/>
      <c r="AI345" s="550"/>
      <c r="AJ345" s="567"/>
      <c r="AK345" s="567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90"/>
      <c r="AW345" s="90"/>
      <c r="AX345" s="90"/>
      <c r="AY345" s="90"/>
      <c r="AZ345" s="567"/>
      <c r="BA345" s="573"/>
      <c r="BB345" s="573"/>
      <c r="BC345" s="567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</row>
    <row r="346" spans="2:79" x14ac:dyDescent="0.3">
      <c r="B346" s="543"/>
      <c r="C346" s="555"/>
      <c r="D346" s="545" t="s">
        <v>162</v>
      </c>
      <c r="E346" s="430"/>
      <c r="F346" s="430"/>
      <c r="G346" s="430"/>
      <c r="H346" s="602" t="s">
        <v>20</v>
      </c>
      <c r="I346" s="602"/>
      <c r="J346" s="602"/>
      <c r="K346" s="430"/>
      <c r="L346" s="430"/>
      <c r="M346" s="430"/>
      <c r="N346" s="430"/>
      <c r="O346" s="430"/>
      <c r="P346" s="556"/>
      <c r="V346" s="543"/>
      <c r="AD346" s="10"/>
      <c r="AE346" s="10"/>
      <c r="AF346" s="550"/>
      <c r="AG346" s="550"/>
      <c r="AH346" s="550"/>
      <c r="AI346" s="550"/>
      <c r="AJ346" s="567"/>
      <c r="AK346" s="567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90"/>
      <c r="AW346" s="90"/>
      <c r="AX346" s="90"/>
      <c r="AY346" s="90"/>
      <c r="AZ346" s="567"/>
      <c r="BA346" s="573"/>
      <c r="BB346" s="573"/>
      <c r="BC346" s="567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</row>
    <row r="347" spans="2:79" x14ac:dyDescent="0.3">
      <c r="B347" s="543"/>
      <c r="C347" s="555"/>
      <c r="D347" s="557" t="s">
        <v>163</v>
      </c>
      <c r="E347" s="430"/>
      <c r="F347" s="430"/>
      <c r="G347" s="430"/>
      <c r="H347" s="558" t="s">
        <v>160</v>
      </c>
      <c r="I347" s="545"/>
      <c r="J347" s="559" t="s">
        <v>161</v>
      </c>
      <c r="K347" s="545"/>
      <c r="L347" s="545"/>
      <c r="M347" s="545"/>
      <c r="N347" s="545"/>
      <c r="O347" s="560" t="s">
        <v>3</v>
      </c>
      <c r="P347" s="556"/>
      <c r="V347" s="543"/>
      <c r="AD347" s="10"/>
      <c r="AE347" s="10"/>
      <c r="AF347" s="550"/>
      <c r="AG347" s="550"/>
      <c r="AH347" s="550"/>
      <c r="AI347" s="550"/>
      <c r="AJ347" s="567"/>
      <c r="AK347" s="567"/>
      <c r="AL347" s="572"/>
      <c r="AM347" s="572"/>
      <c r="AN347" s="572"/>
      <c r="AO347" s="572"/>
      <c r="AP347" s="572"/>
      <c r="AQ347" s="572"/>
      <c r="AR347" s="572"/>
      <c r="AS347" s="572"/>
      <c r="AT347" s="572"/>
      <c r="AU347" s="572"/>
      <c r="AV347" s="567"/>
      <c r="AW347" s="567"/>
      <c r="AX347" s="567"/>
      <c r="AY347" s="567"/>
      <c r="AZ347" s="567"/>
      <c r="BA347" s="573"/>
      <c r="BB347" s="573"/>
      <c r="BC347" s="567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</row>
    <row r="348" spans="2:79" x14ac:dyDescent="0.3">
      <c r="B348" s="543"/>
      <c r="C348" s="555"/>
      <c r="D348" s="546" t="s">
        <v>159</v>
      </c>
      <c r="E348" s="15"/>
      <c r="F348" s="15"/>
      <c r="G348" s="15"/>
      <c r="H348" s="561">
        <f>SUM(D133:D139)</f>
        <v>471981</v>
      </c>
      <c r="I348" s="15"/>
      <c r="J348" s="16">
        <f>+H348/7</f>
        <v>67425.857142857145</v>
      </c>
      <c r="K348" s="15"/>
      <c r="L348" s="15"/>
      <c r="M348" s="15"/>
      <c r="N348" s="15"/>
      <c r="O348" s="15"/>
      <c r="P348" s="556"/>
      <c r="V348" s="543"/>
      <c r="AD348" s="10"/>
      <c r="AE348" s="10"/>
      <c r="AF348" s="550"/>
      <c r="AG348" s="550"/>
      <c r="AH348" s="550"/>
      <c r="AI348" s="550"/>
      <c r="AJ348" s="567"/>
      <c r="AK348" s="567"/>
      <c r="AL348" s="572"/>
      <c r="AM348" s="572"/>
      <c r="AN348" s="572"/>
      <c r="AO348" s="572"/>
      <c r="AP348" s="572"/>
      <c r="AQ348" s="572"/>
      <c r="AR348" s="572"/>
      <c r="AS348" s="572"/>
      <c r="AT348" s="572"/>
      <c r="AU348" s="572"/>
      <c r="AV348" s="572"/>
      <c r="AW348" s="572"/>
      <c r="AX348" s="572"/>
      <c r="AY348" s="572"/>
      <c r="AZ348" s="567"/>
      <c r="BA348" s="567"/>
      <c r="BB348" s="573"/>
      <c r="BC348" s="567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</row>
    <row r="349" spans="2:79" x14ac:dyDescent="0.3">
      <c r="B349" s="543"/>
      <c r="C349" s="555"/>
      <c r="D349" s="546" t="s">
        <v>158</v>
      </c>
      <c r="E349" s="15"/>
      <c r="F349" s="15"/>
      <c r="G349" s="15"/>
      <c r="H349" s="16">
        <f>SUM(D140:D146)</f>
        <v>427527</v>
      </c>
      <c r="I349" s="15"/>
      <c r="J349" s="16">
        <f>+H349/7</f>
        <v>61075.285714285717</v>
      </c>
      <c r="K349" s="15"/>
      <c r="L349" s="15"/>
      <c r="M349" s="15"/>
      <c r="N349" s="15"/>
      <c r="O349" s="15"/>
      <c r="P349" s="556"/>
      <c r="V349" s="543"/>
      <c r="AJ349" s="110"/>
      <c r="AK349" s="110"/>
      <c r="AL349" s="110"/>
      <c r="AM349" s="110"/>
      <c r="AN349" s="110"/>
      <c r="AO349" s="110"/>
      <c r="AP349" s="110"/>
      <c r="AQ349" s="110"/>
      <c r="AR349" s="110"/>
      <c r="AS349" s="110"/>
      <c r="AT349" s="90"/>
      <c r="AU349" s="110"/>
      <c r="AV349" s="152"/>
      <c r="AW349" s="152"/>
      <c r="AX349" s="152"/>
      <c r="AY349" s="152"/>
      <c r="AZ349" s="110"/>
      <c r="BA349" s="110"/>
      <c r="BB349" s="110"/>
      <c r="BC349" s="110"/>
    </row>
    <row r="350" spans="2:79" x14ac:dyDescent="0.3">
      <c r="B350" s="549"/>
      <c r="C350" s="555"/>
      <c r="D350" s="546" t="s">
        <v>157</v>
      </c>
      <c r="E350" s="15"/>
      <c r="F350" s="15"/>
      <c r="G350" s="15"/>
      <c r="H350" s="16">
        <f>SUM(D147:D153)</f>
        <v>383516</v>
      </c>
      <c r="I350" s="15"/>
      <c r="J350" s="16">
        <f>+H350/7</f>
        <v>54788</v>
      </c>
      <c r="K350" s="15"/>
      <c r="L350" s="15"/>
      <c r="M350" s="15"/>
      <c r="N350" s="15"/>
      <c r="O350" s="561">
        <f>+H348-H350</f>
        <v>88465</v>
      </c>
      <c r="P350" s="556"/>
      <c r="V350" s="543"/>
      <c r="AA350">
        <f>+O350/7</f>
        <v>12637.857142857143</v>
      </c>
      <c r="AJ350" s="110"/>
      <c r="AK350" s="110"/>
      <c r="AL350" s="110"/>
      <c r="AM350" s="110"/>
      <c r="AN350" s="110"/>
      <c r="AO350" s="110"/>
      <c r="AP350" s="110"/>
      <c r="AQ350" s="110"/>
      <c r="AR350" s="110"/>
      <c r="AS350" s="110"/>
      <c r="AT350" s="110"/>
      <c r="AU350" s="110"/>
      <c r="AV350" s="90"/>
      <c r="AW350" s="90"/>
      <c r="AX350" s="90"/>
      <c r="AY350" s="90"/>
      <c r="AZ350" s="110"/>
      <c r="BA350" s="153"/>
      <c r="BB350" s="110"/>
      <c r="BC350" s="110"/>
    </row>
    <row r="351" spans="2:79" x14ac:dyDescent="0.3">
      <c r="B351" s="550"/>
      <c r="C351" s="555"/>
      <c r="D351" s="562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60">
        <f>+O350/H348</f>
        <v>0.18743339244588236</v>
      </c>
      <c r="P351" s="556"/>
      <c r="V351" s="543"/>
      <c r="X351" s="61"/>
      <c r="Y351" s="61"/>
      <c r="Z351" s="110"/>
      <c r="AA351" s="110"/>
      <c r="AB351" s="110"/>
      <c r="AC351" s="110"/>
      <c r="AD351" s="110"/>
      <c r="AE351" s="110"/>
      <c r="AF351" s="110"/>
      <c r="AG351" s="110"/>
      <c r="AH351" s="110"/>
      <c r="AI351" s="110"/>
      <c r="AJ351" s="110"/>
      <c r="AK351" s="110"/>
      <c r="AL351" s="110"/>
      <c r="AM351" s="110"/>
      <c r="AN351" s="110"/>
      <c r="AO351" s="110"/>
      <c r="AP351" s="90">
        <v>480454</v>
      </c>
      <c r="AQ351" s="110"/>
      <c r="AR351" s="110"/>
      <c r="AS351" s="110"/>
      <c r="AT351" s="110"/>
      <c r="AU351" s="110"/>
      <c r="AV351" s="110"/>
      <c r="AW351" s="110"/>
      <c r="AX351" s="110"/>
      <c r="AY351" s="110"/>
      <c r="AZ351" s="110"/>
      <c r="BA351" s="110"/>
      <c r="BB351" s="110"/>
      <c r="BC351" s="110"/>
    </row>
    <row r="352" spans="2:79" ht="15" thickBot="1" x14ac:dyDescent="0.35">
      <c r="B352" s="550"/>
      <c r="C352" s="563"/>
      <c r="D352" s="564"/>
      <c r="E352" s="564"/>
      <c r="F352" s="564"/>
      <c r="G352" s="564"/>
      <c r="H352" s="564"/>
      <c r="I352" s="564"/>
      <c r="J352" s="565"/>
      <c r="K352" s="564"/>
      <c r="L352" s="564"/>
      <c r="M352" s="564"/>
      <c r="N352" s="564"/>
      <c r="O352" s="564"/>
      <c r="P352" s="566"/>
      <c r="V352" s="543"/>
      <c r="X352" s="61"/>
      <c r="Y352" s="61"/>
      <c r="Z352" s="110"/>
      <c r="AA352" s="110"/>
      <c r="AB352" s="110"/>
      <c r="AC352" s="110"/>
      <c r="AD352" s="110"/>
      <c r="AE352" s="110"/>
      <c r="AF352" s="110"/>
      <c r="AG352" s="110"/>
      <c r="AH352" s="110"/>
      <c r="AI352" s="110"/>
      <c r="AJ352" s="110"/>
      <c r="AK352" s="110"/>
      <c r="AL352" s="110"/>
      <c r="AM352" s="110"/>
      <c r="AN352" s="110"/>
      <c r="AO352" s="110"/>
      <c r="AP352" s="152">
        <f>+N201</f>
        <v>290088</v>
      </c>
      <c r="AQ352" s="110"/>
      <c r="AR352" s="110"/>
      <c r="AS352" s="110"/>
      <c r="AT352" s="110"/>
      <c r="AU352" s="110"/>
      <c r="AV352" s="110"/>
      <c r="AW352" s="110"/>
      <c r="AX352" s="110"/>
      <c r="AY352" s="110"/>
      <c r="AZ352" s="110"/>
      <c r="BA352" s="110"/>
      <c r="BB352" s="110"/>
      <c r="BC352" s="110"/>
    </row>
    <row r="353" spans="2:61" x14ac:dyDescent="0.3">
      <c r="B353" s="550"/>
      <c r="C353" s="543"/>
      <c r="D353" s="551"/>
      <c r="E353" s="543"/>
      <c r="F353" s="543"/>
      <c r="G353" s="543"/>
      <c r="H353" s="552"/>
      <c r="I353" s="543"/>
      <c r="J353" s="543"/>
      <c r="K353" s="543"/>
      <c r="L353" s="543"/>
      <c r="M353" s="543"/>
      <c r="N353" s="543"/>
      <c r="O353" s="543"/>
      <c r="P353" s="543"/>
      <c r="Q353" s="543"/>
      <c r="R353" s="543"/>
      <c r="S353" s="543"/>
      <c r="T353" s="543"/>
      <c r="U353" s="543"/>
      <c r="V353" s="543"/>
      <c r="X353" s="61"/>
      <c r="Y353" s="61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0"/>
      <c r="AK353" s="110"/>
      <c r="AL353" s="110"/>
      <c r="AM353" s="110"/>
      <c r="AN353" s="110"/>
      <c r="AO353" s="110"/>
      <c r="AP353" s="152">
        <f>+AP351-AP352</f>
        <v>190366</v>
      </c>
      <c r="AQ353" s="110"/>
      <c r="AR353" s="110"/>
    </row>
    <row r="354" spans="2:61" x14ac:dyDescent="0.3">
      <c r="B354" s="1"/>
      <c r="D354" s="55"/>
      <c r="X354" s="61"/>
      <c r="Y354" s="61"/>
      <c r="Z354" s="110"/>
      <c r="AA354" s="110"/>
      <c r="AB354" s="110"/>
      <c r="AC354" s="110"/>
      <c r="AD354" s="110"/>
      <c r="AE354" s="110"/>
      <c r="AF354" s="110"/>
      <c r="AG354" s="110"/>
      <c r="AH354" s="110"/>
      <c r="AI354" s="110"/>
      <c r="AJ354" s="110"/>
      <c r="AK354" s="110"/>
      <c r="AL354" s="110"/>
      <c r="AM354" s="110"/>
      <c r="AN354" s="110"/>
      <c r="AO354" s="110"/>
      <c r="AP354" s="96">
        <f>+AP353/AP351</f>
        <v>0.3962210742339537</v>
      </c>
      <c r="AQ354" s="110"/>
      <c r="AR354" s="110"/>
    </row>
    <row r="355" spans="2:61" x14ac:dyDescent="0.3">
      <c r="B355" s="55"/>
      <c r="D355" s="55"/>
      <c r="J355" s="56">
        <f>+J348-J350</f>
        <v>12637.857142857145</v>
      </c>
      <c r="X355" s="61"/>
      <c r="Y355" s="61"/>
      <c r="Z355" s="110"/>
      <c r="AA355" s="110"/>
      <c r="AB355" s="110"/>
      <c r="AC355" s="110"/>
      <c r="AD355" s="110"/>
      <c r="AE355" s="110"/>
      <c r="AF355" s="110"/>
      <c r="AG355" s="110"/>
      <c r="AH355" s="110"/>
      <c r="AI355" s="110"/>
      <c r="AJ355" s="110"/>
      <c r="AK355" s="110"/>
      <c r="AL355" s="110"/>
      <c r="AM355" s="110"/>
      <c r="AN355" s="110"/>
      <c r="AO355" s="110"/>
      <c r="AP355" s="110"/>
      <c r="AQ355" s="110"/>
      <c r="AR355" s="110"/>
    </row>
    <row r="356" spans="2:61" x14ac:dyDescent="0.3">
      <c r="B356" s="57"/>
      <c r="D356" s="55"/>
      <c r="X356" s="61"/>
      <c r="Y356" s="61"/>
      <c r="Z356" s="110"/>
      <c r="AA356" s="110"/>
      <c r="AB356" s="110"/>
      <c r="AC356" s="110"/>
      <c r="AD356" s="110"/>
      <c r="AE356" s="110"/>
      <c r="AF356" s="110"/>
      <c r="AG356" s="110"/>
      <c r="AH356" s="110"/>
      <c r="AI356" s="110"/>
      <c r="AJ356" s="110"/>
      <c r="AK356" s="110"/>
      <c r="AL356" s="110"/>
      <c r="AM356" s="110"/>
      <c r="AN356" s="110"/>
      <c r="AO356" s="110"/>
      <c r="AP356" s="110"/>
      <c r="AQ356" s="110"/>
      <c r="AR356" s="110"/>
    </row>
    <row r="357" spans="2:61" x14ac:dyDescent="0.3">
      <c r="B357" s="1"/>
      <c r="D357" s="55"/>
      <c r="X357" s="61"/>
      <c r="Y357" s="61"/>
      <c r="Z357" s="110"/>
      <c r="AA357" s="110"/>
      <c r="AB357" s="110"/>
      <c r="AC357" s="110"/>
      <c r="AD357" s="110"/>
      <c r="AE357" s="110"/>
      <c r="AF357" s="110"/>
      <c r="AG357" s="110"/>
      <c r="AH357" s="110"/>
      <c r="AI357" s="110"/>
      <c r="AJ357" s="110"/>
      <c r="AK357" s="110"/>
      <c r="AL357" s="110"/>
      <c r="AM357" s="110"/>
      <c r="AN357" s="110"/>
      <c r="AO357" s="110"/>
      <c r="AP357" s="110"/>
      <c r="AQ357" s="110"/>
      <c r="AR357" s="110"/>
    </row>
    <row r="358" spans="2:61" x14ac:dyDescent="0.3">
      <c r="B358" s="1"/>
      <c r="D358" s="55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</row>
    <row r="359" spans="2:61" x14ac:dyDescent="0.3">
      <c r="B359" s="1"/>
      <c r="D359" s="55"/>
      <c r="AT359" s="543"/>
      <c r="AU359" s="543"/>
      <c r="AV359" s="543"/>
      <c r="AW359" s="543"/>
      <c r="AX359" s="543"/>
      <c r="AY359" s="543"/>
      <c r="AZ359" s="543"/>
      <c r="BA359" s="543"/>
      <c r="BB359" s="543"/>
      <c r="BC359" s="543"/>
      <c r="BD359" s="543"/>
      <c r="BE359" s="543"/>
      <c r="BF359" s="543"/>
      <c r="BG359" s="543"/>
      <c r="BH359" s="543"/>
      <c r="BI359" s="543"/>
    </row>
    <row r="360" spans="2:61" ht="15.6" x14ac:dyDescent="0.3">
      <c r="B360" s="1"/>
      <c r="D360" s="55"/>
      <c r="AT360" s="543"/>
      <c r="AU360" s="576"/>
      <c r="AV360" s="577"/>
      <c r="AW360" s="577"/>
      <c r="AX360" s="577"/>
      <c r="AY360" s="577"/>
      <c r="AZ360" s="577"/>
      <c r="BA360" s="577"/>
      <c r="BB360" s="577"/>
      <c r="BC360" s="577"/>
      <c r="BD360" s="577"/>
      <c r="BE360" s="577" t="s">
        <v>169</v>
      </c>
      <c r="BF360" s="577"/>
      <c r="BG360" s="577" t="s">
        <v>2</v>
      </c>
      <c r="BH360" s="576"/>
      <c r="BI360" s="543"/>
    </row>
    <row r="361" spans="2:61" ht="16.2" thickBot="1" x14ac:dyDescent="0.35">
      <c r="B361" s="57" t="e">
        <f>+B360/B359</f>
        <v>#DIV/0!</v>
      </c>
      <c r="D361" s="55"/>
      <c r="AT361" s="543"/>
      <c r="AU361" s="576"/>
      <c r="AV361" s="639" t="s">
        <v>168</v>
      </c>
      <c r="AW361" s="639"/>
      <c r="AX361" s="639"/>
      <c r="AY361" s="577"/>
      <c r="AZ361" s="577"/>
      <c r="BA361" s="578" t="s">
        <v>20</v>
      </c>
      <c r="BB361" s="577"/>
      <c r="BC361" s="578" t="s">
        <v>3</v>
      </c>
      <c r="BD361" s="577"/>
      <c r="BE361" s="578" t="s">
        <v>73</v>
      </c>
      <c r="BF361" s="577"/>
      <c r="BG361" s="578" t="s">
        <v>73</v>
      </c>
      <c r="BH361" s="576"/>
      <c r="BI361" s="543"/>
    </row>
    <row r="362" spans="2:61" ht="21" x14ac:dyDescent="0.4">
      <c r="B362" s="1"/>
      <c r="D362" s="55"/>
      <c r="AT362" s="543"/>
      <c r="AU362" s="576"/>
      <c r="AV362" s="579" t="s">
        <v>156</v>
      </c>
      <c r="AW362" s="576"/>
      <c r="AX362" s="580"/>
      <c r="AY362" s="576"/>
      <c r="AZ362" s="576"/>
      <c r="BA362" s="581">
        <f>+N143</f>
        <v>1970617</v>
      </c>
      <c r="BB362" s="580"/>
      <c r="BC362" s="580"/>
      <c r="BD362" s="580"/>
      <c r="BE362" s="580"/>
      <c r="BF362" s="580"/>
      <c r="BG362" s="580"/>
      <c r="BH362" s="576"/>
      <c r="BI362" s="543"/>
    </row>
    <row r="363" spans="2:61" ht="21" x14ac:dyDescent="0.4">
      <c r="B363" s="1"/>
      <c r="D363" s="55"/>
      <c r="AT363" s="543"/>
      <c r="AU363" s="576"/>
      <c r="AV363" s="579" t="s">
        <v>164</v>
      </c>
      <c r="AW363" s="576"/>
      <c r="AX363" s="580"/>
      <c r="AY363" s="576"/>
      <c r="AZ363" s="576"/>
      <c r="BA363" s="581">
        <f>+N174</f>
        <v>1493931</v>
      </c>
      <c r="BB363" s="580"/>
      <c r="BC363" s="581">
        <f>+BA363-BA362</f>
        <v>-476686</v>
      </c>
      <c r="BD363" s="580"/>
      <c r="BE363" s="582">
        <f>+BC363/BA362</f>
        <v>-0.24189682723735764</v>
      </c>
      <c r="BF363" s="580"/>
      <c r="BG363" s="580"/>
      <c r="BH363" s="576"/>
      <c r="BI363" s="543"/>
    </row>
    <row r="364" spans="2:61" ht="21" x14ac:dyDescent="0.4">
      <c r="B364" s="1">
        <f>+B360*50</f>
        <v>0</v>
      </c>
      <c r="D364" s="55"/>
      <c r="AT364" s="543"/>
      <c r="AU364" s="576"/>
      <c r="AV364" s="579" t="s">
        <v>165</v>
      </c>
      <c r="AW364" s="576"/>
      <c r="AX364" s="580"/>
      <c r="AY364" s="576"/>
      <c r="AZ364" s="576"/>
      <c r="BA364" s="581">
        <f>+N204</f>
        <v>1202331</v>
      </c>
      <c r="BB364" s="580"/>
      <c r="BC364" s="581">
        <f>+BA364-BA363</f>
        <v>-291600</v>
      </c>
      <c r="BD364" s="580"/>
      <c r="BE364" s="582">
        <f>+BC364/BA363</f>
        <v>-0.19518973767864781</v>
      </c>
      <c r="BF364" s="580"/>
      <c r="BG364" s="580"/>
      <c r="BH364" s="576"/>
      <c r="BI364" s="543"/>
    </row>
    <row r="365" spans="2:61" ht="21" x14ac:dyDescent="0.4">
      <c r="B365" s="1"/>
      <c r="D365" s="55"/>
      <c r="AT365" s="543"/>
      <c r="AU365" s="576"/>
      <c r="AV365" s="579" t="s">
        <v>166</v>
      </c>
      <c r="AW365" s="576"/>
      <c r="AX365" s="580"/>
      <c r="AY365" s="576"/>
      <c r="AZ365" s="583" t="s">
        <v>28</v>
      </c>
      <c r="BA365" s="581">
        <f>+N218</f>
        <v>371489</v>
      </c>
      <c r="BB365" s="580"/>
      <c r="BC365" s="581">
        <f>+BA365-BA364</f>
        <v>-830842</v>
      </c>
      <c r="BD365" s="580"/>
      <c r="BE365" s="582">
        <f>+BC365/BA364</f>
        <v>-0.69102601529861574</v>
      </c>
      <c r="BF365" s="580"/>
      <c r="BG365" s="582">
        <f>+(BA365-BA362)/BA362</f>
        <v>-0.81148594577231392</v>
      </c>
      <c r="BH365" s="576"/>
      <c r="BI365" s="543"/>
    </row>
    <row r="366" spans="2:61" x14ac:dyDescent="0.3">
      <c r="B366" s="1"/>
      <c r="D366" s="55"/>
      <c r="AT366" s="543"/>
      <c r="AU366" s="576"/>
      <c r="AV366" s="576"/>
      <c r="AW366" s="576"/>
      <c r="AX366" s="576"/>
      <c r="AY366" s="576"/>
      <c r="AZ366" s="576"/>
      <c r="BA366" s="576"/>
      <c r="BB366" s="576"/>
      <c r="BC366" s="576"/>
      <c r="BD366" s="576"/>
      <c r="BE366" s="576"/>
      <c r="BF366" s="576"/>
      <c r="BG366" s="576"/>
      <c r="BH366" s="576"/>
      <c r="BI366" s="543"/>
    </row>
    <row r="367" spans="2:61" ht="16.2" x14ac:dyDescent="0.3">
      <c r="B367" s="1"/>
      <c r="D367" s="55"/>
      <c r="AT367" s="543"/>
      <c r="AU367" s="576"/>
      <c r="AV367" s="576"/>
      <c r="AW367" s="576"/>
      <c r="AX367" s="584" t="s">
        <v>28</v>
      </c>
      <c r="AY367" s="576"/>
      <c r="AZ367" s="585" t="s">
        <v>167</v>
      </c>
      <c r="BA367" s="576"/>
      <c r="BB367" s="576"/>
      <c r="BC367" s="576"/>
      <c r="BD367" s="576"/>
      <c r="BE367" s="576"/>
      <c r="BF367" s="576"/>
      <c r="BG367" s="576"/>
      <c r="BH367" s="576"/>
      <c r="BI367" s="543"/>
    </row>
    <row r="368" spans="2:61" x14ac:dyDescent="0.3">
      <c r="B368" s="1"/>
      <c r="D368" s="55"/>
      <c r="AT368" s="543"/>
      <c r="AU368" s="576"/>
      <c r="AV368" s="576"/>
      <c r="AW368" s="576"/>
      <c r="AX368" s="576"/>
      <c r="AY368" s="576"/>
      <c r="AZ368" s="576"/>
      <c r="BA368" s="576"/>
      <c r="BB368" s="576"/>
      <c r="BC368" s="576"/>
      <c r="BD368" s="576"/>
      <c r="BE368" s="576"/>
      <c r="BF368" s="576"/>
      <c r="BG368" s="576"/>
      <c r="BH368" s="576"/>
      <c r="BI368" s="543"/>
    </row>
    <row r="369" spans="2:61" x14ac:dyDescent="0.3">
      <c r="B369" s="1"/>
      <c r="D369" s="55"/>
      <c r="AT369" s="575"/>
      <c r="AU369" s="575"/>
      <c r="AV369" s="575"/>
      <c r="AW369" s="575"/>
      <c r="AX369" s="575"/>
      <c r="AY369" s="575"/>
      <c r="AZ369" s="575"/>
      <c r="BA369" s="575"/>
      <c r="BB369" s="575"/>
      <c r="BC369" s="575"/>
      <c r="BD369" s="575"/>
      <c r="BE369" s="575"/>
      <c r="BF369" s="575"/>
      <c r="BG369" s="575"/>
      <c r="BH369" s="575"/>
      <c r="BI369" s="575"/>
    </row>
    <row r="370" spans="2:61" x14ac:dyDescent="0.3">
      <c r="B370" s="1"/>
      <c r="D370" s="55"/>
    </row>
    <row r="371" spans="2:61" x14ac:dyDescent="0.3">
      <c r="B371" s="1"/>
      <c r="D371" s="55"/>
      <c r="AS371" s="543"/>
      <c r="AT371" s="543"/>
      <c r="AU371" s="543"/>
      <c r="AV371" s="543"/>
      <c r="AW371" s="543"/>
      <c r="AX371" s="543"/>
      <c r="AY371" s="543"/>
      <c r="AZ371" s="543"/>
      <c r="BA371" s="543"/>
      <c r="BB371" s="543"/>
      <c r="BC371" s="543"/>
      <c r="BD371" s="543"/>
      <c r="BE371" s="543"/>
      <c r="BF371" s="543"/>
      <c r="BG371" s="543"/>
      <c r="BH371" s="543"/>
      <c r="BI371" s="543"/>
    </row>
    <row r="372" spans="2:61" x14ac:dyDescent="0.3">
      <c r="B372" s="1"/>
      <c r="D372" s="55"/>
      <c r="AT372" s="543"/>
      <c r="AU372" s="593"/>
      <c r="AV372" s="593"/>
      <c r="AW372" s="593"/>
      <c r="AX372" s="593"/>
      <c r="AY372" s="593"/>
      <c r="AZ372" s="593"/>
      <c r="BA372" s="593"/>
      <c r="BB372" s="593"/>
      <c r="BC372" s="593"/>
      <c r="BD372" s="593"/>
      <c r="BE372" s="593"/>
      <c r="BF372" s="593"/>
      <c r="BG372" s="593"/>
      <c r="BH372" s="593"/>
      <c r="BI372" s="543"/>
    </row>
    <row r="373" spans="2:61" ht="15" thickBot="1" x14ac:dyDescent="0.35">
      <c r="B373" s="1"/>
      <c r="D373" s="55"/>
      <c r="AT373" s="543"/>
      <c r="AU373" s="593"/>
      <c r="AV373" s="636" t="s">
        <v>173</v>
      </c>
      <c r="AW373" s="636"/>
      <c r="AX373" s="636"/>
      <c r="AY373" s="594"/>
      <c r="AZ373" s="594"/>
      <c r="BA373" s="595" t="s">
        <v>25</v>
      </c>
      <c r="BB373" s="596"/>
      <c r="BC373" s="595" t="s">
        <v>3</v>
      </c>
      <c r="BD373" s="596"/>
      <c r="BE373" s="595" t="s">
        <v>20</v>
      </c>
      <c r="BF373" s="596"/>
      <c r="BG373" s="595" t="s">
        <v>22</v>
      </c>
      <c r="BH373" s="593"/>
      <c r="BI373" s="543"/>
    </row>
    <row r="374" spans="2:61" x14ac:dyDescent="0.3">
      <c r="B374" s="1"/>
      <c r="AT374" s="543"/>
      <c r="AU374" s="593"/>
      <c r="AV374" s="594" t="s">
        <v>156</v>
      </c>
      <c r="AW374" s="594"/>
      <c r="AX374" s="594"/>
      <c r="AY374" s="594"/>
      <c r="AZ374" s="594"/>
      <c r="BA374" s="597">
        <f>+BK275</f>
        <v>13351981</v>
      </c>
      <c r="BB374" s="594"/>
      <c r="BC374" s="594"/>
      <c r="BD374" s="594"/>
      <c r="BE374" s="598">
        <f>+N143</f>
        <v>1970617</v>
      </c>
      <c r="BF374" s="594"/>
      <c r="BG374" s="599">
        <f>+BE374/BA374</f>
        <v>0.14758985951223269</v>
      </c>
      <c r="BH374" s="593"/>
      <c r="BI374" s="543"/>
    </row>
    <row r="375" spans="2:61" x14ac:dyDescent="0.3">
      <c r="B375" s="1"/>
      <c r="AT375" s="543"/>
      <c r="AU375" s="593"/>
      <c r="AV375" s="594"/>
      <c r="AW375" s="594"/>
      <c r="AX375" s="594"/>
      <c r="AY375" s="594"/>
      <c r="AZ375" s="594"/>
      <c r="BA375" s="597"/>
      <c r="BB375" s="594"/>
      <c r="BC375" s="594"/>
      <c r="BD375" s="594"/>
      <c r="BE375" s="594"/>
      <c r="BF375" s="594"/>
      <c r="BG375" s="599"/>
      <c r="BH375" s="593"/>
      <c r="BI375" s="543"/>
    </row>
    <row r="376" spans="2:61" x14ac:dyDescent="0.3">
      <c r="B376" s="1"/>
      <c r="AT376" s="543"/>
      <c r="AU376" s="593"/>
      <c r="AV376" s="594" t="s">
        <v>172</v>
      </c>
      <c r="AW376" s="594"/>
      <c r="AX376" s="594"/>
      <c r="AY376" s="594"/>
      <c r="AZ376" s="594"/>
      <c r="BA376" s="597">
        <v>52440389</v>
      </c>
      <c r="BB376" s="594"/>
      <c r="BC376" s="599">
        <f>+(BA376-BA374)/BA374</f>
        <v>2.9275362210296736</v>
      </c>
      <c r="BD376" s="594"/>
      <c r="BE376" s="598">
        <f>+N273</f>
        <v>1462688</v>
      </c>
      <c r="BF376" s="594"/>
      <c r="BG376" s="599">
        <f>+BE376/BA376</f>
        <v>2.7892394162064665E-2</v>
      </c>
      <c r="BH376" s="593"/>
      <c r="BI376" s="543"/>
    </row>
    <row r="377" spans="2:61" x14ac:dyDescent="0.3">
      <c r="B377" s="1"/>
      <c r="AT377" s="543"/>
      <c r="AU377" s="593"/>
      <c r="AV377" s="594"/>
      <c r="AW377" s="594"/>
      <c r="AX377" s="594"/>
      <c r="AY377" s="594"/>
      <c r="AZ377" s="594"/>
      <c r="BA377" s="597"/>
      <c r="BB377" s="594"/>
      <c r="BC377" s="594"/>
      <c r="BD377" s="594"/>
      <c r="BE377" s="594"/>
      <c r="BF377" s="594"/>
      <c r="BG377" s="594"/>
      <c r="BH377" s="593"/>
      <c r="BI377" s="543"/>
    </row>
    <row r="378" spans="2:61" x14ac:dyDescent="0.3">
      <c r="B378" s="1"/>
      <c r="AT378" s="543"/>
      <c r="AU378" s="593"/>
      <c r="AV378" s="637" t="s">
        <v>118</v>
      </c>
      <c r="AW378" s="637"/>
      <c r="AX378" s="637"/>
      <c r="AY378" s="637"/>
      <c r="AZ378" s="594"/>
      <c r="BA378" s="598">
        <f>+BA376-BA374</f>
        <v>39088408</v>
      </c>
      <c r="BB378" s="594"/>
      <c r="BC378" s="594"/>
      <c r="BD378" s="594"/>
      <c r="BE378" s="598">
        <f>+BE376-BE374</f>
        <v>-507929</v>
      </c>
      <c r="BF378" s="594"/>
      <c r="BG378" s="601"/>
      <c r="BH378" s="593"/>
      <c r="BI378" s="543"/>
    </row>
    <row r="379" spans="2:61" x14ac:dyDescent="0.3">
      <c r="B379" s="1"/>
      <c r="AT379" s="543"/>
      <c r="AU379" s="593"/>
      <c r="AV379" s="593"/>
      <c r="AW379" s="593"/>
      <c r="AX379" s="593"/>
      <c r="AY379" s="593"/>
      <c r="AZ379" s="593"/>
      <c r="BA379" s="593"/>
      <c r="BB379" s="593"/>
      <c r="BC379" s="593"/>
      <c r="BD379" s="593"/>
      <c r="BE379" s="593"/>
      <c r="BF379" s="593"/>
      <c r="BG379" s="593"/>
      <c r="BH379" s="593"/>
      <c r="BI379" s="543"/>
    </row>
    <row r="380" spans="2:61" x14ac:dyDescent="0.3">
      <c r="B380" s="1"/>
      <c r="AT380" s="543"/>
      <c r="AU380" s="543"/>
      <c r="AV380" s="543"/>
      <c r="AW380" s="543"/>
      <c r="AX380" s="543"/>
      <c r="AY380" s="543"/>
      <c r="AZ380" s="543"/>
      <c r="BA380" s="543"/>
      <c r="BB380" s="543"/>
      <c r="BC380" s="543"/>
      <c r="BD380" s="543"/>
      <c r="BE380" s="600"/>
      <c r="BF380" s="543"/>
      <c r="BG380" s="550"/>
      <c r="BH380" s="543"/>
      <c r="BI380" s="543"/>
    </row>
    <row r="381" spans="2:61" x14ac:dyDescent="0.3">
      <c r="B381" s="1"/>
    </row>
    <row r="382" spans="2:61" x14ac:dyDescent="0.3">
      <c r="BE382" s="56"/>
    </row>
    <row r="383" spans="2:61" x14ac:dyDescent="0.3">
      <c r="BE383" s="273"/>
    </row>
  </sheetData>
  <mergeCells count="31">
    <mergeCell ref="AV373:AX373"/>
    <mergeCell ref="AV378:AY378"/>
    <mergeCell ref="AK324:AN324"/>
    <mergeCell ref="AK313:AV313"/>
    <mergeCell ref="AK315:AN315"/>
    <mergeCell ref="AV361:AX361"/>
    <mergeCell ref="AK316:AN316"/>
    <mergeCell ref="AK317:AN317"/>
    <mergeCell ref="AK318:AN318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H346:J346"/>
    <mergeCell ref="AK323:AN323"/>
    <mergeCell ref="AK314:AN314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ignoredErrors>
    <ignoredError sqref="AP319:AP321 AR319:AR3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314"/>
  <sheetViews>
    <sheetView topLeftCell="A269" workbookViewId="0">
      <selection activeCell="AF30" sqref="AF30"/>
    </sheetView>
  </sheetViews>
  <sheetFormatPr defaultRowHeight="14.4" outlineLevelRow="1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42" t="s">
        <v>7</v>
      </c>
      <c r="F7" s="643"/>
      <c r="G7" s="647">
        <v>0.7</v>
      </c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8"/>
    </row>
    <row r="8" spans="3:40" x14ac:dyDescent="0.3">
      <c r="E8" s="644" t="s">
        <v>123</v>
      </c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5"/>
      <c r="R8" s="645"/>
      <c r="S8" s="645"/>
      <c r="T8" s="645"/>
      <c r="U8" s="646"/>
    </row>
    <row r="9" spans="3:40" x14ac:dyDescent="0.3">
      <c r="E9" s="662" t="s">
        <v>37</v>
      </c>
      <c r="F9" s="663"/>
      <c r="G9" s="663"/>
      <c r="H9" s="663"/>
      <c r="I9" s="663"/>
      <c r="J9" s="663"/>
      <c r="K9" s="663"/>
      <c r="L9" s="663"/>
      <c r="M9" s="663"/>
      <c r="N9" s="663"/>
      <c r="O9" s="663"/>
      <c r="P9" s="664"/>
      <c r="Q9" s="660" t="s">
        <v>116</v>
      </c>
      <c r="R9" s="5"/>
      <c r="S9" s="657" t="s">
        <v>4</v>
      </c>
      <c r="T9" s="658"/>
      <c r="U9" s="659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61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54" t="s">
        <v>48</v>
      </c>
      <c r="AE14" s="655"/>
      <c r="AF14" s="656"/>
      <c r="AG14" s="206"/>
      <c r="AH14" s="652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53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+K302</f>
        <v>1556109</v>
      </c>
      <c r="AG16" s="200"/>
      <c r="AH16" s="214">
        <f>+AJ31</f>
        <v>4928.8080677058642</v>
      </c>
      <c r="AI16" s="214"/>
      <c r="AJ16" s="215">
        <f>+S302</f>
        <v>61832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352736</v>
      </c>
      <c r="AG17" s="201"/>
      <c r="AH17" s="162">
        <v>5118</v>
      </c>
      <c r="AI17" s="214"/>
      <c r="AJ17" s="161">
        <v>12110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613272</v>
      </c>
      <c r="AG18" s="201"/>
      <c r="AH18" s="162">
        <v>4790</v>
      </c>
      <c r="AI18" s="214"/>
      <c r="AJ18" s="161">
        <v>14969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2522117</v>
      </c>
      <c r="AG19" s="201"/>
      <c r="AH19" s="201"/>
      <c r="AI19" s="201"/>
      <c r="AJ19" s="219">
        <f>SUM(AJ16:AJ18)</f>
        <v>88911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Table'!H300</f>
        <v>0.13144494656192557</v>
      </c>
      <c r="AG21" s="201"/>
      <c r="AH21" s="201"/>
      <c r="AI21" s="201"/>
      <c r="AJ21" s="221">
        <f>+AJ19/'Main Table'!AA300</f>
        <v>0.26235172617291236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54" t="s">
        <v>133</v>
      </c>
      <c r="AB25" s="655"/>
      <c r="AC25" s="655"/>
      <c r="AD25" s="655"/>
      <c r="AE25" s="655"/>
      <c r="AF25" s="655"/>
      <c r="AG25" s="655"/>
      <c r="AH25" s="655"/>
      <c r="AI25" s="655"/>
      <c r="AJ25" s="655"/>
      <c r="AK25" s="656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+E302</f>
        <v>922145</v>
      </c>
      <c r="AE27" s="168"/>
      <c r="AF27" s="199">
        <v>4740</v>
      </c>
      <c r="AG27" s="168"/>
      <c r="AH27" s="190">
        <f>+AD27/AD$31</f>
        <v>0.48309055999832362</v>
      </c>
      <c r="AI27" s="190"/>
      <c r="AJ27" s="168">
        <f>+AF27*AH27</f>
        <v>2289.8492543920538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+G302</f>
        <v>461221</v>
      </c>
      <c r="AE28" s="168"/>
      <c r="AF28" s="199">
        <v>5193</v>
      </c>
      <c r="AG28" s="168"/>
      <c r="AH28" s="190">
        <f>+AD28/AD$31</f>
        <v>0.2416230757342791</v>
      </c>
      <c r="AI28" s="190"/>
      <c r="AJ28" s="168">
        <f>+AF28*AH28</f>
        <v>1254.7486322881114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+I302</f>
        <v>172743</v>
      </c>
      <c r="AE29" s="168"/>
      <c r="AF29" s="199">
        <v>4845</v>
      </c>
      <c r="AG29" s="168"/>
      <c r="AH29" s="190">
        <f>+AD29/AD$31</f>
        <v>9.0496085329086443E-2</v>
      </c>
      <c r="AI29" s="190"/>
      <c r="AJ29" s="168">
        <f>+AF29*AH29</f>
        <v>438.45353341942382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352736</v>
      </c>
      <c r="AE30" s="280"/>
      <c r="AF30" s="168">
        <f>+AH17</f>
        <v>5118</v>
      </c>
      <c r="AG30" s="280"/>
      <c r="AH30" s="190">
        <f>+AD30/AD$31</f>
        <v>0.18479027893831088</v>
      </c>
      <c r="AI30" s="280"/>
      <c r="AJ30" s="168">
        <f>+AF30*AH30</f>
        <v>945.75664760627501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1908845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4928.8080677058642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49" t="s">
        <v>31</v>
      </c>
      <c r="AB36" s="650"/>
      <c r="AC36" s="650"/>
      <c r="AD36" s="650"/>
      <c r="AE36" s="650"/>
      <c r="AF36" s="650"/>
      <c r="AG36" s="650"/>
      <c r="AH36" s="650"/>
      <c r="AI36" s="651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Table'!AA300</f>
        <v>338900</v>
      </c>
      <c r="AJ49" s="56">
        <f>+AJ19</f>
        <v>88911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88911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249989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104995.37999999999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144993.62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0.42783599881971079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hidden="1" outlineLevel="1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hidden="1" outlineLevel="1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hidden="1" outlineLevel="1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hidden="1" outlineLevel="1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hidden="1" outlineLevel="1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hidden="1" outlineLevel="1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hidden="1" outlineLevel="1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hidden="1" outlineLevel="1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hidden="1" outlineLevel="1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hidden="1" outlineLevel="1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hidden="1" outlineLevel="1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hidden="1" outlineLevel="1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hidden="1" outlineLevel="1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hidden="1" outlineLevel="1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hidden="1" outlineLevel="1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hidden="1" outlineLevel="1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hidden="1" outlineLevel="1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hidden="1" outlineLevel="1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hidden="1" outlineLevel="1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hidden="1" outlineLevel="1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hidden="1" outlineLevel="1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hidden="1" outlineLevel="1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hidden="1" outlineLevel="1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hidden="1" outlineLevel="1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hidden="1" outlineLevel="1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hidden="1" outlineLevel="1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hidden="1" outlineLevel="1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hidden="1" outlineLevel="1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hidden="1" outlineLevel="1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hidden="1" outlineLevel="1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hidden="1" outlineLevel="1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hidden="1" outlineLevel="1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hidden="1" outlineLevel="1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hidden="1" outlineLevel="1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hidden="1" outlineLevel="1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hidden="1" outlineLevel="1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hidden="1" outlineLevel="1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hidden="1" outlineLevel="1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hidden="1" outlineLevel="1" x14ac:dyDescent="0.3">
      <c r="C98" s="170">
        <f t="shared" ref="C98:C300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300" si="20">+W97+1</f>
        <v>88</v>
      </c>
      <c r="Y98" s="56"/>
    </row>
    <row r="99" spans="3:25" hidden="1" outlineLevel="1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hidden="1" outlineLevel="1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hidden="1" outlineLevel="1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hidden="1" outlineLevel="1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hidden="1" outlineLevel="1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hidden="1" outlineLevel="1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hidden="1" outlineLevel="1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hidden="1" outlineLevel="1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hidden="1" outlineLevel="1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hidden="1" outlineLevel="1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hidden="1" outlineLevel="1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hidden="1" outlineLevel="1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hidden="1" outlineLevel="1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hidden="1" outlineLevel="1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hidden="1" outlineLevel="1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hidden="1" outlineLevel="1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hidden="1" outlineLevel="1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hidden="1" outlineLevel="1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hidden="1" outlineLevel="1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hidden="1" outlineLevel="1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hidden="1" outlineLevel="1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hidden="1" outlineLevel="1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hidden="1" outlineLevel="1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hidden="1" outlineLevel="1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hidden="1" outlineLevel="1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hidden="1" outlineLevel="1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hidden="1" outlineLevel="1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hidden="1" outlineLevel="1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hidden="1" outlineLevel="1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hidden="1" outlineLevel="1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hidden="1" outlineLevel="1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hidden="1" outlineLevel="1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hidden="1" outlineLevel="1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hidden="1" outlineLevel="1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hidden="1" outlineLevel="1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hidden="1" outlineLevel="1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hidden="1" outlineLevel="1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hidden="1" outlineLevel="1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hidden="1" outlineLevel="1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hidden="1" outlineLevel="1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hidden="1" outlineLevel="1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hidden="1" outlineLevel="1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hidden="1" outlineLevel="1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hidden="1" outlineLevel="1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hidden="1" outlineLevel="1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hidden="1" outlineLevel="1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hidden="1" outlineLevel="1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hidden="1" outlineLevel="1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hidden="1" outlineLevel="1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hidden="1" outlineLevel="1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hidden="1" outlineLevel="1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hidden="1" outlineLevel="1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hidden="1" outlineLevel="1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hidden="1" outlineLevel="1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hidden="1" outlineLevel="1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hidden="1" outlineLevel="1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hidden="1" outlineLevel="1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hidden="1" outlineLevel="1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hidden="1" outlineLevel="1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hidden="1" outlineLevel="1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hidden="1" outlineLevel="1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hidden="1" outlineLevel="1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hidden="1" outlineLevel="1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hidden="1" outlineLevel="1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hidden="1" outlineLevel="1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hidden="1" outlineLevel="1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hidden="1" outlineLevel="1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hidden="1" outlineLevel="1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hidden="1" outlineLevel="1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hidden="1" outlineLevel="1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hidden="1" outlineLevel="1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hidden="1" outlineLevel="1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hidden="1" outlineLevel="1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hidden="1" outlineLevel="1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hidden="1" outlineLevel="1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hidden="1" outlineLevel="1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hidden="1" outlineLevel="1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hidden="1" outlineLevel="1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hidden="1" outlineLevel="1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hidden="1" outlineLevel="1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hidden="1" outlineLevel="1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hidden="1" outlineLevel="1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hidden="1" outlineLevel="1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hidden="1" outlineLevel="1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hidden="1" outlineLevel="1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hidden="1" outlineLevel="1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:K213" si="37">SUM(E184:I184)</f>
        <v>690019</v>
      </c>
      <c r="L184" s="6"/>
      <c r="M184" s="481">
        <f t="shared" ref="M184:M213" si="38">+(K184-K183)/K183</f>
        <v>1.4397113610932519E-3</v>
      </c>
      <c r="N184" s="29"/>
      <c r="O184" s="29"/>
      <c r="P184" s="29"/>
      <c r="Q184" s="375">
        <f t="shared" ref="Q184:Q213" si="39">+K184-K183</f>
        <v>992</v>
      </c>
      <c r="R184" s="6"/>
      <c r="S184" s="7">
        <f>33019+16008+4474</f>
        <v>53501</v>
      </c>
      <c r="T184" s="6"/>
      <c r="U184" s="286">
        <f t="shared" ref="U184:U213" si="40">+S184/K184</f>
        <v>7.7535546122643004E-2</v>
      </c>
      <c r="W184">
        <f t="shared" si="20"/>
        <v>174</v>
      </c>
      <c r="Y184" s="56"/>
    </row>
    <row r="185" spans="3:25" hidden="1" outlineLevel="1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si="37"/>
        <v>691418</v>
      </c>
      <c r="L185" s="6"/>
      <c r="M185" s="481">
        <f t="shared" si="38"/>
        <v>2.0274804027135486E-3</v>
      </c>
      <c r="N185" s="29"/>
      <c r="O185" s="29"/>
      <c r="P185" s="29"/>
      <c r="Q185" s="375">
        <f t="shared" si="39"/>
        <v>1399</v>
      </c>
      <c r="R185" s="6"/>
      <c r="S185" s="7">
        <f>33019+16008+4474</f>
        <v>53501</v>
      </c>
      <c r="T185" s="6"/>
      <c r="U185" s="286">
        <f t="shared" si="40"/>
        <v>7.7378662401036705E-2</v>
      </c>
      <c r="W185">
        <f t="shared" si="20"/>
        <v>175</v>
      </c>
      <c r="Y185" s="56"/>
    </row>
    <row r="186" spans="3:25" hidden="1" outlineLevel="1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si="37"/>
        <v>693005</v>
      </c>
      <c r="L186" s="6"/>
      <c r="M186" s="481">
        <f t="shared" si="38"/>
        <v>2.2952830270545461E-3</v>
      </c>
      <c r="N186" s="29"/>
      <c r="O186" s="29"/>
      <c r="P186" s="29"/>
      <c r="Q186" s="375">
        <f t="shared" si="39"/>
        <v>1587</v>
      </c>
      <c r="R186" s="6"/>
      <c r="S186" s="7">
        <f>33019+16008+4474</f>
        <v>53501</v>
      </c>
      <c r="T186" s="6"/>
      <c r="U186" s="286">
        <f t="shared" si="40"/>
        <v>7.7201463192906258E-2</v>
      </c>
      <c r="W186">
        <f t="shared" si="20"/>
        <v>176</v>
      </c>
      <c r="Y186" s="56"/>
    </row>
    <row r="187" spans="3:25" hidden="1" outlineLevel="1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si="37"/>
        <v>694303</v>
      </c>
      <c r="L187" s="6"/>
      <c r="M187" s="481">
        <f t="shared" si="38"/>
        <v>1.873002359290337E-3</v>
      </c>
      <c r="N187" s="29"/>
      <c r="O187" s="29"/>
      <c r="P187" s="29"/>
      <c r="Q187" s="375">
        <f t="shared" si="39"/>
        <v>1298</v>
      </c>
      <c r="R187" s="6"/>
      <c r="S187" s="7">
        <f>33023+16027+4480</f>
        <v>53530</v>
      </c>
      <c r="T187" s="6"/>
      <c r="U187" s="286">
        <f t="shared" si="40"/>
        <v>7.7098903504665833E-2</v>
      </c>
      <c r="W187">
        <f t="shared" si="20"/>
        <v>177</v>
      </c>
      <c r="Y187" s="56"/>
    </row>
    <row r="188" spans="3:25" hidden="1" outlineLevel="1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si="37"/>
        <v>695326</v>
      </c>
      <c r="L188" s="6"/>
      <c r="M188" s="481">
        <f t="shared" si="38"/>
        <v>1.4734201062072323E-3</v>
      </c>
      <c r="N188" s="29"/>
      <c r="O188" s="29"/>
      <c r="P188" s="29"/>
      <c r="Q188" s="375">
        <f t="shared" si="39"/>
        <v>1023</v>
      </c>
      <c r="R188" s="6"/>
      <c r="S188" s="7">
        <f>33023+16027+4480</f>
        <v>53530</v>
      </c>
      <c r="T188" s="6"/>
      <c r="U188" s="286">
        <f t="shared" si="40"/>
        <v>7.6985471562979094E-2</v>
      </c>
      <c r="W188">
        <f t="shared" si="20"/>
        <v>178</v>
      </c>
      <c r="Y188" s="56"/>
    </row>
    <row r="189" spans="3:25" hidden="1" outlineLevel="1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si="37"/>
        <v>696809</v>
      </c>
      <c r="L189" s="6"/>
      <c r="M189" s="481">
        <f t="shared" si="38"/>
        <v>2.1328125224714736E-3</v>
      </c>
      <c r="N189" s="29"/>
      <c r="O189" s="29"/>
      <c r="P189" s="29"/>
      <c r="Q189" s="375">
        <f t="shared" si="39"/>
        <v>1483</v>
      </c>
      <c r="R189" s="6"/>
      <c r="S189" s="7">
        <f>33030+16034+4485</f>
        <v>53549</v>
      </c>
      <c r="T189" s="6"/>
      <c r="U189" s="286">
        <f t="shared" si="40"/>
        <v>7.6848892594670856E-2</v>
      </c>
      <c r="W189">
        <f t="shared" si="20"/>
        <v>179</v>
      </c>
      <c r="Y189" s="56"/>
    </row>
    <row r="190" spans="3:25" hidden="1" outlineLevel="1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si="37"/>
        <v>698149</v>
      </c>
      <c r="L190" s="6"/>
      <c r="M190" s="481">
        <f t="shared" si="38"/>
        <v>1.9230520845741085E-3</v>
      </c>
      <c r="N190" s="29"/>
      <c r="O190" s="29"/>
      <c r="P190" s="29"/>
      <c r="Q190" s="375">
        <f t="shared" si="39"/>
        <v>1340</v>
      </c>
      <c r="R190" s="6"/>
      <c r="S190" s="7">
        <f>33038+16043+4485</f>
        <v>53566</v>
      </c>
      <c r="T190" s="6"/>
      <c r="U190" s="286">
        <f t="shared" si="40"/>
        <v>7.6725741926150434E-2</v>
      </c>
      <c r="W190">
        <f t="shared" si="20"/>
        <v>180</v>
      </c>
      <c r="Y190" s="56"/>
    </row>
    <row r="191" spans="3:25" hidden="1" outlineLevel="1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si="37"/>
        <v>699324</v>
      </c>
      <c r="L191" s="6"/>
      <c r="M191" s="481">
        <f t="shared" si="38"/>
        <v>1.6830218191245707E-3</v>
      </c>
      <c r="N191" s="29"/>
      <c r="O191" s="29"/>
      <c r="P191" s="29"/>
      <c r="Q191" s="375">
        <f t="shared" si="39"/>
        <v>1175</v>
      </c>
      <c r="R191" s="6"/>
      <c r="S191" s="7">
        <f>33038+16043+4485</f>
        <v>53566</v>
      </c>
      <c r="T191" s="6"/>
      <c r="U191" s="286">
        <f t="shared" si="40"/>
        <v>7.6596827793697919E-2</v>
      </c>
      <c r="W191">
        <f t="shared" si="20"/>
        <v>181</v>
      </c>
      <c r="Y191" s="56"/>
    </row>
    <row r="192" spans="3:25" hidden="1" outlineLevel="1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si="37"/>
        <v>701009</v>
      </c>
      <c r="L192" s="6"/>
      <c r="M192" s="481">
        <f t="shared" si="38"/>
        <v>2.4094697164690473E-3</v>
      </c>
      <c r="N192" s="29"/>
      <c r="O192" s="29"/>
      <c r="P192" s="29"/>
      <c r="Q192" s="375">
        <f t="shared" si="39"/>
        <v>1685</v>
      </c>
      <c r="R192" s="6"/>
      <c r="S192" s="7">
        <f>33070+16057+4488</f>
        <v>53615</v>
      </c>
      <c r="T192" s="6"/>
      <c r="U192" s="286">
        <f t="shared" si="40"/>
        <v>7.6482612919377635E-2</v>
      </c>
      <c r="W192">
        <f t="shared" si="20"/>
        <v>182</v>
      </c>
      <c r="Y192" s="56"/>
    </row>
    <row r="193" spans="3:25" hidden="1" outlineLevel="1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si="37"/>
        <v>702427</v>
      </c>
      <c r="L193" s="6"/>
      <c r="M193" s="481">
        <f t="shared" si="38"/>
        <v>2.0227985660669122E-3</v>
      </c>
      <c r="N193" s="29"/>
      <c r="O193" s="29"/>
      <c r="P193" s="29"/>
      <c r="Q193" s="375">
        <f t="shared" si="39"/>
        <v>1418</v>
      </c>
      <c r="R193" s="6"/>
      <c r="S193" s="7">
        <f>33085+16061+4492</f>
        <v>53638</v>
      </c>
      <c r="T193" s="6"/>
      <c r="U193" s="286">
        <f t="shared" si="40"/>
        <v>7.6360959928932118E-2</v>
      </c>
      <c r="W193">
        <f t="shared" si="20"/>
        <v>183</v>
      </c>
      <c r="Y193" s="56"/>
    </row>
    <row r="194" spans="3:25" hidden="1" outlineLevel="1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si="37"/>
        <v>703875</v>
      </c>
      <c r="L194" s="6"/>
      <c r="M194" s="481">
        <f t="shared" si="38"/>
        <v>2.0614241764624649E-3</v>
      </c>
      <c r="N194" s="29"/>
      <c r="O194" s="29"/>
      <c r="P194" s="29"/>
      <c r="Q194" s="375">
        <f t="shared" si="39"/>
        <v>1448</v>
      </c>
      <c r="R194" s="6"/>
      <c r="S194" s="7">
        <f>33081+16064+4492</f>
        <v>53637</v>
      </c>
      <c r="T194" s="6"/>
      <c r="U194" s="286">
        <f t="shared" si="40"/>
        <v>7.6202450719232817E-2</v>
      </c>
      <c r="W194">
        <f t="shared" si="20"/>
        <v>184</v>
      </c>
      <c r="Y194" s="56"/>
    </row>
    <row r="195" spans="3:25" hidden="1" outlineLevel="1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si="37"/>
        <v>705189</v>
      </c>
      <c r="L195" s="6"/>
      <c r="M195" s="481">
        <f t="shared" si="38"/>
        <v>1.86680873734683E-3</v>
      </c>
      <c r="N195" s="29"/>
      <c r="O195" s="29"/>
      <c r="P195" s="29"/>
      <c r="Q195" s="375">
        <f t="shared" si="39"/>
        <v>1314</v>
      </c>
      <c r="R195" s="6"/>
      <c r="S195" s="7">
        <f>33087+16067+4492</f>
        <v>53646</v>
      </c>
      <c r="T195" s="6"/>
      <c r="U195" s="286">
        <f t="shared" si="40"/>
        <v>7.6073222923216333E-2</v>
      </c>
      <c r="W195">
        <f t="shared" si="20"/>
        <v>185</v>
      </c>
      <c r="Y195" s="56"/>
    </row>
    <row r="196" spans="3:25" hidden="1" outlineLevel="1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si="37"/>
        <v>706651</v>
      </c>
      <c r="L196" s="6"/>
      <c r="M196" s="481">
        <f t="shared" si="38"/>
        <v>2.0732030703825501E-3</v>
      </c>
      <c r="N196" s="29"/>
      <c r="O196" s="29"/>
      <c r="P196" s="29"/>
      <c r="Q196" s="375">
        <f t="shared" si="39"/>
        <v>1462</v>
      </c>
      <c r="R196" s="6"/>
      <c r="S196" s="7">
        <f>33092+16069+4495</f>
        <v>53656</v>
      </c>
      <c r="T196" s="6"/>
      <c r="U196" s="286">
        <f t="shared" si="40"/>
        <v>7.592998524023882E-2</v>
      </c>
      <c r="W196">
        <f t="shared" si="20"/>
        <v>186</v>
      </c>
      <c r="Y196" s="56"/>
    </row>
    <row r="197" spans="3:25" hidden="1" outlineLevel="1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si="37"/>
        <v>707967</v>
      </c>
      <c r="L197" s="6"/>
      <c r="M197" s="481">
        <f t="shared" si="38"/>
        <v>1.8623054379035761E-3</v>
      </c>
      <c r="N197" s="29"/>
      <c r="O197" s="29"/>
      <c r="P197" s="29"/>
      <c r="Q197" s="375">
        <f t="shared" si="39"/>
        <v>1316</v>
      </c>
      <c r="R197" s="6"/>
      <c r="S197" s="7">
        <f>33092+16069+4495</f>
        <v>53656</v>
      </c>
      <c r="T197" s="6"/>
      <c r="U197" s="286">
        <f t="shared" si="40"/>
        <v>7.5788843265293435E-2</v>
      </c>
      <c r="W197">
        <f t="shared" si="20"/>
        <v>187</v>
      </c>
      <c r="Y197" s="56"/>
    </row>
    <row r="198" spans="3:25" hidden="1" outlineLevel="1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si="37"/>
        <v>709195</v>
      </c>
      <c r="L198" s="6"/>
      <c r="M198" s="481">
        <f t="shared" si="38"/>
        <v>1.7345441242317791E-3</v>
      </c>
      <c r="N198" s="29"/>
      <c r="O198" s="29"/>
      <c r="P198" s="29"/>
      <c r="Q198" s="375">
        <f t="shared" si="39"/>
        <v>1228</v>
      </c>
      <c r="R198" s="6"/>
      <c r="S198" s="7">
        <f>33090+16082+4497</f>
        <v>53669</v>
      </c>
      <c r="T198" s="6"/>
      <c r="U198" s="286">
        <f t="shared" si="40"/>
        <v>7.5675942441782579E-2</v>
      </c>
      <c r="W198">
        <f t="shared" si="20"/>
        <v>188</v>
      </c>
      <c r="Y198" s="56"/>
    </row>
    <row r="199" spans="3:25" hidden="1" outlineLevel="1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si="37"/>
        <v>710535</v>
      </c>
      <c r="L199" s="6"/>
      <c r="M199" s="481">
        <f t="shared" si="38"/>
        <v>1.8894662257912141E-3</v>
      </c>
      <c r="N199" s="29"/>
      <c r="O199" s="29"/>
      <c r="P199" s="29"/>
      <c r="Q199" s="375">
        <f t="shared" si="39"/>
        <v>1340</v>
      </c>
      <c r="R199" s="6"/>
      <c r="S199" s="7">
        <f>33096+16091+4499</f>
        <v>53686</v>
      </c>
      <c r="T199" s="6"/>
      <c r="U199" s="286">
        <f t="shared" si="40"/>
        <v>7.5557150597788988E-2</v>
      </c>
      <c r="W199">
        <f t="shared" si="20"/>
        <v>189</v>
      </c>
      <c r="Y199" s="56"/>
    </row>
    <row r="200" spans="3:25" hidden="1" outlineLevel="1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si="37"/>
        <v>712443</v>
      </c>
      <c r="L200" s="6"/>
      <c r="M200" s="481">
        <f t="shared" si="38"/>
        <v>2.6853005129937302E-3</v>
      </c>
      <c r="N200" s="29"/>
      <c r="O200" s="29"/>
      <c r="P200" s="29"/>
      <c r="Q200" s="375">
        <f t="shared" si="39"/>
        <v>1908</v>
      </c>
      <c r="R200" s="6"/>
      <c r="S200" s="7">
        <f>33102+16097+4501</f>
        <v>53700</v>
      </c>
      <c r="T200" s="6"/>
      <c r="U200" s="286">
        <f t="shared" si="40"/>
        <v>7.5374451008712276E-2</v>
      </c>
      <c r="W200">
        <f t="shared" si="20"/>
        <v>190</v>
      </c>
      <c r="Y200" s="56"/>
    </row>
    <row r="201" spans="3:25" hidden="1" outlineLevel="1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si="37"/>
        <v>714197</v>
      </c>
      <c r="L201" s="6"/>
      <c r="M201" s="481">
        <f t="shared" si="38"/>
        <v>2.461951342072278E-3</v>
      </c>
      <c r="N201" s="29"/>
      <c r="O201" s="29"/>
      <c r="P201" s="29"/>
      <c r="Q201" s="375">
        <f t="shared" si="39"/>
        <v>1754</v>
      </c>
      <c r="R201" s="6"/>
      <c r="S201" s="7">
        <f>33126+16103+4501</f>
        <v>53730</v>
      </c>
      <c r="T201" s="6"/>
      <c r="U201" s="286">
        <f t="shared" si="40"/>
        <v>7.5231343732891628E-2</v>
      </c>
      <c r="W201">
        <f t="shared" si="20"/>
        <v>191</v>
      </c>
      <c r="Y201" s="56"/>
    </row>
    <row r="202" spans="3:25" hidden="1" outlineLevel="1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si="37"/>
        <v>715063</v>
      </c>
      <c r="L202" s="6"/>
      <c r="M202" s="481">
        <f t="shared" si="38"/>
        <v>1.212550598784369E-3</v>
      </c>
      <c r="N202" s="29"/>
      <c r="O202" s="29"/>
      <c r="P202" s="29"/>
      <c r="Q202" s="375">
        <f t="shared" si="39"/>
        <v>866</v>
      </c>
      <c r="R202" s="6"/>
      <c r="S202" s="7">
        <f>33131+16103+4501</f>
        <v>53735</v>
      </c>
      <c r="T202" s="6"/>
      <c r="U202" s="286">
        <f t="shared" si="40"/>
        <v>7.5147224789983535E-2</v>
      </c>
      <c r="W202">
        <f t="shared" si="20"/>
        <v>192</v>
      </c>
      <c r="Y202" s="56"/>
    </row>
    <row r="203" spans="3:25" hidden="1" outlineLevel="1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si="37"/>
        <v>717714</v>
      </c>
      <c r="L203" s="6"/>
      <c r="M203" s="481">
        <f t="shared" si="38"/>
        <v>3.7073656447054316E-3</v>
      </c>
      <c r="N203" s="29"/>
      <c r="O203" s="29"/>
      <c r="P203" s="29"/>
      <c r="Q203" s="375">
        <f t="shared" si="39"/>
        <v>2651</v>
      </c>
      <c r="R203" s="6"/>
      <c r="S203" s="7">
        <f>33140+16107+4503</f>
        <v>53750</v>
      </c>
      <c r="T203" s="6"/>
      <c r="U203" s="286">
        <f t="shared" si="40"/>
        <v>7.4890555290826152E-2</v>
      </c>
      <c r="W203">
        <f t="shared" si="20"/>
        <v>193</v>
      </c>
      <c r="Y203" s="56"/>
    </row>
    <row r="204" spans="3:25" hidden="1" outlineLevel="1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si="37"/>
        <v>719541</v>
      </c>
      <c r="L204" s="6"/>
      <c r="M204" s="481">
        <f t="shared" si="38"/>
        <v>2.5455822235598024E-3</v>
      </c>
      <c r="N204" s="29"/>
      <c r="O204" s="29"/>
      <c r="P204" s="29"/>
      <c r="Q204" s="375">
        <f t="shared" si="39"/>
        <v>1827</v>
      </c>
      <c r="R204" s="6"/>
      <c r="S204" s="7">
        <f>33144+16117+4506</f>
        <v>53767</v>
      </c>
      <c r="T204" s="6"/>
      <c r="U204" s="286">
        <f t="shared" si="40"/>
        <v>7.4724025455116527E-2</v>
      </c>
      <c r="W204">
        <f t="shared" si="20"/>
        <v>194</v>
      </c>
      <c r="Y204" s="56"/>
    </row>
    <row r="205" spans="3:25" hidden="1" outlineLevel="1" x14ac:dyDescent="0.3">
      <c r="C205" s="170">
        <f t="shared" si="15"/>
        <v>44104</v>
      </c>
      <c r="E205" s="284">
        <v>458649</v>
      </c>
      <c r="F205" s="7"/>
      <c r="G205" s="7">
        <v>205275</v>
      </c>
      <c r="H205" s="7"/>
      <c r="I205" s="7">
        <v>57550</v>
      </c>
      <c r="J205" s="287"/>
      <c r="K205" s="7">
        <f t="shared" si="37"/>
        <v>721474</v>
      </c>
      <c r="L205" s="6"/>
      <c r="M205" s="481">
        <f t="shared" si="38"/>
        <v>2.6864348244227919E-3</v>
      </c>
      <c r="N205" s="29"/>
      <c r="O205" s="29"/>
      <c r="P205" s="29"/>
      <c r="Q205" s="375">
        <f t="shared" si="39"/>
        <v>1933</v>
      </c>
      <c r="R205" s="6"/>
      <c r="S205" s="7">
        <f>33153+16122+4508</f>
        <v>53783</v>
      </c>
      <c r="T205" s="6"/>
      <c r="U205" s="286">
        <f t="shared" si="40"/>
        <v>7.4545998885614723E-2</v>
      </c>
      <c r="W205">
        <f t="shared" si="20"/>
        <v>195</v>
      </c>
      <c r="Y205" s="56"/>
    </row>
    <row r="206" spans="3:25" hidden="1" outlineLevel="1" x14ac:dyDescent="0.3">
      <c r="C206" s="170">
        <f t="shared" si="15"/>
        <v>44105</v>
      </c>
      <c r="E206" s="284">
        <v>460031</v>
      </c>
      <c r="F206" s="7"/>
      <c r="G206" s="7">
        <v>205889</v>
      </c>
      <c r="H206" s="7"/>
      <c r="I206" s="7">
        <v>57742</v>
      </c>
      <c r="J206" s="287"/>
      <c r="K206" s="7">
        <f t="shared" si="37"/>
        <v>723662</v>
      </c>
      <c r="L206" s="6"/>
      <c r="M206" s="481">
        <f t="shared" si="38"/>
        <v>3.0326803183482703E-3</v>
      </c>
      <c r="N206" s="29"/>
      <c r="O206" s="29"/>
      <c r="P206" s="29"/>
      <c r="Q206" s="375">
        <f t="shared" si="39"/>
        <v>2188</v>
      </c>
      <c r="R206" s="6"/>
      <c r="S206" s="7">
        <f>33159+16140+4511</f>
        <v>53810</v>
      </c>
      <c r="T206" s="6"/>
      <c r="U206" s="286">
        <f t="shared" si="40"/>
        <v>7.4357918475752488E-2</v>
      </c>
      <c r="W206">
        <f t="shared" si="20"/>
        <v>196</v>
      </c>
      <c r="Y206" s="56"/>
    </row>
    <row r="207" spans="3:25" hidden="1" outlineLevel="1" x14ac:dyDescent="0.3">
      <c r="C207" s="170">
        <f t="shared" si="15"/>
        <v>44106</v>
      </c>
      <c r="E207" s="284">
        <v>461629</v>
      </c>
      <c r="F207" s="7"/>
      <c r="G207" s="7">
        <v>206629</v>
      </c>
      <c r="H207" s="7"/>
      <c r="I207" s="7">
        <v>58297</v>
      </c>
      <c r="J207" s="287"/>
      <c r="K207" s="7">
        <f t="shared" si="37"/>
        <v>726555</v>
      </c>
      <c r="L207" s="6"/>
      <c r="M207" s="481">
        <f t="shared" si="38"/>
        <v>3.9977226937437643E-3</v>
      </c>
      <c r="N207" s="29"/>
      <c r="O207" s="29"/>
      <c r="P207" s="29"/>
      <c r="Q207" s="375">
        <f t="shared" si="39"/>
        <v>2893</v>
      </c>
      <c r="R207" s="6"/>
      <c r="S207" s="7">
        <f>33199+16131+4513</f>
        <v>53843</v>
      </c>
      <c r="T207" s="6"/>
      <c r="U207" s="286">
        <f t="shared" si="40"/>
        <v>7.4107259601819547E-2</v>
      </c>
      <c r="W207">
        <f t="shared" si="20"/>
        <v>197</v>
      </c>
      <c r="Y207" s="56"/>
    </row>
    <row r="208" spans="3:25" hidden="1" outlineLevel="1" x14ac:dyDescent="0.3">
      <c r="C208" s="170">
        <f t="shared" si="15"/>
        <v>44107</v>
      </c>
      <c r="E208" s="284">
        <v>463360</v>
      </c>
      <c r="F208" s="7"/>
      <c r="G208" s="7">
        <v>207576</v>
      </c>
      <c r="H208" s="7"/>
      <c r="I208" s="7">
        <v>58297</v>
      </c>
      <c r="J208" s="287"/>
      <c r="K208" s="7">
        <f t="shared" si="37"/>
        <v>729233</v>
      </c>
      <c r="L208" s="6"/>
      <c r="M208" s="481">
        <f t="shared" si="38"/>
        <v>3.6858875102366647E-3</v>
      </c>
      <c r="N208" s="29"/>
      <c r="O208" s="29"/>
      <c r="P208" s="29"/>
      <c r="Q208" s="375">
        <f t="shared" si="39"/>
        <v>2678</v>
      </c>
      <c r="R208" s="6"/>
      <c r="S208" s="7">
        <f>33197+16135+4513</f>
        <v>53845</v>
      </c>
      <c r="T208" s="6"/>
      <c r="U208" s="286">
        <f t="shared" si="40"/>
        <v>7.3837854293483704E-2</v>
      </c>
      <c r="W208">
        <f t="shared" si="20"/>
        <v>198</v>
      </c>
      <c r="Y208" s="56"/>
    </row>
    <row r="209" spans="3:25" hidden="1" outlineLevel="1" x14ac:dyDescent="0.3">
      <c r="C209" s="170">
        <f t="shared" si="15"/>
        <v>44108</v>
      </c>
      <c r="E209" s="284">
        <v>464582</v>
      </c>
      <c r="F209" s="7"/>
      <c r="G209" s="7">
        <v>208202</v>
      </c>
      <c r="H209" s="7"/>
      <c r="I209" s="7">
        <v>58297</v>
      </c>
      <c r="J209" s="287"/>
      <c r="K209" s="7">
        <f t="shared" si="37"/>
        <v>731081</v>
      </c>
      <c r="L209" s="6"/>
      <c r="M209" s="481">
        <f t="shared" si="38"/>
        <v>2.5341694629837101E-3</v>
      </c>
      <c r="N209" s="29"/>
      <c r="O209" s="29"/>
      <c r="P209" s="29"/>
      <c r="Q209" s="375">
        <f t="shared" si="39"/>
        <v>1848</v>
      </c>
      <c r="R209" s="6"/>
      <c r="S209" s="7">
        <f>33206+16136+4513</f>
        <v>53855</v>
      </c>
      <c r="T209" s="6"/>
      <c r="U209" s="286">
        <f t="shared" si="40"/>
        <v>7.3664888021983885E-2</v>
      </c>
      <c r="W209">
        <f t="shared" si="20"/>
        <v>199</v>
      </c>
      <c r="Y209" s="56"/>
    </row>
    <row r="210" spans="3:25" hidden="1" outlineLevel="1" x14ac:dyDescent="0.3">
      <c r="C210" s="170">
        <f t="shared" si="15"/>
        <v>44109</v>
      </c>
      <c r="E210" s="284">
        <v>465212</v>
      </c>
      <c r="F210" s="7"/>
      <c r="G210" s="7">
        <v>208159</v>
      </c>
      <c r="H210" s="7"/>
      <c r="I210" s="7">
        <v>59120</v>
      </c>
      <c r="J210" s="287"/>
      <c r="K210" s="7">
        <f t="shared" si="37"/>
        <v>732491</v>
      </c>
      <c r="L210" s="6"/>
      <c r="M210" s="481">
        <f t="shared" si="38"/>
        <v>1.9286508608485243E-3</v>
      </c>
      <c r="N210" s="29"/>
      <c r="O210" s="29"/>
      <c r="P210" s="29"/>
      <c r="Q210" s="375">
        <f t="shared" si="39"/>
        <v>1410</v>
      </c>
      <c r="R210" s="6"/>
      <c r="S210" s="7">
        <v>53862</v>
      </c>
      <c r="T210" s="6"/>
      <c r="U210" s="286">
        <f t="shared" si="40"/>
        <v>7.353264408709459E-2</v>
      </c>
      <c r="W210">
        <f t="shared" si="20"/>
        <v>200</v>
      </c>
      <c r="Y210" s="56"/>
    </row>
    <row r="211" spans="3:25" hidden="1" outlineLevel="1" x14ac:dyDescent="0.3">
      <c r="C211" s="170">
        <f t="shared" si="15"/>
        <v>44110</v>
      </c>
      <c r="E211" s="284">
        <v>466908</v>
      </c>
      <c r="F211" s="7"/>
      <c r="G211" s="7">
        <v>209342</v>
      </c>
      <c r="H211" s="7"/>
      <c r="I211" s="7">
        <v>59241</v>
      </c>
      <c r="J211" s="287"/>
      <c r="K211" s="7">
        <f t="shared" si="37"/>
        <v>735491</v>
      </c>
      <c r="L211" s="6"/>
      <c r="M211" s="481">
        <f t="shared" si="38"/>
        <v>4.0956134614623255E-3</v>
      </c>
      <c r="N211" s="29"/>
      <c r="O211" s="29"/>
      <c r="P211" s="29"/>
      <c r="Q211" s="375">
        <f t="shared" si="39"/>
        <v>3000</v>
      </c>
      <c r="R211" s="6"/>
      <c r="S211" s="7">
        <f>33219+16147+4521</f>
        <v>53887</v>
      </c>
      <c r="T211" s="6"/>
      <c r="U211" s="286">
        <f t="shared" si="40"/>
        <v>7.3266702107843598E-2</v>
      </c>
      <c r="W211">
        <f t="shared" si="20"/>
        <v>201</v>
      </c>
      <c r="Y211" s="56"/>
    </row>
    <row r="212" spans="3:25" hidden="1" outlineLevel="1" x14ac:dyDescent="0.3">
      <c r="C212" s="170">
        <f t="shared" si="15"/>
        <v>44111</v>
      </c>
      <c r="E212" s="284">
        <v>468268</v>
      </c>
      <c r="F212" s="7"/>
      <c r="G212" s="7">
        <v>209850</v>
      </c>
      <c r="H212" s="7"/>
      <c r="I212" s="7">
        <v>59364</v>
      </c>
      <c r="J212" s="287"/>
      <c r="K212" s="7">
        <f t="shared" si="37"/>
        <v>737482</v>
      </c>
      <c r="L212" s="6"/>
      <c r="M212" s="481">
        <f t="shared" si="38"/>
        <v>2.7070351642644167E-3</v>
      </c>
      <c r="N212" s="29"/>
      <c r="O212" s="29"/>
      <c r="P212" s="29"/>
      <c r="Q212" s="375">
        <f t="shared" si="39"/>
        <v>1991</v>
      </c>
      <c r="R212" s="6"/>
      <c r="S212" s="7">
        <f>33226+16152+4522</f>
        <v>53900</v>
      </c>
      <c r="T212" s="6"/>
      <c r="U212" s="286">
        <f t="shared" si="40"/>
        <v>7.308652956953525E-2</v>
      </c>
      <c r="W212">
        <f t="shared" si="20"/>
        <v>202</v>
      </c>
      <c r="Y212" s="56"/>
    </row>
    <row r="213" spans="3:25" hidden="1" outlineLevel="1" x14ac:dyDescent="0.3">
      <c r="C213" s="170">
        <f t="shared" si="15"/>
        <v>44112</v>
      </c>
      <c r="E213" s="284">
        <v>470104</v>
      </c>
      <c r="F213" s="7"/>
      <c r="G213" s="7">
        <v>211148</v>
      </c>
      <c r="H213" s="7"/>
      <c r="I213" s="7">
        <v>59748</v>
      </c>
      <c r="J213" s="287"/>
      <c r="K213" s="7">
        <f t="shared" si="37"/>
        <v>741000</v>
      </c>
      <c r="L213" s="6"/>
      <c r="M213" s="481">
        <f t="shared" si="38"/>
        <v>4.7702859188427649E-3</v>
      </c>
      <c r="N213" s="29"/>
      <c r="O213" s="29"/>
      <c r="P213" s="29"/>
      <c r="Q213" s="375">
        <f t="shared" si="39"/>
        <v>3518</v>
      </c>
      <c r="R213" s="6"/>
      <c r="S213" s="7">
        <f>33227+16161+4527</f>
        <v>53915</v>
      </c>
      <c r="T213" s="6"/>
      <c r="U213" s="286">
        <f t="shared" si="40"/>
        <v>7.2759784075573555E-2</v>
      </c>
      <c r="W213">
        <f t="shared" si="20"/>
        <v>203</v>
      </c>
      <c r="Y213" s="56"/>
    </row>
    <row r="214" spans="3:25" hidden="1" outlineLevel="1" x14ac:dyDescent="0.3">
      <c r="C214" s="170">
        <f t="shared" si="15"/>
        <v>44113</v>
      </c>
      <c r="E214" s="284">
        <v>471696</v>
      </c>
      <c r="F214" s="7"/>
      <c r="G214" s="7">
        <v>212013</v>
      </c>
      <c r="H214" s="7"/>
      <c r="I214" s="7">
        <v>60038</v>
      </c>
      <c r="J214" s="287"/>
      <c r="K214" s="7">
        <f t="shared" ref="K214:K223" si="41">SUM(E214:I214)</f>
        <v>743747</v>
      </c>
      <c r="L214" s="6"/>
      <c r="M214" s="481">
        <f t="shared" ref="M214:M223" si="42">+(K214-K213)/K213</f>
        <v>3.7071524966261807E-3</v>
      </c>
      <c r="N214" s="29"/>
      <c r="O214" s="29"/>
      <c r="P214" s="29"/>
      <c r="Q214" s="375">
        <f t="shared" ref="Q214:Q223" si="43">+K214-K213</f>
        <v>2747</v>
      </c>
      <c r="R214" s="6"/>
      <c r="S214" s="7">
        <f>33290+16164+4530</f>
        <v>53984</v>
      </c>
      <c r="T214" s="6"/>
      <c r="U214" s="286">
        <f t="shared" ref="U214:U223" si="44">+S214/K214</f>
        <v>7.2583822186845795E-2</v>
      </c>
      <c r="W214">
        <f t="shared" si="20"/>
        <v>204</v>
      </c>
      <c r="Y214" s="56"/>
    </row>
    <row r="215" spans="3:25" collapsed="1" x14ac:dyDescent="0.3">
      <c r="C215" s="170">
        <f t="shared" si="15"/>
        <v>44114</v>
      </c>
      <c r="E215" s="284">
        <v>473143</v>
      </c>
      <c r="F215" s="7"/>
      <c r="G215" s="7">
        <v>212844</v>
      </c>
      <c r="H215" s="7"/>
      <c r="I215" s="7">
        <v>60038</v>
      </c>
      <c r="J215" s="287"/>
      <c r="K215" s="7">
        <f t="shared" si="41"/>
        <v>746025</v>
      </c>
      <c r="L215" s="6"/>
      <c r="M215" s="481">
        <f t="shared" si="42"/>
        <v>3.0628694972887286E-3</v>
      </c>
      <c r="N215" s="29"/>
      <c r="O215" s="29"/>
      <c r="P215" s="29"/>
      <c r="Q215" s="375">
        <f t="shared" si="43"/>
        <v>2278</v>
      </c>
      <c r="R215" s="6"/>
      <c r="S215" s="7">
        <f>33290+16164+4530</f>
        <v>53984</v>
      </c>
      <c r="T215" s="6"/>
      <c r="U215" s="286">
        <f t="shared" si="44"/>
        <v>7.2362186253811869E-2</v>
      </c>
      <c r="W215">
        <f t="shared" si="20"/>
        <v>205</v>
      </c>
      <c r="Y215" s="56"/>
    </row>
    <row r="216" spans="3:25" x14ac:dyDescent="0.3">
      <c r="C216" s="170">
        <f t="shared" si="15"/>
        <v>44115</v>
      </c>
      <c r="E216" s="284">
        <v>474286</v>
      </c>
      <c r="F216" s="7"/>
      <c r="G216" s="7">
        <v>213628</v>
      </c>
      <c r="H216" s="7"/>
      <c r="I216" s="7">
        <v>60638</v>
      </c>
      <c r="J216" s="287"/>
      <c r="K216" s="7">
        <f t="shared" si="41"/>
        <v>748552</v>
      </c>
      <c r="L216" s="6"/>
      <c r="M216" s="481">
        <f t="shared" si="42"/>
        <v>3.3872859488623037E-3</v>
      </c>
      <c r="N216" s="29"/>
      <c r="O216" s="29"/>
      <c r="P216" s="29"/>
      <c r="Q216" s="375">
        <f t="shared" si="43"/>
        <v>2527</v>
      </c>
      <c r="R216" s="6"/>
      <c r="S216" s="7">
        <f>33290+16164+4530</f>
        <v>53984</v>
      </c>
      <c r="T216" s="6"/>
      <c r="U216" s="286">
        <f t="shared" si="44"/>
        <v>7.2117902296700828E-2</v>
      </c>
      <c r="W216">
        <f t="shared" si="20"/>
        <v>206</v>
      </c>
      <c r="Y216" s="56"/>
    </row>
    <row r="217" spans="3:25" x14ac:dyDescent="0.3">
      <c r="C217" s="170">
        <f t="shared" si="15"/>
        <v>44116</v>
      </c>
      <c r="E217" s="284">
        <v>475315</v>
      </c>
      <c r="F217" s="7"/>
      <c r="G217" s="7">
        <v>214097</v>
      </c>
      <c r="H217" s="7"/>
      <c r="I217" s="7">
        <v>61377</v>
      </c>
      <c r="J217" s="287"/>
      <c r="K217" s="7">
        <f t="shared" si="41"/>
        <v>750789</v>
      </c>
      <c r="L217" s="6"/>
      <c r="M217" s="481">
        <f t="shared" si="42"/>
        <v>2.9884363410958756E-3</v>
      </c>
      <c r="N217" s="29"/>
      <c r="O217" s="29"/>
      <c r="P217" s="29"/>
      <c r="Q217" s="375">
        <f t="shared" si="43"/>
        <v>2237</v>
      </c>
      <c r="R217" s="6"/>
      <c r="S217" s="7">
        <f>33301+16175+4532</f>
        <v>54008</v>
      </c>
      <c r="T217" s="6"/>
      <c r="U217" s="286">
        <f t="shared" si="44"/>
        <v>7.1934991056075676E-2</v>
      </c>
      <c r="W217">
        <f t="shared" si="20"/>
        <v>207</v>
      </c>
      <c r="Y217" s="56"/>
    </row>
    <row r="218" spans="3:25" x14ac:dyDescent="0.3">
      <c r="C218" s="170">
        <f t="shared" si="15"/>
        <v>44117</v>
      </c>
      <c r="E218" s="284">
        <v>476708</v>
      </c>
      <c r="F218" s="7"/>
      <c r="G218" s="7">
        <v>215085</v>
      </c>
      <c r="H218" s="7"/>
      <c r="I218" s="7">
        <v>61697</v>
      </c>
      <c r="J218" s="287"/>
      <c r="K218" s="7">
        <f t="shared" si="41"/>
        <v>753490</v>
      </c>
      <c r="L218" s="6"/>
      <c r="M218" s="481">
        <f t="shared" si="42"/>
        <v>3.5975487120882164E-3</v>
      </c>
      <c r="N218" s="29"/>
      <c r="O218" s="29"/>
      <c r="P218" s="29"/>
      <c r="Q218" s="375">
        <f t="shared" si="43"/>
        <v>2701</v>
      </c>
      <c r="R218" s="6"/>
      <c r="S218" s="7">
        <f>33306+16182+4533</f>
        <v>54021</v>
      </c>
      <c r="T218" s="6"/>
      <c r="U218" s="286">
        <f t="shared" si="44"/>
        <v>7.1694382141766974E-2</v>
      </c>
      <c r="W218">
        <f t="shared" si="20"/>
        <v>208</v>
      </c>
      <c r="Y218" s="56"/>
    </row>
    <row r="219" spans="3:25" x14ac:dyDescent="0.3">
      <c r="C219" s="170">
        <f t="shared" si="15"/>
        <v>44118</v>
      </c>
      <c r="E219" s="284">
        <v>477940</v>
      </c>
      <c r="F219" s="7"/>
      <c r="G219" s="7">
        <v>216023</v>
      </c>
      <c r="H219" s="7"/>
      <c r="I219" s="7">
        <v>61861</v>
      </c>
      <c r="J219" s="287"/>
      <c r="K219" s="7">
        <f t="shared" si="41"/>
        <v>755824</v>
      </c>
      <c r="L219" s="6"/>
      <c r="M219" s="481">
        <f t="shared" si="42"/>
        <v>3.097585900277376E-3</v>
      </c>
      <c r="N219" s="29"/>
      <c r="O219" s="29"/>
      <c r="P219" s="29"/>
      <c r="Q219" s="375">
        <f t="shared" si="43"/>
        <v>2334</v>
      </c>
      <c r="R219" s="6"/>
      <c r="S219" s="7">
        <f>33316+16191+4537</f>
        <v>54044</v>
      </c>
      <c r="T219" s="6"/>
      <c r="U219" s="286">
        <f t="shared" si="44"/>
        <v>7.1503418785325679E-2</v>
      </c>
      <c r="W219">
        <f t="shared" si="20"/>
        <v>209</v>
      </c>
      <c r="Y219" s="56"/>
    </row>
    <row r="220" spans="3:25" x14ac:dyDescent="0.3">
      <c r="C220" s="170">
        <f t="shared" si="15"/>
        <v>44119</v>
      </c>
      <c r="E220" s="284">
        <v>479400</v>
      </c>
      <c r="F220" s="7"/>
      <c r="G220" s="7">
        <v>216994</v>
      </c>
      <c r="H220" s="7"/>
      <c r="I220" s="7">
        <v>62028</v>
      </c>
      <c r="J220" s="287"/>
      <c r="K220" s="7">
        <f t="shared" si="41"/>
        <v>758422</v>
      </c>
      <c r="L220" s="6"/>
      <c r="M220" s="481">
        <f t="shared" si="42"/>
        <v>3.4373081563961981E-3</v>
      </c>
      <c r="N220" s="29"/>
      <c r="O220" s="29"/>
      <c r="P220" s="29"/>
      <c r="Q220" s="375">
        <f t="shared" si="43"/>
        <v>2598</v>
      </c>
      <c r="R220" s="6"/>
      <c r="S220" s="7">
        <f>33316+16191+4537</f>
        <v>54044</v>
      </c>
      <c r="T220" s="6"/>
      <c r="U220" s="286">
        <f t="shared" si="44"/>
        <v>7.1258481425908002E-2</v>
      </c>
      <c r="W220">
        <f t="shared" si="20"/>
        <v>210</v>
      </c>
      <c r="Y220" s="56"/>
    </row>
    <row r="221" spans="3:25" x14ac:dyDescent="0.3">
      <c r="C221" s="170">
        <f t="shared" si="15"/>
        <v>44120</v>
      </c>
      <c r="E221" s="284">
        <v>481107</v>
      </c>
      <c r="F221" s="7"/>
      <c r="G221" s="7">
        <v>217804</v>
      </c>
      <c r="H221" s="7"/>
      <c r="I221" s="7">
        <v>62830</v>
      </c>
      <c r="J221" s="287"/>
      <c r="K221" s="7">
        <f t="shared" si="41"/>
        <v>761741</v>
      </c>
      <c r="L221" s="6"/>
      <c r="M221" s="481">
        <f t="shared" si="42"/>
        <v>4.3761916189140083E-3</v>
      </c>
      <c r="N221" s="29"/>
      <c r="O221" s="29"/>
      <c r="P221" s="29"/>
      <c r="Q221" s="375">
        <f t="shared" si="43"/>
        <v>3319</v>
      </c>
      <c r="R221" s="6"/>
      <c r="S221" s="7">
        <f>33337+16202+4542</f>
        <v>54081</v>
      </c>
      <c r="T221" s="6"/>
      <c r="U221" s="286">
        <f t="shared" si="44"/>
        <v>7.0996572325764271E-2</v>
      </c>
      <c r="W221">
        <f t="shared" si="20"/>
        <v>211</v>
      </c>
      <c r="Y221" s="56"/>
    </row>
    <row r="222" spans="3:25" x14ac:dyDescent="0.3">
      <c r="C222" s="170">
        <f t="shared" si="15"/>
        <v>44121</v>
      </c>
      <c r="E222" s="284">
        <v>482891</v>
      </c>
      <c r="F222" s="7"/>
      <c r="G222" s="7">
        <v>218738</v>
      </c>
      <c r="H222" s="7"/>
      <c r="I222" s="7">
        <v>62830</v>
      </c>
      <c r="J222" s="287"/>
      <c r="K222" s="7">
        <f t="shared" si="41"/>
        <v>764459</v>
      </c>
      <c r="L222" s="6"/>
      <c r="M222" s="481">
        <f t="shared" si="42"/>
        <v>3.5681419275055432E-3</v>
      </c>
      <c r="N222" s="29"/>
      <c r="O222" s="29"/>
      <c r="P222" s="29"/>
      <c r="Q222" s="375">
        <f t="shared" si="43"/>
        <v>2718</v>
      </c>
      <c r="R222" s="6"/>
      <c r="S222" s="7">
        <f>33347+16204+4542</f>
        <v>54093</v>
      </c>
      <c r="T222" s="6"/>
      <c r="U222" s="286">
        <f t="shared" si="44"/>
        <v>7.0759844543657677E-2</v>
      </c>
      <c r="W222">
        <f t="shared" si="20"/>
        <v>212</v>
      </c>
      <c r="Y222" s="56"/>
    </row>
    <row r="223" spans="3:25" x14ac:dyDescent="0.3">
      <c r="C223" s="170">
        <f t="shared" si="15"/>
        <v>44122</v>
      </c>
      <c r="E223" s="284">
        <v>484281</v>
      </c>
      <c r="F223" s="7"/>
      <c r="G223" s="7">
        <v>219647</v>
      </c>
      <c r="H223" s="7"/>
      <c r="I223" s="7">
        <v>62830</v>
      </c>
      <c r="J223" s="287"/>
      <c r="K223" s="7">
        <f t="shared" si="41"/>
        <v>766758</v>
      </c>
      <c r="L223" s="6"/>
      <c r="M223" s="481">
        <f t="shared" si="42"/>
        <v>3.0073555285502558E-3</v>
      </c>
      <c r="N223" s="29"/>
      <c r="O223" s="29"/>
      <c r="P223" s="29"/>
      <c r="Q223" s="375">
        <f t="shared" si="43"/>
        <v>2299</v>
      </c>
      <c r="R223" s="6"/>
      <c r="S223" s="7">
        <f>33357+16211+4542</f>
        <v>54110</v>
      </c>
      <c r="T223" s="6"/>
      <c r="U223" s="286">
        <f t="shared" si="44"/>
        <v>7.0569853852193262E-2</v>
      </c>
      <c r="W223">
        <f t="shared" si="20"/>
        <v>213</v>
      </c>
      <c r="Y223" s="56"/>
    </row>
    <row r="224" spans="3:25" x14ac:dyDescent="0.3">
      <c r="C224" s="170">
        <f t="shared" si="15"/>
        <v>44123</v>
      </c>
      <c r="E224" s="284">
        <v>485279</v>
      </c>
      <c r="F224" s="7"/>
      <c r="G224" s="7">
        <v>221205</v>
      </c>
      <c r="H224" s="7"/>
      <c r="I224" s="7">
        <v>64021</v>
      </c>
      <c r="J224" s="287"/>
      <c r="K224" s="7">
        <f t="shared" ref="K224:K230" si="45">SUM(E224:I224)</f>
        <v>770505</v>
      </c>
      <c r="L224" s="6"/>
      <c r="M224" s="481">
        <f t="shared" ref="M224:M230" si="46">+(K224-K223)/K223</f>
        <v>4.8868091366506775E-3</v>
      </c>
      <c r="N224" s="29"/>
      <c r="O224" s="29"/>
      <c r="P224" s="29"/>
      <c r="Q224" s="375">
        <f t="shared" ref="Q224:Q230" si="47">+K224-K223</f>
        <v>3747</v>
      </c>
      <c r="R224" s="6"/>
      <c r="S224" s="7">
        <f>33357+16211+4542</f>
        <v>54110</v>
      </c>
      <c r="T224" s="6"/>
      <c r="U224" s="286">
        <f t="shared" ref="U224:U230" si="48">+S224/K224</f>
        <v>7.0226669521936916E-2</v>
      </c>
      <c r="W224">
        <f t="shared" si="20"/>
        <v>214</v>
      </c>
      <c r="Y224" s="56"/>
    </row>
    <row r="225" spans="3:25" x14ac:dyDescent="0.3">
      <c r="C225" s="170">
        <f t="shared" si="15"/>
        <v>44124</v>
      </c>
      <c r="E225" s="284">
        <v>486480</v>
      </c>
      <c r="F225" s="7"/>
      <c r="G225" s="7">
        <v>222193</v>
      </c>
      <c r="H225" s="7"/>
      <c r="I225" s="7">
        <v>64455</v>
      </c>
      <c r="J225" s="287"/>
      <c r="K225" s="7">
        <f t="shared" si="45"/>
        <v>773128</v>
      </c>
      <c r="L225" s="6"/>
      <c r="M225" s="481">
        <f t="shared" si="46"/>
        <v>3.4042608419153674E-3</v>
      </c>
      <c r="N225" s="29"/>
      <c r="O225" s="29"/>
      <c r="P225" s="29"/>
      <c r="Q225" s="375">
        <f t="shared" si="47"/>
        <v>2623</v>
      </c>
      <c r="R225" s="6"/>
      <c r="S225" s="7">
        <f>33366+16227+4559</f>
        <v>54152</v>
      </c>
      <c r="T225" s="6"/>
      <c r="U225" s="286">
        <f t="shared" si="48"/>
        <v>7.0042735484939098E-2</v>
      </c>
      <c r="W225">
        <f t="shared" si="20"/>
        <v>215</v>
      </c>
      <c r="Y225" s="56"/>
    </row>
    <row r="226" spans="3:25" x14ac:dyDescent="0.3">
      <c r="C226" s="170">
        <f t="shared" si="15"/>
        <v>44125</v>
      </c>
      <c r="E226" s="284">
        <v>488506</v>
      </c>
      <c r="F226" s="7"/>
      <c r="G226" s="7">
        <v>223223</v>
      </c>
      <c r="H226" s="7"/>
      <c r="I226" s="7">
        <v>64871</v>
      </c>
      <c r="J226" s="287"/>
      <c r="K226" s="7">
        <f t="shared" si="45"/>
        <v>776600</v>
      </c>
      <c r="L226" s="6"/>
      <c r="M226" s="481">
        <f t="shared" si="46"/>
        <v>4.4908475698720004E-3</v>
      </c>
      <c r="N226" s="29"/>
      <c r="O226" s="29"/>
      <c r="P226" s="29"/>
      <c r="Q226" s="375">
        <f t="shared" si="47"/>
        <v>3472</v>
      </c>
      <c r="R226" s="6"/>
      <c r="S226" s="7">
        <f>33371+16245+4567</f>
        <v>54183</v>
      </c>
      <c r="T226" s="6"/>
      <c r="U226" s="286">
        <f t="shared" si="48"/>
        <v>6.9769508112284315E-2</v>
      </c>
      <c r="W226">
        <f t="shared" si="20"/>
        <v>216</v>
      </c>
      <c r="Y226" s="56"/>
    </row>
    <row r="227" spans="3:25" x14ac:dyDescent="0.3">
      <c r="C227" s="170">
        <f t="shared" si="15"/>
        <v>44126</v>
      </c>
      <c r="E227" s="284">
        <v>490134</v>
      </c>
      <c r="F227" s="7"/>
      <c r="G227" s="7">
        <v>224385</v>
      </c>
      <c r="H227" s="7"/>
      <c r="I227" s="7">
        <v>65373</v>
      </c>
      <c r="J227" s="287"/>
      <c r="K227" s="7">
        <f t="shared" si="45"/>
        <v>779892</v>
      </c>
      <c r="L227" s="6"/>
      <c r="M227" s="481">
        <f t="shared" si="46"/>
        <v>4.2389904712850889E-3</v>
      </c>
      <c r="N227" s="29"/>
      <c r="O227" s="29"/>
      <c r="P227" s="29"/>
      <c r="Q227" s="375">
        <f t="shared" si="47"/>
        <v>3292</v>
      </c>
      <c r="R227" s="6"/>
      <c r="S227" s="7">
        <f>33371+16245+4567</f>
        <v>54183</v>
      </c>
      <c r="T227" s="6"/>
      <c r="U227" s="286">
        <f t="shared" si="48"/>
        <v>6.9475004231355109E-2</v>
      </c>
      <c r="W227">
        <f t="shared" si="20"/>
        <v>217</v>
      </c>
      <c r="Y227" s="56"/>
    </row>
    <row r="228" spans="3:25" x14ac:dyDescent="0.3">
      <c r="C228" s="170">
        <f t="shared" si="15"/>
        <v>44127</v>
      </c>
      <c r="E228" s="284">
        <v>491771</v>
      </c>
      <c r="F228" s="7"/>
      <c r="G228" s="7">
        <v>225430</v>
      </c>
      <c r="H228" s="7"/>
      <c r="I228" s="7">
        <v>66052</v>
      </c>
      <c r="J228" s="287"/>
      <c r="K228" s="7">
        <f t="shared" si="45"/>
        <v>783253</v>
      </c>
      <c r="L228" s="6"/>
      <c r="M228" s="481">
        <f t="shared" si="46"/>
        <v>4.3095710688146561E-3</v>
      </c>
      <c r="N228" s="29"/>
      <c r="O228" s="29"/>
      <c r="P228" s="29"/>
      <c r="Q228" s="375">
        <f t="shared" si="47"/>
        <v>3361</v>
      </c>
      <c r="R228" s="6"/>
      <c r="S228" s="7">
        <f>33371+16245+4567</f>
        <v>54183</v>
      </c>
      <c r="T228" s="6"/>
      <c r="U228" s="286">
        <f t="shared" si="48"/>
        <v>6.917688154402217E-2</v>
      </c>
      <c r="W228">
        <f t="shared" si="20"/>
        <v>218</v>
      </c>
      <c r="Y228" s="56"/>
    </row>
    <row r="229" spans="3:25" x14ac:dyDescent="0.3">
      <c r="C229" s="170">
        <f t="shared" si="15"/>
        <v>44128</v>
      </c>
      <c r="E229" s="284">
        <v>493832</v>
      </c>
      <c r="F229" s="7"/>
      <c r="G229" s="7">
        <v>227339</v>
      </c>
      <c r="H229" s="7"/>
      <c r="I229" s="7">
        <v>66052</v>
      </c>
      <c r="J229" s="287"/>
      <c r="K229" s="7">
        <f t="shared" si="45"/>
        <v>787223</v>
      </c>
      <c r="L229" s="6"/>
      <c r="M229" s="481">
        <f t="shared" si="46"/>
        <v>5.0686049079926923E-3</v>
      </c>
      <c r="N229" s="29"/>
      <c r="O229" s="29"/>
      <c r="P229" s="29"/>
      <c r="Q229" s="375">
        <f t="shared" si="47"/>
        <v>3970</v>
      </c>
      <c r="R229" s="6"/>
      <c r="S229" s="7">
        <f>33418+16281+4577</f>
        <v>54276</v>
      </c>
      <c r="T229" s="6"/>
      <c r="U229" s="286">
        <f t="shared" si="48"/>
        <v>6.8946156298787004E-2</v>
      </c>
      <c r="W229">
        <f t="shared" si="20"/>
        <v>219</v>
      </c>
      <c r="Y229" s="56"/>
    </row>
    <row r="230" spans="3:25" x14ac:dyDescent="0.3">
      <c r="C230" s="170">
        <f t="shared" si="15"/>
        <v>44129</v>
      </c>
      <c r="E230" s="284">
        <v>495464</v>
      </c>
      <c r="F230" s="7"/>
      <c r="G230" s="7">
        <v>228468</v>
      </c>
      <c r="H230" s="7"/>
      <c r="I230" s="7">
        <v>66052</v>
      </c>
      <c r="J230" s="287"/>
      <c r="K230" s="7">
        <f t="shared" si="45"/>
        <v>789984</v>
      </c>
      <c r="L230" s="6"/>
      <c r="M230" s="481">
        <f t="shared" si="46"/>
        <v>3.5072654127229516E-3</v>
      </c>
      <c r="N230" s="29"/>
      <c r="O230" s="29"/>
      <c r="P230" s="29"/>
      <c r="Q230" s="375">
        <f t="shared" si="47"/>
        <v>2761</v>
      </c>
      <c r="R230" s="6"/>
      <c r="S230" s="7">
        <f>33422+16285+4577</f>
        <v>54284</v>
      </c>
      <c r="T230" s="6"/>
      <c r="U230" s="286">
        <f t="shared" si="48"/>
        <v>6.8715315753230449E-2</v>
      </c>
      <c r="W230">
        <f t="shared" si="20"/>
        <v>220</v>
      </c>
      <c r="Y230" s="56"/>
    </row>
    <row r="231" spans="3:25" x14ac:dyDescent="0.3">
      <c r="C231" s="170">
        <f t="shared" si="15"/>
        <v>44130</v>
      </c>
      <c r="E231" s="284">
        <v>496655</v>
      </c>
      <c r="F231" s="7"/>
      <c r="G231" s="7">
        <v>229684</v>
      </c>
      <c r="H231" s="7"/>
      <c r="I231" s="7">
        <v>68099</v>
      </c>
      <c r="J231" s="287"/>
      <c r="K231" s="7">
        <f t="shared" ref="K231" si="49">SUM(E231:I231)</f>
        <v>794438</v>
      </c>
      <c r="L231" s="6"/>
      <c r="M231" s="481">
        <f t="shared" ref="M231" si="50">+(K231-K230)/K230</f>
        <v>5.6380888726860288E-3</v>
      </c>
      <c r="N231" s="29"/>
      <c r="O231" s="29"/>
      <c r="P231" s="29"/>
      <c r="Q231" s="375">
        <f t="shared" ref="Q231" si="51">+K231-K230</f>
        <v>4454</v>
      </c>
      <c r="R231" s="6"/>
      <c r="S231" s="7">
        <f>33424+16292+4589</f>
        <v>54305</v>
      </c>
      <c r="T231" s="6"/>
      <c r="U231" s="286">
        <f t="shared" ref="U231" si="52">+S231/K231</f>
        <v>6.8356498556212064E-2</v>
      </c>
      <c r="W231">
        <f t="shared" si="20"/>
        <v>221</v>
      </c>
      <c r="Y231" s="56"/>
    </row>
    <row r="232" spans="3:25" x14ac:dyDescent="0.3">
      <c r="C232" s="170">
        <f t="shared" si="15"/>
        <v>44131</v>
      </c>
      <c r="E232" s="284">
        <v>498646</v>
      </c>
      <c r="F232" s="7"/>
      <c r="G232" s="7">
        <v>231331</v>
      </c>
      <c r="H232" s="7"/>
      <c r="I232" s="7">
        <v>68637</v>
      </c>
      <c r="J232" s="287"/>
      <c r="K232" s="7">
        <f t="shared" ref="K232" si="53">SUM(E232:I232)</f>
        <v>798614</v>
      </c>
      <c r="L232" s="6"/>
      <c r="M232" s="481">
        <f t="shared" ref="M232" si="54">+(K232-K231)/K231</f>
        <v>5.2565461370176151E-3</v>
      </c>
      <c r="N232" s="29"/>
      <c r="O232" s="29"/>
      <c r="P232" s="29"/>
      <c r="Q232" s="375">
        <f t="shared" ref="Q232" si="55">+K232-K231</f>
        <v>4176</v>
      </c>
      <c r="R232" s="6"/>
      <c r="S232" s="7">
        <f>33433+16306+4595</f>
        <v>54334</v>
      </c>
      <c r="T232" s="6"/>
      <c r="U232" s="286">
        <f t="shared" ref="U232" si="56">+S232/K232</f>
        <v>6.8035371280743884E-2</v>
      </c>
      <c r="W232">
        <f t="shared" si="20"/>
        <v>222</v>
      </c>
      <c r="Y232" s="56"/>
    </row>
    <row r="233" spans="3:25" x14ac:dyDescent="0.3">
      <c r="C233" s="170">
        <f t="shared" si="15"/>
        <v>44132</v>
      </c>
      <c r="E233" s="284">
        <v>500677</v>
      </c>
      <c r="F233" s="7"/>
      <c r="G233" s="7">
        <v>232997</v>
      </c>
      <c r="H233" s="7"/>
      <c r="I233" s="7">
        <v>69127</v>
      </c>
      <c r="J233" s="287"/>
      <c r="K233" s="7">
        <f t="shared" ref="K233" si="57">SUM(E233:I233)</f>
        <v>802801</v>
      </c>
      <c r="L233" s="6"/>
      <c r="M233" s="481">
        <f t="shared" ref="M233" si="58">+(K233-K232)/K232</f>
        <v>5.2428332085337846E-3</v>
      </c>
      <c r="N233" s="29"/>
      <c r="O233" s="29"/>
      <c r="P233" s="29"/>
      <c r="Q233" s="375">
        <f t="shared" ref="Q233" si="59">+K233-K232</f>
        <v>4187</v>
      </c>
      <c r="R233" s="6"/>
      <c r="S233" s="7">
        <f>33433+16306+4595</f>
        <v>54334</v>
      </c>
      <c r="T233" s="6"/>
      <c r="U233" s="286">
        <f t="shared" ref="U233" si="60">+S233/K233</f>
        <v>6.768053353197119E-2</v>
      </c>
      <c r="W233">
        <f t="shared" si="20"/>
        <v>223</v>
      </c>
      <c r="Y233" s="56"/>
    </row>
    <row r="234" spans="3:25" x14ac:dyDescent="0.3">
      <c r="C234" s="170">
        <f t="shared" si="15"/>
        <v>44133</v>
      </c>
      <c r="E234" s="284">
        <v>503176</v>
      </c>
      <c r="F234" s="7"/>
      <c r="G234" s="7">
        <v>234547</v>
      </c>
      <c r="H234" s="7"/>
      <c r="I234" s="7">
        <v>70446</v>
      </c>
      <c r="J234" s="287"/>
      <c r="K234" s="7">
        <f t="shared" ref="K234" si="61">SUM(E234:I234)</f>
        <v>808169</v>
      </c>
      <c r="L234" s="6"/>
      <c r="M234" s="481">
        <f t="shared" ref="M234" si="62">+(K234-K233)/K233</f>
        <v>6.686588581728224E-3</v>
      </c>
      <c r="N234" s="29"/>
      <c r="O234" s="29"/>
      <c r="P234" s="29"/>
      <c r="Q234" s="375">
        <f t="shared" ref="Q234" si="63">+K234-K233</f>
        <v>5368</v>
      </c>
      <c r="R234" s="6"/>
      <c r="S234" s="7">
        <f>33433+16306+4595</f>
        <v>54334</v>
      </c>
      <c r="T234" s="6"/>
      <c r="U234" s="286">
        <f t="shared" ref="U234" si="64">+S234/K234</f>
        <v>6.723098757809319E-2</v>
      </c>
      <c r="W234">
        <f t="shared" si="20"/>
        <v>224</v>
      </c>
      <c r="Y234" s="56"/>
    </row>
    <row r="235" spans="3:25" x14ac:dyDescent="0.3">
      <c r="C235" s="170">
        <f t="shared" si="15"/>
        <v>44134</v>
      </c>
      <c r="E235" s="284">
        <v>505431</v>
      </c>
      <c r="F235" s="7"/>
      <c r="G235" s="7">
        <v>236523</v>
      </c>
      <c r="H235" s="7"/>
      <c r="I235" s="7">
        <v>71207</v>
      </c>
      <c r="J235" s="287"/>
      <c r="K235" s="7">
        <f t="shared" ref="K235" si="65">SUM(E235:I235)</f>
        <v>813161</v>
      </c>
      <c r="L235" s="6"/>
      <c r="M235" s="481">
        <f t="shared" ref="M235" si="66">+(K235-K234)/K234</f>
        <v>6.1769258657533264E-3</v>
      </c>
      <c r="N235" s="29"/>
      <c r="O235" s="29"/>
      <c r="P235" s="29"/>
      <c r="Q235" s="375">
        <f t="shared" ref="Q235" si="67">+K235-K234</f>
        <v>4992</v>
      </c>
      <c r="R235" s="6"/>
      <c r="S235" s="7">
        <f>33506+16339+4616</f>
        <v>54461</v>
      </c>
      <c r="T235" s="6"/>
      <c r="U235" s="286">
        <f t="shared" ref="U235" si="68">+S235/K235</f>
        <v>6.697443679664912E-2</v>
      </c>
      <c r="W235">
        <f t="shared" si="20"/>
        <v>225</v>
      </c>
      <c r="Y235" s="56"/>
    </row>
    <row r="236" spans="3:25" x14ac:dyDescent="0.3">
      <c r="C236" s="170">
        <f t="shared" si="15"/>
        <v>44135</v>
      </c>
      <c r="E236" s="284">
        <v>507543</v>
      </c>
      <c r="F236" s="7"/>
      <c r="G236" s="7">
        <v>237886</v>
      </c>
      <c r="H236" s="7"/>
      <c r="I236" s="7">
        <v>71207</v>
      </c>
      <c r="J236" s="287"/>
      <c r="K236" s="7">
        <f t="shared" ref="K236" si="69">SUM(E236:I236)</f>
        <v>816636</v>
      </c>
      <c r="L236" s="6"/>
      <c r="M236" s="481">
        <f t="shared" ref="M236" si="70">+(K236-K235)/K235</f>
        <v>4.2734464638614E-3</v>
      </c>
      <c r="N236" s="29"/>
      <c r="O236" s="29"/>
      <c r="P236" s="29"/>
      <c r="Q236" s="375">
        <f t="shared" ref="Q236" si="71">+K236-K235</f>
        <v>3475</v>
      </c>
      <c r="R236" s="6"/>
      <c r="S236" s="7">
        <f>33511+16350+4616</f>
        <v>54477</v>
      </c>
      <c r="T236" s="6"/>
      <c r="U236" s="286">
        <f t="shared" ref="U236" si="72">+S236/K236</f>
        <v>6.6709035604602299E-2</v>
      </c>
      <c r="W236">
        <f t="shared" si="20"/>
        <v>226</v>
      </c>
      <c r="Y236" s="56"/>
    </row>
    <row r="237" spans="3:25" x14ac:dyDescent="0.3">
      <c r="C237" s="170">
        <f t="shared" si="15"/>
        <v>44136</v>
      </c>
      <c r="E237" s="284">
        <v>509735</v>
      </c>
      <c r="F237" s="7"/>
      <c r="G237" s="7">
        <v>239629</v>
      </c>
      <c r="H237" s="7"/>
      <c r="I237" s="7">
        <v>71207</v>
      </c>
      <c r="J237" s="287"/>
      <c r="K237" s="7">
        <f t="shared" ref="K237" si="73">SUM(E237:I237)</f>
        <v>820571</v>
      </c>
      <c r="L237" s="6"/>
      <c r="M237" s="481">
        <f t="shared" ref="M237" si="74">+(K237-K236)/K236</f>
        <v>4.8185482883438885E-3</v>
      </c>
      <c r="N237" s="29"/>
      <c r="O237" s="29"/>
      <c r="P237" s="29"/>
      <c r="Q237" s="375">
        <f t="shared" ref="Q237" si="75">+K237-K236</f>
        <v>3935</v>
      </c>
      <c r="R237" s="6"/>
      <c r="S237" s="7">
        <f>33535+16354+4616</f>
        <v>54505</v>
      </c>
      <c r="T237" s="6"/>
      <c r="U237" s="286">
        <f t="shared" ref="U237" si="76">+S237/K237</f>
        <v>6.6423258925796799E-2</v>
      </c>
      <c r="W237">
        <f t="shared" si="20"/>
        <v>227</v>
      </c>
      <c r="Y237" s="56"/>
    </row>
    <row r="238" spans="3:25" x14ac:dyDescent="0.3">
      <c r="C238" s="170">
        <f t="shared" si="15"/>
        <v>44137</v>
      </c>
      <c r="E238" s="284">
        <v>511368</v>
      </c>
      <c r="F238" s="7"/>
      <c r="G238" s="7">
        <v>240997</v>
      </c>
      <c r="H238" s="7"/>
      <c r="I238" s="7">
        <v>73858</v>
      </c>
      <c r="J238" s="287"/>
      <c r="K238" s="7">
        <f t="shared" ref="K238" si="77">SUM(E238:I238)</f>
        <v>826223</v>
      </c>
      <c r="L238" s="6"/>
      <c r="M238" s="481">
        <f t="shared" ref="M238" si="78">+(K238-K237)/K237</f>
        <v>6.8878866057903582E-3</v>
      </c>
      <c r="N238" s="29"/>
      <c r="O238" s="29"/>
      <c r="P238" s="29"/>
      <c r="Q238" s="375">
        <f t="shared" ref="Q238" si="79">+K238-K237</f>
        <v>5652</v>
      </c>
      <c r="R238" s="6"/>
      <c r="S238" s="7">
        <f>33535+16354+4616</f>
        <v>54505</v>
      </c>
      <c r="T238" s="6"/>
      <c r="U238" s="286">
        <f t="shared" ref="U238" si="80">+S238/K238</f>
        <v>6.5968872810367174E-2</v>
      </c>
      <c r="W238">
        <f t="shared" si="20"/>
        <v>228</v>
      </c>
      <c r="Y238" s="56"/>
    </row>
    <row r="239" spans="3:25" x14ac:dyDescent="0.3">
      <c r="C239" s="170">
        <f t="shared" si="15"/>
        <v>44138</v>
      </c>
      <c r="E239" s="284">
        <v>513689</v>
      </c>
      <c r="F239" s="7"/>
      <c r="G239" s="7">
        <v>242825</v>
      </c>
      <c r="H239" s="7"/>
      <c r="I239" s="7">
        <v>74843</v>
      </c>
      <c r="J239" s="287"/>
      <c r="K239" s="7">
        <f t="shared" ref="K239" si="81">SUM(E239:I239)</f>
        <v>831357</v>
      </c>
      <c r="L239" s="6"/>
      <c r="M239" s="481">
        <f t="shared" ref="M239" si="82">+(K239-K238)/K238</f>
        <v>6.2138187874217973E-3</v>
      </c>
      <c r="N239" s="29"/>
      <c r="O239" s="29"/>
      <c r="P239" s="29"/>
      <c r="Q239" s="375">
        <f t="shared" ref="Q239" si="83">+K239-K238</f>
        <v>5134</v>
      </c>
      <c r="R239" s="6"/>
      <c r="S239" s="7">
        <f>33543+16371+4635</f>
        <v>54549</v>
      </c>
      <c r="T239" s="6"/>
      <c r="U239" s="286">
        <f t="shared" ref="U239" si="84">+S239/K239</f>
        <v>6.5614411137453588E-2</v>
      </c>
      <c r="W239">
        <f t="shared" si="20"/>
        <v>229</v>
      </c>
      <c r="Y239" s="56"/>
    </row>
    <row r="240" spans="3:25" x14ac:dyDescent="0.3">
      <c r="C240" s="170">
        <f t="shared" si="15"/>
        <v>44139</v>
      </c>
      <c r="E240" s="284">
        <v>513689</v>
      </c>
      <c r="F240" s="7"/>
      <c r="G240" s="7">
        <v>245257</v>
      </c>
      <c r="H240" s="7"/>
      <c r="I240" s="7">
        <v>75373</v>
      </c>
      <c r="J240" s="287"/>
      <c r="K240" s="7">
        <f t="shared" ref="K240" si="85">SUM(E240:I240)</f>
        <v>834319</v>
      </c>
      <c r="L240" s="6"/>
      <c r="M240" s="481">
        <f t="shared" ref="M240" si="86">+(K240-K239)/K239</f>
        <v>3.5628496542399954E-3</v>
      </c>
      <c r="N240" s="29"/>
      <c r="O240" s="29"/>
      <c r="P240" s="29"/>
      <c r="Q240" s="375">
        <f t="shared" ref="Q240" si="87">+K240-K239</f>
        <v>2962</v>
      </c>
      <c r="R240" s="6"/>
      <c r="S240" s="7">
        <f>33556+16391+4645</f>
        <v>54592</v>
      </c>
      <c r="T240" s="6"/>
      <c r="U240" s="286">
        <f t="shared" ref="U240" si="88">+S240/K240</f>
        <v>6.543300584069163E-2</v>
      </c>
      <c r="W240">
        <f t="shared" si="20"/>
        <v>230</v>
      </c>
      <c r="Y240" s="56"/>
    </row>
    <row r="241" spans="3:25" x14ac:dyDescent="0.3">
      <c r="C241" s="170">
        <f t="shared" si="15"/>
        <v>44140</v>
      </c>
      <c r="E241" s="284">
        <v>518812</v>
      </c>
      <c r="F241" s="7"/>
      <c r="G241" s="7">
        <v>247219</v>
      </c>
      <c r="H241" s="7"/>
      <c r="I241" s="7">
        <v>77060</v>
      </c>
      <c r="J241" s="287"/>
      <c r="K241" s="7">
        <f t="shared" ref="K241" si="89">SUM(E241:I241)</f>
        <v>843091</v>
      </c>
      <c r="L241" s="6"/>
      <c r="M241" s="481">
        <f t="shared" ref="M241" si="90">+(K241-K240)/K240</f>
        <v>1.0513964083282293E-2</v>
      </c>
      <c r="N241" s="29"/>
      <c r="O241" s="29"/>
      <c r="P241" s="29"/>
      <c r="Q241" s="375">
        <f t="shared" ref="Q241" si="91">+K241-K240</f>
        <v>8772</v>
      </c>
      <c r="R241" s="6"/>
      <c r="S241" s="7">
        <f>33657+16403+4656</f>
        <v>54716</v>
      </c>
      <c r="T241" s="6"/>
      <c r="U241" s="286">
        <f t="shared" ref="U241" si="92">+S241/K241</f>
        <v>6.4899281334992315E-2</v>
      </c>
      <c r="W241">
        <f t="shared" si="20"/>
        <v>231</v>
      </c>
      <c r="Y241" s="56"/>
    </row>
    <row r="242" spans="3:25" x14ac:dyDescent="0.3">
      <c r="C242" s="170">
        <f t="shared" si="15"/>
        <v>44141</v>
      </c>
      <c r="E242" s="284">
        <v>522021</v>
      </c>
      <c r="F242" s="7"/>
      <c r="G242" s="7">
        <v>249380</v>
      </c>
      <c r="H242" s="7"/>
      <c r="I242" s="7">
        <v>78125</v>
      </c>
      <c r="J242" s="287"/>
      <c r="K242" s="7">
        <f t="shared" ref="K242" si="93">SUM(E242:I242)</f>
        <v>849526</v>
      </c>
      <c r="L242" s="6"/>
      <c r="M242" s="481">
        <f t="shared" ref="M242" si="94">+(K242-K241)/K241</f>
        <v>7.6326280318494682E-3</v>
      </c>
      <c r="N242" s="29"/>
      <c r="O242" s="29"/>
      <c r="P242" s="29"/>
      <c r="Q242" s="375">
        <f t="shared" ref="Q242" si="95">+K242-K241</f>
        <v>6435</v>
      </c>
      <c r="R242" s="6"/>
      <c r="S242" s="7">
        <f>33654+16416+4671</f>
        <v>54741</v>
      </c>
      <c r="T242" s="6"/>
      <c r="U242" s="286">
        <f t="shared" ref="U242" si="96">+S242/K242</f>
        <v>6.4437109635255424E-2</v>
      </c>
      <c r="W242">
        <f t="shared" si="20"/>
        <v>232</v>
      </c>
      <c r="Y242" s="56"/>
    </row>
    <row r="243" spans="3:25" x14ac:dyDescent="0.3">
      <c r="C243" s="170">
        <f t="shared" si="15"/>
        <v>44142</v>
      </c>
      <c r="E243" s="284">
        <v>525608</v>
      </c>
      <c r="F243" s="7"/>
      <c r="G243" s="7">
        <v>252582</v>
      </c>
      <c r="H243" s="7"/>
      <c r="I243" s="7">
        <v>78125</v>
      </c>
      <c r="J243" s="287"/>
      <c r="K243" s="7">
        <f t="shared" ref="K243" si="97">SUM(E243:I243)</f>
        <v>856315</v>
      </c>
      <c r="L243" s="6"/>
      <c r="M243" s="481">
        <f t="shared" ref="M243" si="98">+(K243-K242)/K242</f>
        <v>7.9915152685144427E-3</v>
      </c>
      <c r="N243" s="29"/>
      <c r="O243" s="29"/>
      <c r="P243" s="29"/>
      <c r="Q243" s="375">
        <f t="shared" ref="Q243" si="99">+K243-K242</f>
        <v>6789</v>
      </c>
      <c r="R243" s="6"/>
      <c r="S243" s="7">
        <f>33654+16416+4671</f>
        <v>54741</v>
      </c>
      <c r="T243" s="6"/>
      <c r="U243" s="286">
        <f t="shared" ref="U243" si="100">+S243/K243</f>
        <v>6.3926242095490568E-2</v>
      </c>
      <c r="W243">
        <f t="shared" si="20"/>
        <v>233</v>
      </c>
      <c r="Y243" s="56"/>
    </row>
    <row r="244" spans="3:25" x14ac:dyDescent="0.3">
      <c r="C244" s="170">
        <f t="shared" si="15"/>
        <v>44143</v>
      </c>
      <c r="E244" s="284">
        <v>529036</v>
      </c>
      <c r="F244" s="7"/>
      <c r="G244" s="7">
        <v>254595</v>
      </c>
      <c r="H244" s="7"/>
      <c r="I244" s="7">
        <v>78125</v>
      </c>
      <c r="J244" s="287"/>
      <c r="K244" s="7">
        <f t="shared" ref="K244" si="101">SUM(E244:I244)</f>
        <v>861756</v>
      </c>
      <c r="L244" s="6"/>
      <c r="M244" s="481">
        <f t="shared" ref="M244" si="102">+(K244-K243)/K243</f>
        <v>6.3539702095607338E-3</v>
      </c>
      <c r="N244" s="29"/>
      <c r="O244" s="29"/>
      <c r="P244" s="29"/>
      <c r="Q244" s="375">
        <f t="shared" ref="Q244" si="103">+K244-K243</f>
        <v>5441</v>
      </c>
      <c r="R244" s="6"/>
      <c r="S244" s="7">
        <f>33694+16429+4671</f>
        <v>54794</v>
      </c>
      <c r="T244" s="6"/>
      <c r="U244" s="286">
        <f t="shared" ref="U244" si="104">+S244/K244</f>
        <v>6.3584123580224569E-2</v>
      </c>
      <c r="W244">
        <f t="shared" si="20"/>
        <v>234</v>
      </c>
      <c r="Y244" s="56"/>
    </row>
    <row r="245" spans="3:25" x14ac:dyDescent="0.3">
      <c r="C245" s="170">
        <f t="shared" si="15"/>
        <v>44144</v>
      </c>
      <c r="E245" s="284">
        <v>532180</v>
      </c>
      <c r="F245" s="7"/>
      <c r="G245" s="7">
        <v>256653</v>
      </c>
      <c r="H245" s="7"/>
      <c r="I245" s="7">
        <v>81432</v>
      </c>
      <c r="J245" s="287"/>
      <c r="K245" s="7">
        <f t="shared" ref="K245" si="105">SUM(E245:I245)</f>
        <v>870265</v>
      </c>
      <c r="L245" s="6"/>
      <c r="M245" s="481">
        <f t="shared" ref="M245" si="106">+(K245-K244)/K244</f>
        <v>9.8740246659147143E-3</v>
      </c>
      <c r="N245" s="29"/>
      <c r="O245" s="29"/>
      <c r="P245" s="29"/>
      <c r="Q245" s="375">
        <f t="shared" ref="Q245" si="107">+K245-K244</f>
        <v>8509</v>
      </c>
      <c r="R245" s="6"/>
      <c r="S245" s="7">
        <f>33706+16440+4698</f>
        <v>54844</v>
      </c>
      <c r="T245" s="6"/>
      <c r="U245" s="286">
        <f t="shared" ref="U245" si="108">+S245/K245</f>
        <v>6.301988474774925E-2</v>
      </c>
      <c r="W245">
        <f t="shared" si="20"/>
        <v>235</v>
      </c>
      <c r="Y245" s="56"/>
    </row>
    <row r="246" spans="3:25" x14ac:dyDescent="0.3">
      <c r="C246" s="170">
        <f t="shared" si="15"/>
        <v>44145</v>
      </c>
      <c r="E246" s="284">
        <v>532180</v>
      </c>
      <c r="F246" s="7"/>
      <c r="G246" s="7">
        <v>260430</v>
      </c>
      <c r="H246" s="7"/>
      <c r="I246" s="7">
        <v>82953</v>
      </c>
      <c r="J246" s="287"/>
      <c r="K246" s="7">
        <f t="shared" ref="K246" si="109">SUM(E246:I246)</f>
        <v>875563</v>
      </c>
      <c r="L246" s="6"/>
      <c r="M246" s="481">
        <f t="shared" ref="M246" si="110">+(K246-K245)/K245</f>
        <v>6.0878008422721817E-3</v>
      </c>
      <c r="N246" s="29"/>
      <c r="O246" s="29"/>
      <c r="P246" s="29"/>
      <c r="Q246" s="375">
        <f t="shared" ref="Q246" si="111">+K246-K245</f>
        <v>5298</v>
      </c>
      <c r="R246" s="6"/>
      <c r="S246" s="7">
        <f>33706+16461+4707</f>
        <v>54874</v>
      </c>
      <c r="T246" s="6"/>
      <c r="U246" s="286">
        <f t="shared" ref="U246" si="112">+S246/K246</f>
        <v>6.2672817375791348E-2</v>
      </c>
      <c r="W246">
        <f t="shared" si="20"/>
        <v>236</v>
      </c>
      <c r="Y246" s="56"/>
    </row>
    <row r="247" spans="3:25" x14ac:dyDescent="0.3">
      <c r="C247" s="170">
        <f t="shared" si="15"/>
        <v>44146</v>
      </c>
      <c r="E247" s="284">
        <v>540965</v>
      </c>
      <c r="F247" s="7"/>
      <c r="G247" s="7">
        <v>263495</v>
      </c>
      <c r="H247" s="7"/>
      <c r="I247" s="7">
        <v>84707</v>
      </c>
      <c r="J247" s="287"/>
      <c r="K247" s="7">
        <f t="shared" ref="K247" si="113">SUM(E247:I247)</f>
        <v>889167</v>
      </c>
      <c r="L247" s="6"/>
      <c r="M247" s="481">
        <f t="shared" ref="M247" si="114">+(K247-K246)/K246</f>
        <v>1.553743134417512E-2</v>
      </c>
      <c r="N247" s="29"/>
      <c r="O247" s="29"/>
      <c r="P247" s="29"/>
      <c r="Q247" s="375">
        <f t="shared" ref="Q247" si="115">+K247-K246</f>
        <v>13604</v>
      </c>
      <c r="R247" s="6"/>
      <c r="S247" s="7">
        <f>33716+16476+4716</f>
        <v>54908</v>
      </c>
      <c r="T247" s="6"/>
      <c r="U247" s="286">
        <f t="shared" ref="U247" si="116">+S247/K247</f>
        <v>6.1752179286905608E-2</v>
      </c>
      <c r="W247">
        <f t="shared" si="20"/>
        <v>237</v>
      </c>
      <c r="Y247" s="56"/>
    </row>
    <row r="248" spans="3:25" x14ac:dyDescent="0.3">
      <c r="C248" s="170">
        <f t="shared" si="15"/>
        <v>44147</v>
      </c>
      <c r="E248" s="284">
        <v>545762</v>
      </c>
      <c r="F248" s="7"/>
      <c r="G248" s="7">
        <v>266986</v>
      </c>
      <c r="H248" s="7"/>
      <c r="I248" s="7">
        <v>85899</v>
      </c>
      <c r="J248" s="287"/>
      <c r="K248" s="7">
        <f t="shared" ref="K248" si="117">SUM(E248:I248)</f>
        <v>898647</v>
      </c>
      <c r="L248" s="6"/>
      <c r="M248" s="481">
        <f t="shared" ref="M248" si="118">+(K248-K247)/K247</f>
        <v>1.0661664231803475E-2</v>
      </c>
      <c r="N248" s="29"/>
      <c r="O248" s="29"/>
      <c r="P248" s="29"/>
      <c r="Q248" s="375">
        <f t="shared" ref="Q248" si="119">+K248-K247</f>
        <v>9480</v>
      </c>
      <c r="R248" s="6"/>
      <c r="S248" s="7">
        <f>33741+16495+4726</f>
        <v>54962</v>
      </c>
      <c r="T248" s="6"/>
      <c r="U248" s="286">
        <f t="shared" ref="U248" si="120">+S248/K248</f>
        <v>6.1160834009349609E-2</v>
      </c>
      <c r="W248">
        <f t="shared" si="20"/>
        <v>238</v>
      </c>
      <c r="Y248" s="56"/>
    </row>
    <row r="249" spans="3:25" x14ac:dyDescent="0.3">
      <c r="C249" s="170">
        <f t="shared" si="15"/>
        <v>44148</v>
      </c>
      <c r="E249" s="284">
        <v>545762</v>
      </c>
      <c r="F249" s="7"/>
      <c r="G249" s="7">
        <v>270383</v>
      </c>
      <c r="H249" s="7"/>
      <c r="I249" s="7">
        <v>88645</v>
      </c>
      <c r="J249" s="287"/>
      <c r="K249" s="7">
        <f t="shared" ref="K249" si="121">SUM(E249:I249)</f>
        <v>904790</v>
      </c>
      <c r="L249" s="6"/>
      <c r="M249" s="481">
        <f t="shared" ref="M249" si="122">+(K249-K248)/K248</f>
        <v>6.8358320897972174E-3</v>
      </c>
      <c r="N249" s="29"/>
      <c r="O249" s="29"/>
      <c r="P249" s="29"/>
      <c r="Q249" s="375">
        <f t="shared" ref="Q249" si="123">+K249-K248</f>
        <v>6143</v>
      </c>
      <c r="R249" s="6"/>
      <c r="S249" s="7">
        <f>33993+16522+4737</f>
        <v>55252</v>
      </c>
      <c r="T249" s="6"/>
      <c r="U249" s="286">
        <f t="shared" ref="U249" si="124">+S249/K249</f>
        <v>6.1066103736778697E-2</v>
      </c>
      <c r="W249">
        <f t="shared" si="20"/>
        <v>239</v>
      </c>
      <c r="Y249" s="56"/>
    </row>
    <row r="250" spans="3:25" x14ac:dyDescent="0.3">
      <c r="C250" s="170">
        <f t="shared" si="15"/>
        <v>44149</v>
      </c>
      <c r="E250" s="284">
        <v>556551</v>
      </c>
      <c r="F250" s="7"/>
      <c r="G250" s="7">
        <v>274736</v>
      </c>
      <c r="H250" s="7"/>
      <c r="I250" s="7">
        <v>88645</v>
      </c>
      <c r="J250" s="287"/>
      <c r="K250" s="7">
        <f t="shared" ref="K250" si="125">SUM(E250:I250)</f>
        <v>919932</v>
      </c>
      <c r="L250" s="6"/>
      <c r="M250" s="481">
        <f t="shared" ref="M250" si="126">+(K250-K249)/K249</f>
        <v>1.673537505940605E-2</v>
      </c>
      <c r="N250" s="29"/>
      <c r="O250" s="29"/>
      <c r="P250" s="29"/>
      <c r="Q250" s="375">
        <f t="shared" ref="Q250" si="127">+K250-K249</f>
        <v>15142</v>
      </c>
      <c r="R250" s="6"/>
      <c r="S250" s="7">
        <f>33993+16522+4737</f>
        <v>55252</v>
      </c>
      <c r="T250" s="6"/>
      <c r="U250" s="286">
        <f t="shared" ref="U250" si="128">+S250/K250</f>
        <v>6.0060961027554212E-2</v>
      </c>
      <c r="W250">
        <f t="shared" si="20"/>
        <v>240</v>
      </c>
      <c r="Y250" s="56"/>
    </row>
    <row r="251" spans="3:25" x14ac:dyDescent="0.3">
      <c r="C251" s="170">
        <f t="shared" si="15"/>
        <v>44150</v>
      </c>
      <c r="E251" s="284">
        <v>563690</v>
      </c>
      <c r="F251" s="7"/>
      <c r="G251" s="7">
        <v>281493</v>
      </c>
      <c r="H251" s="7"/>
      <c r="I251" s="7">
        <v>93284</v>
      </c>
      <c r="J251" s="287"/>
      <c r="K251" s="7">
        <f t="shared" ref="K251" si="129">SUM(E251:I251)</f>
        <v>938467</v>
      </c>
      <c r="L251" s="6"/>
      <c r="M251" s="481">
        <f t="shared" ref="M251" si="130">+(K251-K250)/K250</f>
        <v>2.0148228347312627E-2</v>
      </c>
      <c r="N251" s="29"/>
      <c r="O251" s="29"/>
      <c r="P251" s="29"/>
      <c r="Q251" s="375">
        <f t="shared" ref="Q251" si="131">+K251-K250</f>
        <v>18535</v>
      </c>
      <c r="R251" s="6"/>
      <c r="S251" s="7">
        <f>34054+16580+4759</f>
        <v>55393</v>
      </c>
      <c r="T251" s="6"/>
      <c r="U251" s="286">
        <f t="shared" ref="U251" si="132">+S251/K251</f>
        <v>5.9024984362795921E-2</v>
      </c>
      <c r="W251">
        <f t="shared" si="20"/>
        <v>241</v>
      </c>
      <c r="Y251" s="56"/>
    </row>
    <row r="252" spans="3:25" x14ac:dyDescent="0.3">
      <c r="C252" s="170">
        <f t="shared" si="15"/>
        <v>44151</v>
      </c>
      <c r="E252" s="284">
        <v>568778</v>
      </c>
      <c r="F252" s="7"/>
      <c r="G252" s="7">
        <v>285519</v>
      </c>
      <c r="H252" s="7"/>
      <c r="I252" s="7">
        <v>94986</v>
      </c>
      <c r="J252" s="287"/>
      <c r="K252" s="7">
        <f t="shared" ref="K252" si="133">SUM(E252:I252)</f>
        <v>949283</v>
      </c>
      <c r="L252" s="6"/>
      <c r="M252" s="481">
        <f t="shared" ref="M252" si="134">+(K252-K251)/K251</f>
        <v>1.1525178828877308E-2</v>
      </c>
      <c r="N252" s="29"/>
      <c r="O252" s="29"/>
      <c r="P252" s="29"/>
      <c r="Q252" s="375">
        <f t="shared" ref="Q252" si="135">+K252-K251</f>
        <v>10816</v>
      </c>
      <c r="R252" s="6"/>
      <c r="S252" s="7">
        <f>34076+16618+4771</f>
        <v>55465</v>
      </c>
      <c r="T252" s="6"/>
      <c r="U252" s="286">
        <f t="shared" ref="U252" si="136">+S252/K252</f>
        <v>5.8428308523380275E-2</v>
      </c>
      <c r="W252">
        <f t="shared" si="20"/>
        <v>242</v>
      </c>
      <c r="Y252" s="56"/>
    </row>
    <row r="253" spans="3:25" x14ac:dyDescent="0.3">
      <c r="C253" s="170">
        <f t="shared" si="15"/>
        <v>44152</v>
      </c>
      <c r="E253" s="284">
        <v>574072</v>
      </c>
      <c r="F253" s="7"/>
      <c r="G253" s="7">
        <v>289562</v>
      </c>
      <c r="H253" s="7"/>
      <c r="I253" s="7">
        <v>97028</v>
      </c>
      <c r="J253" s="287"/>
      <c r="K253" s="7">
        <f t="shared" ref="K253" si="137">SUM(E253:I253)</f>
        <v>960662</v>
      </c>
      <c r="L253" s="6"/>
      <c r="M253" s="481">
        <f t="shared" ref="M253" si="138">+(K253-K252)/K252</f>
        <v>1.1986941723384912E-2</v>
      </c>
      <c r="N253" s="29"/>
      <c r="O253" s="29"/>
      <c r="P253" s="29"/>
      <c r="Q253" s="375">
        <f t="shared" ref="Q253" si="139">+K253-K252</f>
        <v>11379</v>
      </c>
      <c r="R253" s="6"/>
      <c r="S253" s="7">
        <f>34076+16618+4771</f>
        <v>55465</v>
      </c>
      <c r="T253" s="6"/>
      <c r="U253" s="286">
        <f t="shared" ref="U253" si="140">+S253/K253</f>
        <v>5.7736227726297072E-2</v>
      </c>
      <c r="W253">
        <f t="shared" si="20"/>
        <v>243</v>
      </c>
      <c r="Y253" s="56"/>
    </row>
    <row r="254" spans="3:25" x14ac:dyDescent="0.3">
      <c r="C254" s="170">
        <f t="shared" si="15"/>
        <v>44153</v>
      </c>
      <c r="E254" s="284">
        <v>574072</v>
      </c>
      <c r="F254" s="7"/>
      <c r="G254" s="7">
        <v>289562</v>
      </c>
      <c r="H254" s="7"/>
      <c r="I254" s="7">
        <v>97028</v>
      </c>
      <c r="J254" s="287"/>
      <c r="K254" s="7">
        <f t="shared" ref="K254" si="141">SUM(E254:I254)</f>
        <v>960662</v>
      </c>
      <c r="L254" s="6"/>
      <c r="M254" s="481">
        <f t="shared" ref="M254" si="142">+(K254-K253)/K253</f>
        <v>0</v>
      </c>
      <c r="N254" s="29"/>
      <c r="O254" s="29"/>
      <c r="P254" s="29"/>
      <c r="Q254" s="375">
        <f t="shared" ref="Q254" si="143">+K254-K253</f>
        <v>0</v>
      </c>
      <c r="R254" s="6"/>
      <c r="S254" s="7">
        <f>34076+16618+4771</f>
        <v>55465</v>
      </c>
      <c r="T254" s="6"/>
      <c r="U254" s="286">
        <f t="shared" ref="U254" si="144">+S254/K254</f>
        <v>5.7736227726297072E-2</v>
      </c>
      <c r="W254">
        <f t="shared" si="20"/>
        <v>244</v>
      </c>
      <c r="Y254" s="56"/>
    </row>
    <row r="255" spans="3:25" x14ac:dyDescent="0.3">
      <c r="C255" s="170">
        <f t="shared" si="15"/>
        <v>44154</v>
      </c>
      <c r="E255" s="284">
        <v>579382</v>
      </c>
      <c r="F255" s="7"/>
      <c r="G255" s="7">
        <v>293744</v>
      </c>
      <c r="H255" s="7"/>
      <c r="I255" s="7">
        <v>99381</v>
      </c>
      <c r="J255" s="287"/>
      <c r="K255" s="7">
        <f t="shared" ref="K255" si="145">SUM(E255:I255)</f>
        <v>972507</v>
      </c>
      <c r="L255" s="6"/>
      <c r="M255" s="481">
        <f t="shared" ref="M255" si="146">+(K255-K254)/K254</f>
        <v>1.2330039077219667E-2</v>
      </c>
      <c r="N255" s="29"/>
      <c r="O255" s="29"/>
      <c r="P255" s="29"/>
      <c r="Q255" s="375">
        <f t="shared" ref="Q255" si="147">+K255-K254</f>
        <v>11845</v>
      </c>
      <c r="R255" s="6"/>
      <c r="S255" s="7">
        <f>34076+16618+4771</f>
        <v>55465</v>
      </c>
      <c r="T255" s="6"/>
      <c r="U255" s="286">
        <f t="shared" ref="U255" si="148">+S255/K255</f>
        <v>5.7033008502766561E-2</v>
      </c>
      <c r="W255">
        <f t="shared" si="20"/>
        <v>245</v>
      </c>
      <c r="Y255" s="56"/>
    </row>
    <row r="256" spans="3:25" x14ac:dyDescent="0.3">
      <c r="C256" s="170">
        <f t="shared" si="15"/>
        <v>44155</v>
      </c>
      <c r="E256" s="284">
        <v>584850</v>
      </c>
      <c r="F256" s="7"/>
      <c r="G256" s="7">
        <v>297370</v>
      </c>
      <c r="H256" s="7"/>
      <c r="I256" s="7">
        <v>101469</v>
      </c>
      <c r="J256" s="287"/>
      <c r="K256" s="7">
        <f t="shared" ref="K256" si="149">SUM(E256:I256)</f>
        <v>983689</v>
      </c>
      <c r="L256" s="6"/>
      <c r="M256" s="481">
        <f t="shared" ref="M256" si="150">+(K256-K255)/K255</f>
        <v>1.1498117751337522E-2</v>
      </c>
      <c r="N256" s="29"/>
      <c r="O256" s="29"/>
      <c r="P256" s="29"/>
      <c r="Q256" s="375">
        <f t="shared" ref="Q256" si="151">+K256-K255</f>
        <v>11182</v>
      </c>
      <c r="R256" s="6"/>
      <c r="S256" s="7">
        <f>34252+16712+4828</f>
        <v>55792</v>
      </c>
      <c r="T256" s="6"/>
      <c r="U256" s="286">
        <f t="shared" ref="U256" si="152">+S256/K256</f>
        <v>5.671711282732652E-2</v>
      </c>
      <c r="W256">
        <f t="shared" si="20"/>
        <v>246</v>
      </c>
      <c r="Y256" s="56"/>
    </row>
    <row r="257" spans="3:25" x14ac:dyDescent="0.3">
      <c r="C257" s="170">
        <f t="shared" si="15"/>
        <v>44156</v>
      </c>
      <c r="E257" s="284">
        <v>590823</v>
      </c>
      <c r="F257" s="7"/>
      <c r="G257" s="7">
        <v>302039</v>
      </c>
      <c r="H257" s="7"/>
      <c r="I257" s="7">
        <v>101469</v>
      </c>
      <c r="J257" s="287"/>
      <c r="K257" s="7">
        <f t="shared" ref="K257" si="153">SUM(E257:I257)</f>
        <v>994331</v>
      </c>
      <c r="L257" s="6"/>
      <c r="M257" s="481">
        <f t="shared" ref="M257" si="154">+(K257-K256)/K256</f>
        <v>1.081845989941943E-2</v>
      </c>
      <c r="N257" s="29"/>
      <c r="O257" s="29"/>
      <c r="P257" s="29"/>
      <c r="Q257" s="375">
        <f t="shared" ref="Q257" si="155">+K257-K256</f>
        <v>10642</v>
      </c>
      <c r="R257" s="6"/>
      <c r="S257" s="7">
        <f>34287+16746+4828</f>
        <v>55861</v>
      </c>
      <c r="T257" s="6"/>
      <c r="U257" s="286">
        <f t="shared" ref="U257" si="156">+S257/K257</f>
        <v>5.6179481480513029E-2</v>
      </c>
      <c r="W257">
        <f t="shared" si="20"/>
        <v>247</v>
      </c>
      <c r="Y257" s="56"/>
    </row>
    <row r="258" spans="3:25" x14ac:dyDescent="0.3">
      <c r="C258" s="170">
        <f t="shared" si="15"/>
        <v>44157</v>
      </c>
      <c r="E258" s="284">
        <v>596214</v>
      </c>
      <c r="F258" s="7"/>
      <c r="G258" s="7">
        <v>313358</v>
      </c>
      <c r="H258" s="7"/>
      <c r="I258" s="7">
        <v>101469</v>
      </c>
      <c r="J258" s="287"/>
      <c r="K258" s="7">
        <f t="shared" ref="K258" si="157">SUM(E258:I258)</f>
        <v>1011041</v>
      </c>
      <c r="L258" s="6"/>
      <c r="M258" s="481">
        <f t="shared" ref="M258" si="158">+(K258-K257)/K257</f>
        <v>1.6805269070359868E-2</v>
      </c>
      <c r="N258" s="29"/>
      <c r="O258" s="29"/>
      <c r="P258" s="29"/>
      <c r="Q258" s="375">
        <f t="shared" ref="Q258" si="159">+K258-K257</f>
        <v>16710</v>
      </c>
      <c r="R258" s="6"/>
      <c r="S258" s="7">
        <f>34319+16761+4828</f>
        <v>55908</v>
      </c>
      <c r="T258" s="6"/>
      <c r="U258" s="286">
        <f t="shared" ref="U258" si="160">+S258/K258</f>
        <v>5.5297460736013673E-2</v>
      </c>
      <c r="W258">
        <f t="shared" si="20"/>
        <v>248</v>
      </c>
      <c r="Y258" s="56"/>
    </row>
    <row r="259" spans="3:25" x14ac:dyDescent="0.3">
      <c r="C259" s="170">
        <f t="shared" si="15"/>
        <v>44158</v>
      </c>
      <c r="E259" s="284">
        <v>602120</v>
      </c>
      <c r="F259" s="7"/>
      <c r="G259" s="7">
        <v>309588</v>
      </c>
      <c r="H259" s="7"/>
      <c r="I259" s="7">
        <v>106740</v>
      </c>
      <c r="J259" s="287"/>
      <c r="K259" s="7">
        <f t="shared" ref="K259" si="161">SUM(E259:I259)</f>
        <v>1018448</v>
      </c>
      <c r="L259" s="6"/>
      <c r="M259" s="481">
        <f t="shared" ref="M259" si="162">+(K259-K258)/K258</f>
        <v>7.3261123930681345E-3</v>
      </c>
      <c r="N259" s="29"/>
      <c r="O259" s="29"/>
      <c r="P259" s="29"/>
      <c r="Q259" s="375">
        <f t="shared" ref="Q259" si="163">+K259-K258</f>
        <v>7407</v>
      </c>
      <c r="R259" s="6"/>
      <c r="S259" s="7">
        <f>34339+16772+4871</f>
        <v>55982</v>
      </c>
      <c r="T259" s="6"/>
      <c r="U259" s="286">
        <f t="shared" ref="U259" si="164">+S259/K259</f>
        <v>5.496795123560555E-2</v>
      </c>
      <c r="W259">
        <f t="shared" si="20"/>
        <v>249</v>
      </c>
      <c r="Y259" s="56"/>
    </row>
    <row r="260" spans="3:25" x14ac:dyDescent="0.3">
      <c r="C260" s="170">
        <f t="shared" si="15"/>
        <v>44159</v>
      </c>
      <c r="E260" s="284">
        <v>607001</v>
      </c>
      <c r="F260" s="7"/>
      <c r="G260" s="7">
        <v>313863</v>
      </c>
      <c r="H260" s="7"/>
      <c r="I260" s="7">
        <v>107280</v>
      </c>
      <c r="J260" s="287"/>
      <c r="K260" s="7">
        <f t="shared" ref="K260" si="165">SUM(E260:I260)</f>
        <v>1028144</v>
      </c>
      <c r="L260" s="6"/>
      <c r="M260" s="481">
        <f t="shared" ref="M260" si="166">+(K260-K259)/K259</f>
        <v>9.5203682465869639E-3</v>
      </c>
      <c r="N260" s="29"/>
      <c r="O260" s="29"/>
      <c r="P260" s="29"/>
      <c r="Q260" s="375">
        <f t="shared" ref="Q260" si="167">+K260-K259</f>
        <v>9696</v>
      </c>
      <c r="R260" s="6"/>
      <c r="S260" s="7">
        <f>34339+16772+4871</f>
        <v>55982</v>
      </c>
      <c r="T260" s="6"/>
      <c r="U260" s="286">
        <f t="shared" ref="U260" si="168">+S260/K260</f>
        <v>5.4449571266281763E-2</v>
      </c>
      <c r="W260">
        <f t="shared" si="20"/>
        <v>250</v>
      </c>
      <c r="Y260" s="56"/>
    </row>
    <row r="261" spans="3:25" x14ac:dyDescent="0.3">
      <c r="C261" s="170">
        <f t="shared" si="15"/>
        <v>44160</v>
      </c>
      <c r="E261" s="284">
        <v>613266</v>
      </c>
      <c r="F261" s="7"/>
      <c r="G261" s="7">
        <v>317905</v>
      </c>
      <c r="H261" s="7"/>
      <c r="I261" s="7">
        <v>109152</v>
      </c>
      <c r="J261" s="287"/>
      <c r="K261" s="7">
        <f t="shared" ref="K261" si="169">SUM(E261:I261)</f>
        <v>1040323</v>
      </c>
      <c r="L261" s="6"/>
      <c r="M261" s="481">
        <f t="shared" ref="M261" si="170">+(K261-K260)/K260</f>
        <v>1.1845616956379651E-2</v>
      </c>
      <c r="N261" s="29"/>
      <c r="O261" s="29"/>
      <c r="P261" s="29"/>
      <c r="Q261" s="375">
        <f t="shared" ref="Q261" si="171">+K261-K260</f>
        <v>12179</v>
      </c>
      <c r="R261" s="6"/>
      <c r="S261" s="7">
        <f>34388+16886+4926</f>
        <v>56200</v>
      </c>
      <c r="T261" s="6"/>
      <c r="U261" s="286">
        <f t="shared" ref="U261" si="172">+S261/K261</f>
        <v>5.4021683650174034E-2</v>
      </c>
      <c r="W261">
        <f t="shared" si="20"/>
        <v>251</v>
      </c>
      <c r="Y261" s="56"/>
    </row>
    <row r="262" spans="3:25" x14ac:dyDescent="0.3">
      <c r="C262" s="170">
        <f t="shared" si="15"/>
        <v>44161</v>
      </c>
      <c r="E262" s="284">
        <v>620199</v>
      </c>
      <c r="F262" s="7"/>
      <c r="G262" s="7">
        <v>322378</v>
      </c>
      <c r="H262" s="7"/>
      <c r="I262" s="7">
        <v>109152</v>
      </c>
      <c r="J262" s="287"/>
      <c r="K262" s="7">
        <f t="shared" ref="K262" si="173">SUM(E262:I262)</f>
        <v>1051729</v>
      </c>
      <c r="L262" s="6"/>
      <c r="M262" s="481">
        <f t="shared" ref="M262" si="174">+(K262-K261)/K261</f>
        <v>1.0963902557186565E-2</v>
      </c>
      <c r="N262" s="29"/>
      <c r="O262" s="29"/>
      <c r="P262" s="29"/>
      <c r="Q262" s="375">
        <f t="shared" ref="Q262" si="175">+K262-K261</f>
        <v>11406</v>
      </c>
      <c r="R262" s="6"/>
      <c r="S262" s="7">
        <f>34443+16925+4926</f>
        <v>56294</v>
      </c>
      <c r="T262" s="6"/>
      <c r="U262" s="286">
        <f t="shared" ref="U262" si="176">+S262/K262</f>
        <v>5.3525195178605899E-2</v>
      </c>
      <c r="W262">
        <f t="shared" si="20"/>
        <v>252</v>
      </c>
      <c r="Y262" s="56"/>
    </row>
    <row r="263" spans="3:25" x14ac:dyDescent="0.3">
      <c r="C263" s="170">
        <f t="shared" si="15"/>
        <v>44162</v>
      </c>
      <c r="E263" s="284">
        <v>628375</v>
      </c>
      <c r="F263" s="7"/>
      <c r="G263" s="7">
        <v>326473</v>
      </c>
      <c r="H263" s="7"/>
      <c r="I263" s="7">
        <v>112581</v>
      </c>
      <c r="J263" s="287"/>
      <c r="K263" s="7">
        <f t="shared" ref="K263" si="177">SUM(E263:I263)</f>
        <v>1067429</v>
      </c>
      <c r="L263" s="6"/>
      <c r="M263" s="481">
        <f t="shared" ref="M263" si="178">+(K263-K262)/K262</f>
        <v>1.4927799841974501E-2</v>
      </c>
      <c r="N263" s="29"/>
      <c r="O263" s="29"/>
      <c r="P263" s="29"/>
      <c r="Q263" s="375">
        <f t="shared" ref="Q263" si="179">+K263-K262</f>
        <v>15700</v>
      </c>
      <c r="R263" s="6"/>
      <c r="S263" s="7">
        <f>34443+16925+4926</f>
        <v>56294</v>
      </c>
      <c r="T263" s="6"/>
      <c r="U263" s="286">
        <f t="shared" ref="U263" si="180">+S263/K263</f>
        <v>5.2737933857895936E-2</v>
      </c>
      <c r="W263">
        <f t="shared" si="20"/>
        <v>253</v>
      </c>
      <c r="Y263" s="56"/>
    </row>
    <row r="264" spans="3:25" x14ac:dyDescent="0.3">
      <c r="C264" s="170">
        <f t="shared" si="15"/>
        <v>44163</v>
      </c>
      <c r="E264" s="284">
        <v>634438</v>
      </c>
      <c r="F264" s="7"/>
      <c r="G264" s="7">
        <v>329553</v>
      </c>
      <c r="H264" s="7"/>
      <c r="I264" s="7">
        <v>112581</v>
      </c>
      <c r="J264" s="287"/>
      <c r="K264" s="7">
        <f t="shared" ref="K264" si="181">SUM(E264:I264)</f>
        <v>1076572</v>
      </c>
      <c r="L264" s="6"/>
      <c r="M264" s="481">
        <f t="shared" ref="M264" si="182">+(K264-K263)/K263</f>
        <v>8.5654408864664529E-3</v>
      </c>
      <c r="N264" s="29"/>
      <c r="O264" s="29"/>
      <c r="P264" s="29"/>
      <c r="Q264" s="375">
        <f t="shared" ref="Q264" si="183">+K264-K263</f>
        <v>9143</v>
      </c>
      <c r="R264" s="6"/>
      <c r="S264" s="7">
        <f>34443+16925+4926</f>
        <v>56294</v>
      </c>
      <c r="T264" s="6"/>
      <c r="U264" s="286">
        <f t="shared" ref="U264" si="184">+S264/K264</f>
        <v>5.2290046555176987E-2</v>
      </c>
      <c r="W264">
        <f t="shared" si="20"/>
        <v>254</v>
      </c>
      <c r="Y264" s="56"/>
    </row>
    <row r="265" spans="3:25" x14ac:dyDescent="0.3">
      <c r="C265" s="170">
        <f t="shared" si="15"/>
        <v>44164</v>
      </c>
      <c r="E265" s="284">
        <v>641161</v>
      </c>
      <c r="F265" s="7"/>
      <c r="G265" s="7">
        <v>334114</v>
      </c>
      <c r="H265" s="7"/>
      <c r="I265" s="7">
        <v>112581</v>
      </c>
      <c r="J265" s="287"/>
      <c r="K265" s="7">
        <f t="shared" ref="K265" si="185">SUM(E265:I265)</f>
        <v>1087856</v>
      </c>
      <c r="L265" s="6"/>
      <c r="M265" s="481">
        <f t="shared" ref="M265" si="186">+(K265-K264)/K264</f>
        <v>1.0481416941923068E-2</v>
      </c>
      <c r="N265" s="29"/>
      <c r="O265" s="29"/>
      <c r="P265" s="29"/>
      <c r="Q265" s="375">
        <f t="shared" ref="Q265" si="187">+K265-K264</f>
        <v>11284</v>
      </c>
      <c r="R265" s="6"/>
      <c r="S265" s="7">
        <f>34561+16978+4961</f>
        <v>56500</v>
      </c>
      <c r="T265" s="6"/>
      <c r="U265" s="286">
        <f t="shared" ref="U265" si="188">+S265/K265</f>
        <v>5.1937021076318923E-2</v>
      </c>
      <c r="W265">
        <f t="shared" si="20"/>
        <v>255</v>
      </c>
      <c r="Y265" s="56"/>
    </row>
    <row r="266" spans="3:25" x14ac:dyDescent="0.3">
      <c r="C266" s="170">
        <f t="shared" si="15"/>
        <v>44165</v>
      </c>
      <c r="E266" s="284">
        <v>647980</v>
      </c>
      <c r="F266" s="7"/>
      <c r="G266" s="7">
        <v>337304</v>
      </c>
      <c r="H266" s="7"/>
      <c r="I266" s="7">
        <v>117295</v>
      </c>
      <c r="J266" s="287"/>
      <c r="K266" s="7">
        <f t="shared" ref="K266" si="189">SUM(E266:I266)</f>
        <v>1102579</v>
      </c>
      <c r="L266" s="6"/>
      <c r="M266" s="481">
        <f t="shared" ref="M266" si="190">+(K266-K265)/K265</f>
        <v>1.3533960377108734E-2</v>
      </c>
      <c r="N266" s="29"/>
      <c r="O266" s="29"/>
      <c r="P266" s="29"/>
      <c r="Q266" s="375">
        <f t="shared" ref="Q266" si="191">+K266-K265</f>
        <v>14723</v>
      </c>
      <c r="R266" s="6"/>
      <c r="S266" s="7">
        <f>34605+16993+5020</f>
        <v>56618</v>
      </c>
      <c r="T266" s="6"/>
      <c r="U266" s="286">
        <f t="shared" ref="U266" si="192">+S266/K266</f>
        <v>5.1350515473267674E-2</v>
      </c>
      <c r="W266">
        <f t="shared" si="20"/>
        <v>256</v>
      </c>
      <c r="Y266" s="56"/>
    </row>
    <row r="267" spans="3:25" x14ac:dyDescent="0.3">
      <c r="C267" s="170">
        <f t="shared" si="15"/>
        <v>44166</v>
      </c>
      <c r="E267" s="284">
        <v>655265</v>
      </c>
      <c r="F267" s="7"/>
      <c r="G267" s="7">
        <v>341910</v>
      </c>
      <c r="H267" s="7"/>
      <c r="I267" s="7">
        <v>118754</v>
      </c>
      <c r="J267" s="287"/>
      <c r="K267" s="7">
        <f t="shared" ref="K267" si="193">SUM(E267:I267)</f>
        <v>1115929</v>
      </c>
      <c r="L267" s="6"/>
      <c r="M267" s="481">
        <f t="shared" ref="M267" si="194">+(K267-K266)/K266</f>
        <v>1.2107975936418162E-2</v>
      </c>
      <c r="N267" s="29"/>
      <c r="O267" s="29"/>
      <c r="P267" s="29"/>
      <c r="Q267" s="375">
        <f t="shared" ref="Q267" si="195">+K267-K266</f>
        <v>13350</v>
      </c>
      <c r="R267" s="6"/>
      <c r="S267" s="7">
        <f>34662+17083+5040</f>
        <v>56785</v>
      </c>
      <c r="T267" s="6"/>
      <c r="U267" s="286">
        <f t="shared" ref="U267" si="196">+S267/K267</f>
        <v>5.0885853849124807E-2</v>
      </c>
      <c r="W267">
        <f t="shared" si="20"/>
        <v>257</v>
      </c>
      <c r="Y267" s="56"/>
    </row>
    <row r="268" spans="3:25" x14ac:dyDescent="0.3">
      <c r="C268" s="170">
        <f t="shared" si="15"/>
        <v>44167</v>
      </c>
      <c r="E268" s="284">
        <v>664238</v>
      </c>
      <c r="F268" s="7"/>
      <c r="G268" s="7">
        <v>346206</v>
      </c>
      <c r="H268" s="7"/>
      <c r="I268" s="7">
        <v>121426</v>
      </c>
      <c r="J268" s="287"/>
      <c r="K268" s="7">
        <f t="shared" ref="K268" si="197">SUM(E268:I268)</f>
        <v>1131870</v>
      </c>
      <c r="L268" s="6"/>
      <c r="M268" s="481">
        <f t="shared" ref="M268" si="198">+(K268-K267)/K267</f>
        <v>1.4284958989326382E-2</v>
      </c>
      <c r="N268" s="29"/>
      <c r="O268" s="29"/>
      <c r="P268" s="29"/>
      <c r="Q268" s="375">
        <f t="shared" ref="Q268" si="199">+K268-K267</f>
        <v>15941</v>
      </c>
      <c r="R268" s="6"/>
      <c r="S268" s="7">
        <f>34662+17083+5040</f>
        <v>56785</v>
      </c>
      <c r="T268" s="6"/>
      <c r="U268" s="286">
        <f t="shared" ref="U268" si="200">+S268/K268</f>
        <v>5.0169189041144299E-2</v>
      </c>
      <c r="W268">
        <f t="shared" si="20"/>
        <v>258</v>
      </c>
      <c r="Y268" s="56"/>
    </row>
    <row r="269" spans="3:25" x14ac:dyDescent="0.3">
      <c r="C269" s="170">
        <f t="shared" si="15"/>
        <v>44168</v>
      </c>
      <c r="E269" s="284">
        <v>674093</v>
      </c>
      <c r="F269" s="7"/>
      <c r="G269" s="7">
        <v>350999</v>
      </c>
      <c r="H269" s="7"/>
      <c r="I269" s="7">
        <v>126177</v>
      </c>
      <c r="J269" s="287"/>
      <c r="K269" s="7">
        <f t="shared" ref="K269" si="201">SUM(E269:I269)</f>
        <v>1151269</v>
      </c>
      <c r="L269" s="6"/>
      <c r="M269" s="481">
        <f t="shared" ref="M269" si="202">+(K269-K268)/K268</f>
        <v>1.7138894042602066E-2</v>
      </c>
      <c r="N269" s="29"/>
      <c r="O269" s="29"/>
      <c r="P269" s="29"/>
      <c r="Q269" s="375">
        <f t="shared" ref="Q269" si="203">+K269-K268</f>
        <v>19399</v>
      </c>
      <c r="R269" s="6"/>
      <c r="S269" s="7">
        <f>34775+17209+5111</f>
        <v>57095</v>
      </c>
      <c r="T269" s="6"/>
      <c r="U269" s="286">
        <f t="shared" ref="U269" si="204">+S269/K269</f>
        <v>4.9593101177917584E-2</v>
      </c>
      <c r="W269">
        <f t="shared" si="20"/>
        <v>259</v>
      </c>
      <c r="Y269" s="56"/>
    </row>
    <row r="270" spans="3:25" x14ac:dyDescent="0.3">
      <c r="C270" s="170">
        <f t="shared" si="15"/>
        <v>44169</v>
      </c>
      <c r="E270" s="284">
        <v>685364</v>
      </c>
      <c r="F270" s="7"/>
      <c r="G270" s="7">
        <v>356662</v>
      </c>
      <c r="H270" s="7"/>
      <c r="I270" s="7">
        <v>127715</v>
      </c>
      <c r="J270" s="287"/>
      <c r="K270" s="7">
        <f t="shared" ref="K270" si="205">SUM(E270:I270)</f>
        <v>1169741</v>
      </c>
      <c r="L270" s="6"/>
      <c r="M270" s="481">
        <f t="shared" ref="M270" si="206">+(K270-K269)/K269</f>
        <v>1.6044903493449402E-2</v>
      </c>
      <c r="N270" s="29"/>
      <c r="O270" s="29"/>
      <c r="P270" s="29"/>
      <c r="Q270" s="375">
        <f t="shared" ref="Q270" si="207">+K270-K269</f>
        <v>18472</v>
      </c>
      <c r="R270" s="6"/>
      <c r="S270" s="7">
        <f>34830+17255+5146</f>
        <v>57231</v>
      </c>
      <c r="T270" s="6"/>
      <c r="U270" s="286">
        <f t="shared" ref="U270" si="208">+S270/K270</f>
        <v>4.8926215290393343E-2</v>
      </c>
      <c r="W270">
        <f t="shared" si="20"/>
        <v>260</v>
      </c>
      <c r="Y270" s="56"/>
    </row>
    <row r="271" spans="3:25" x14ac:dyDescent="0.3">
      <c r="C271" s="170">
        <f t="shared" si="15"/>
        <v>44170</v>
      </c>
      <c r="D271" s="592" t="s">
        <v>28</v>
      </c>
      <c r="E271" s="284">
        <v>696000</v>
      </c>
      <c r="F271" s="7"/>
      <c r="G271" s="7">
        <v>363000</v>
      </c>
      <c r="H271" s="7"/>
      <c r="I271" s="7">
        <v>127715</v>
      </c>
      <c r="J271" s="287"/>
      <c r="K271" s="7">
        <f t="shared" ref="K271:K272" si="209">SUM(E271:I271)</f>
        <v>1186715</v>
      </c>
      <c r="L271" s="6"/>
      <c r="M271" s="481">
        <f t="shared" ref="M271:M272" si="210">+(K271-K270)/K270</f>
        <v>1.4510904550665489E-2</v>
      </c>
      <c r="N271" s="29"/>
      <c r="O271" s="29"/>
      <c r="P271" s="29"/>
      <c r="Q271" s="375">
        <f t="shared" ref="Q271:Q272" si="211">+K271-K270</f>
        <v>16974</v>
      </c>
      <c r="R271" s="6"/>
      <c r="S271" s="7">
        <f t="shared" ref="S271" si="212">34830+17255+5146</f>
        <v>57231</v>
      </c>
      <c r="T271" s="6"/>
      <c r="U271" s="286">
        <f t="shared" ref="U271:U272" si="213">+S271/K271</f>
        <v>4.822640650872366E-2</v>
      </c>
      <c r="W271">
        <f t="shared" si="20"/>
        <v>261</v>
      </c>
      <c r="Y271" s="56"/>
    </row>
    <row r="272" spans="3:25" x14ac:dyDescent="0.3">
      <c r="C272" s="170">
        <f t="shared" si="15"/>
        <v>44171</v>
      </c>
      <c r="E272" s="284">
        <v>705827</v>
      </c>
      <c r="F272" s="7"/>
      <c r="G272" s="7">
        <v>368016</v>
      </c>
      <c r="H272" s="7"/>
      <c r="I272" s="7">
        <v>127715</v>
      </c>
      <c r="J272" s="287"/>
      <c r="K272" s="7">
        <f t="shared" si="209"/>
        <v>1201558</v>
      </c>
      <c r="L272" s="6"/>
      <c r="M272" s="481">
        <f t="shared" si="210"/>
        <v>1.2507636627159849E-2</v>
      </c>
      <c r="N272" s="29"/>
      <c r="O272" s="29"/>
      <c r="P272" s="29"/>
      <c r="Q272" s="375">
        <f t="shared" si="211"/>
        <v>14843</v>
      </c>
      <c r="R272" s="6"/>
      <c r="S272" s="7">
        <f>34980+17321+5146</f>
        <v>57447</v>
      </c>
      <c r="T272" s="6"/>
      <c r="U272" s="286">
        <f t="shared" si="213"/>
        <v>4.7810426130074454E-2</v>
      </c>
      <c r="W272">
        <f t="shared" si="20"/>
        <v>262</v>
      </c>
      <c r="Y272" s="56"/>
    </row>
    <row r="273" spans="3:32" x14ac:dyDescent="0.3">
      <c r="C273" s="170">
        <f t="shared" si="15"/>
        <v>44172</v>
      </c>
      <c r="E273" s="284">
        <v>713129</v>
      </c>
      <c r="F273" s="7"/>
      <c r="G273" s="7">
        <v>371579</v>
      </c>
      <c r="H273" s="7"/>
      <c r="I273" s="7">
        <v>135844</v>
      </c>
      <c r="J273" s="287"/>
      <c r="K273" s="7">
        <f t="shared" ref="K273" si="214">SUM(E273:I273)</f>
        <v>1220552</v>
      </c>
      <c r="L273" s="6"/>
      <c r="M273" s="481">
        <f t="shared" ref="M273" si="215">+(K273-K272)/K272</f>
        <v>1.5807809527297059E-2</v>
      </c>
      <c r="N273" s="29"/>
      <c r="O273" s="29"/>
      <c r="P273" s="29"/>
      <c r="Q273" s="375">
        <f t="shared" ref="Q273" si="216">+K273-K272</f>
        <v>18994</v>
      </c>
      <c r="R273" s="6"/>
      <c r="S273" s="7">
        <f>35034+17336+5224</f>
        <v>57594</v>
      </c>
      <c r="T273" s="6"/>
      <c r="U273" s="286">
        <f t="shared" ref="U273" si="217">+S273/K273</f>
        <v>4.7186846607108916E-2</v>
      </c>
      <c r="W273">
        <f t="shared" si="20"/>
        <v>263</v>
      </c>
      <c r="Y273" s="56"/>
    </row>
    <row r="274" spans="3:32" x14ac:dyDescent="0.3">
      <c r="C274" s="170">
        <f t="shared" si="15"/>
        <v>44173</v>
      </c>
      <c r="E274" s="284">
        <v>722464</v>
      </c>
      <c r="F274" s="7"/>
      <c r="G274" s="7">
        <v>377055</v>
      </c>
      <c r="H274" s="7"/>
      <c r="I274" s="7">
        <v>138258</v>
      </c>
      <c r="J274" s="287"/>
      <c r="K274" s="7">
        <f t="shared" ref="K274" si="218">SUM(E274:I274)</f>
        <v>1237777</v>
      </c>
      <c r="L274" s="6"/>
      <c r="M274" s="481">
        <f t="shared" ref="M274" si="219">+(K274-K273)/K273</f>
        <v>1.4112467146012624E-2</v>
      </c>
      <c r="N274" s="29"/>
      <c r="O274" s="29"/>
      <c r="P274" s="29"/>
      <c r="Q274" s="375">
        <f t="shared" ref="Q274" si="220">+K274-K273</f>
        <v>17225</v>
      </c>
      <c r="R274" s="6"/>
      <c r="S274" s="7">
        <f>35118+17426+5242</f>
        <v>57786</v>
      </c>
      <c r="T274" s="6"/>
      <c r="U274" s="286">
        <f t="shared" ref="U274" si="221">+S274/K274</f>
        <v>4.668530761195272E-2</v>
      </c>
      <c r="W274">
        <f t="shared" si="20"/>
        <v>264</v>
      </c>
      <c r="Y274" s="56"/>
    </row>
    <row r="275" spans="3:32" x14ac:dyDescent="0.3">
      <c r="C275" s="170">
        <f t="shared" si="15"/>
        <v>44174</v>
      </c>
      <c r="E275" s="284">
        <v>733064</v>
      </c>
      <c r="F275" s="7"/>
      <c r="G275" s="7">
        <v>381486</v>
      </c>
      <c r="H275" s="7"/>
      <c r="I275" s="7">
        <v>140548</v>
      </c>
      <c r="J275" s="287"/>
      <c r="K275" s="7">
        <f t="shared" ref="K275" si="222">SUM(E275:I275)</f>
        <v>1255098</v>
      </c>
      <c r="L275" s="6"/>
      <c r="M275" s="481">
        <f t="shared" ref="M275" si="223">+(K275-K274)/K274</f>
        <v>1.3993635364043766E-2</v>
      </c>
      <c r="N275" s="29"/>
      <c r="O275" s="29"/>
      <c r="P275" s="29"/>
      <c r="Q275" s="375">
        <f t="shared" ref="Q275" si="224">+K275-K274</f>
        <v>17321</v>
      </c>
      <c r="R275" s="6"/>
      <c r="S275" s="7">
        <f>35183+17542+5285</f>
        <v>58010</v>
      </c>
      <c r="T275" s="6"/>
      <c r="U275" s="286">
        <f t="shared" ref="U275" si="225">+S275/K275</f>
        <v>4.6219498397734676E-2</v>
      </c>
      <c r="W275">
        <f t="shared" si="20"/>
        <v>265</v>
      </c>
      <c r="Y275" s="56"/>
    </row>
    <row r="276" spans="3:32" x14ac:dyDescent="0.3">
      <c r="C276" s="170">
        <f t="shared" si="15"/>
        <v>44175</v>
      </c>
      <c r="E276" s="284">
        <v>743242</v>
      </c>
      <c r="F276" s="7"/>
      <c r="G276" s="7">
        <v>386606</v>
      </c>
      <c r="H276" s="7"/>
      <c r="I276" s="7">
        <v>142979</v>
      </c>
      <c r="J276" s="287"/>
      <c r="K276" s="7">
        <f t="shared" ref="K276" si="226">SUM(E276:I276)</f>
        <v>1272827</v>
      </c>
      <c r="L276" s="6"/>
      <c r="M276" s="481">
        <f t="shared" ref="M276" si="227">+(K276-K275)/K275</f>
        <v>1.4125590192957045E-2</v>
      </c>
      <c r="N276" s="29"/>
      <c r="O276" s="29"/>
      <c r="P276" s="29"/>
      <c r="Q276" s="375">
        <f t="shared" ref="Q276" si="228">+K276-K275</f>
        <v>17729</v>
      </c>
      <c r="R276" s="6"/>
      <c r="S276" s="7">
        <f>35266+17608+5327</f>
        <v>58201</v>
      </c>
      <c r="T276" s="6"/>
      <c r="U276" s="286">
        <f t="shared" ref="U276" si="229">+S276/K276</f>
        <v>4.5725774201835753E-2</v>
      </c>
      <c r="W276">
        <f t="shared" si="20"/>
        <v>266</v>
      </c>
      <c r="Y276" s="56"/>
    </row>
    <row r="277" spans="3:32" x14ac:dyDescent="0.3">
      <c r="C277" s="170">
        <f t="shared" si="15"/>
        <v>44176</v>
      </c>
      <c r="E277" s="284">
        <v>753837</v>
      </c>
      <c r="F277" s="7"/>
      <c r="G277" s="7">
        <v>390256</v>
      </c>
      <c r="H277" s="7"/>
      <c r="I277" s="7">
        <v>146761</v>
      </c>
      <c r="J277" s="287"/>
      <c r="K277" s="7">
        <f t="shared" ref="K277" si="230">SUM(E277:I277)</f>
        <v>1290854</v>
      </c>
      <c r="L277" s="6"/>
      <c r="M277" s="481">
        <f t="shared" ref="M277" si="231">+(K277-K276)/K276</f>
        <v>1.4162961659361406E-2</v>
      </c>
      <c r="N277" s="29"/>
      <c r="O277" s="29"/>
      <c r="P277" s="29"/>
      <c r="Q277" s="375">
        <f t="shared" ref="Q277" si="232">+K277-K276</f>
        <v>18027</v>
      </c>
      <c r="R277" s="6"/>
      <c r="S277" s="7">
        <f>35357+17662+5363</f>
        <v>58382</v>
      </c>
      <c r="T277" s="6"/>
      <c r="U277" s="286">
        <f t="shared" ref="U277" si="233">+S277/K277</f>
        <v>4.5227423085802111E-2</v>
      </c>
      <c r="W277">
        <f t="shared" si="20"/>
        <v>267</v>
      </c>
      <c r="Y277" s="56"/>
    </row>
    <row r="278" spans="3:32" x14ac:dyDescent="0.3">
      <c r="C278" s="170">
        <f t="shared" si="15"/>
        <v>44177</v>
      </c>
      <c r="E278" s="284">
        <v>764966</v>
      </c>
      <c r="F278" s="7"/>
      <c r="G278" s="7">
        <v>396496</v>
      </c>
      <c r="H278" s="7"/>
      <c r="I278" s="7">
        <v>146761</v>
      </c>
      <c r="J278" s="287"/>
      <c r="K278" s="7">
        <f t="shared" ref="K278" si="234">SUM(E278:I278)</f>
        <v>1308223</v>
      </c>
      <c r="L278" s="6"/>
      <c r="M278" s="481">
        <f t="shared" ref="M278" si="235">+(K278-K277)/K277</f>
        <v>1.3455433379762545E-2</v>
      </c>
      <c r="N278" s="29"/>
      <c r="O278" s="29"/>
      <c r="P278" s="29"/>
      <c r="Q278" s="375">
        <f t="shared" ref="Q278" si="236">+K278-K277</f>
        <v>17369</v>
      </c>
      <c r="R278" s="6"/>
      <c r="S278" s="7">
        <f>35441+17732+5363</f>
        <v>58536</v>
      </c>
      <c r="T278" s="6"/>
      <c r="U278" s="286">
        <f t="shared" ref="U278" si="237">+S278/K278</f>
        <v>4.4744665091501983E-2</v>
      </c>
      <c r="W278">
        <f t="shared" si="20"/>
        <v>268</v>
      </c>
      <c r="Y278" s="56"/>
    </row>
    <row r="279" spans="3:32" x14ac:dyDescent="0.3">
      <c r="C279" s="170">
        <f t="shared" si="15"/>
        <v>44178</v>
      </c>
      <c r="E279" s="284">
        <v>775160</v>
      </c>
      <c r="F279" s="7"/>
      <c r="G279" s="7">
        <v>400650</v>
      </c>
      <c r="H279" s="7"/>
      <c r="I279" s="7">
        <v>146761</v>
      </c>
      <c r="J279" s="287"/>
      <c r="K279" s="7">
        <f t="shared" ref="K279" si="238">SUM(E279:I279)</f>
        <v>1322571</v>
      </c>
      <c r="L279" s="6"/>
      <c r="M279" s="481">
        <f t="shared" ref="M279" si="239">+(K279-K278)/K278</f>
        <v>1.0967549110510975E-2</v>
      </c>
      <c r="N279" s="29"/>
      <c r="O279" s="29"/>
      <c r="P279" s="29"/>
      <c r="Q279" s="375">
        <f t="shared" ref="Q279" si="240">+K279-K278</f>
        <v>14348</v>
      </c>
      <c r="R279" s="6"/>
      <c r="S279" s="7">
        <f>35557+17751+5363</f>
        <v>58671</v>
      </c>
      <c r="T279" s="6"/>
      <c r="U279" s="286">
        <f t="shared" ref="U279" si="241">+S279/K279</f>
        <v>4.4361323513066597E-2</v>
      </c>
      <c r="W279">
        <f t="shared" si="20"/>
        <v>269</v>
      </c>
      <c r="Y279" s="56"/>
    </row>
    <row r="280" spans="3:32" x14ac:dyDescent="0.3">
      <c r="C280" s="170">
        <f t="shared" si="15"/>
        <v>44179</v>
      </c>
      <c r="D280" s="592" t="s">
        <v>28</v>
      </c>
      <c r="E280" s="284">
        <v>785160</v>
      </c>
      <c r="F280" s="7"/>
      <c r="G280" s="7">
        <v>405650</v>
      </c>
      <c r="H280" s="7"/>
      <c r="I280" s="7">
        <v>149761</v>
      </c>
      <c r="J280" s="287"/>
      <c r="K280" s="7">
        <f t="shared" ref="K280" si="242">SUM(E280:I280)</f>
        <v>1340571</v>
      </c>
      <c r="L280" s="6"/>
      <c r="M280" s="481">
        <f t="shared" ref="M280" si="243">+(K280-K279)/K279</f>
        <v>1.3609855349920723E-2</v>
      </c>
      <c r="N280" s="29"/>
      <c r="O280" s="29"/>
      <c r="P280" s="29"/>
      <c r="Q280" s="375">
        <f t="shared" ref="Q280" si="244">+K280-K279</f>
        <v>18000</v>
      </c>
      <c r="R280" s="6"/>
      <c r="S280" s="7">
        <f>35557+17751+5363</f>
        <v>58671</v>
      </c>
      <c r="T280" s="6"/>
      <c r="U280" s="286">
        <f t="shared" ref="U280" si="245">+S280/K280</f>
        <v>4.376567895322217E-2</v>
      </c>
      <c r="W280">
        <f t="shared" si="20"/>
        <v>270</v>
      </c>
      <c r="Y280" s="56"/>
    </row>
    <row r="281" spans="3:32" x14ac:dyDescent="0.3">
      <c r="C281" s="170">
        <f t="shared" si="15"/>
        <v>44180</v>
      </c>
      <c r="E281" s="284">
        <v>794557</v>
      </c>
      <c r="F281" s="7"/>
      <c r="G281" s="7">
        <v>409414</v>
      </c>
      <c r="H281" s="7"/>
      <c r="I281" s="7">
        <v>155462</v>
      </c>
      <c r="J281" s="287"/>
      <c r="K281" s="7">
        <f t="shared" ref="K281" si="246">SUM(E281:I281)</f>
        <v>1359433</v>
      </c>
      <c r="L281" s="6"/>
      <c r="M281" s="481">
        <f t="shared" ref="M281" si="247">+(K281-K280)/K280</f>
        <v>1.4070123850210097E-2</v>
      </c>
      <c r="N281" s="29"/>
      <c r="O281" s="29"/>
      <c r="P281" s="29"/>
      <c r="Q281" s="375">
        <f t="shared" ref="Q281" si="248">+K281-K280</f>
        <v>18862</v>
      </c>
      <c r="R281" s="6"/>
      <c r="S281" s="7">
        <f>35831+17872+5466</f>
        <v>59169</v>
      </c>
      <c r="T281" s="6"/>
      <c r="U281" s="286">
        <f t="shared" ref="U281" si="249">+S281/K281</f>
        <v>4.3524763633073497E-2</v>
      </c>
      <c r="W281">
        <f t="shared" si="20"/>
        <v>271</v>
      </c>
      <c r="Y281" s="56"/>
    </row>
    <row r="282" spans="3:32" x14ac:dyDescent="0.3">
      <c r="C282" s="170">
        <f t="shared" si="15"/>
        <v>44181</v>
      </c>
      <c r="D282" s="592" t="s">
        <v>28</v>
      </c>
      <c r="E282" s="284">
        <v>815000</v>
      </c>
      <c r="F282" s="7"/>
      <c r="G282" s="7">
        <v>412000</v>
      </c>
      <c r="H282" s="7"/>
      <c r="I282" s="7">
        <v>157000</v>
      </c>
      <c r="J282" s="287"/>
      <c r="K282" s="7">
        <f t="shared" ref="K282:K283" si="250">SUM(E282:I282)</f>
        <v>1384000</v>
      </c>
      <c r="L282" s="6"/>
      <c r="M282" s="481">
        <f t="shared" ref="M282:M283" si="251">+(K282-K281)/K281</f>
        <v>1.8071504811197021E-2</v>
      </c>
      <c r="N282" s="29"/>
      <c r="O282" s="29"/>
      <c r="P282" s="29"/>
      <c r="Q282" s="375">
        <f t="shared" ref="Q282:Q283" si="252">+K282-K281</f>
        <v>24567</v>
      </c>
      <c r="R282" s="6"/>
      <c r="S282" s="7">
        <f>35831+17872+5466</f>
        <v>59169</v>
      </c>
      <c r="T282" s="6"/>
      <c r="U282" s="286">
        <f t="shared" ref="U282:U283" si="253">+S282/K282</f>
        <v>4.2752167630057805E-2</v>
      </c>
      <c r="W282">
        <f t="shared" si="20"/>
        <v>272</v>
      </c>
      <c r="Y282" s="56"/>
    </row>
    <row r="283" spans="3:32" x14ac:dyDescent="0.3">
      <c r="C283" s="170">
        <f t="shared" si="15"/>
        <v>44182</v>
      </c>
      <c r="D283" s="592" t="s">
        <v>28</v>
      </c>
      <c r="E283" s="284">
        <v>822000</v>
      </c>
      <c r="F283" s="7"/>
      <c r="G283" s="7">
        <v>415000</v>
      </c>
      <c r="H283" s="7"/>
      <c r="I283" s="7">
        <v>158000</v>
      </c>
      <c r="J283" s="287"/>
      <c r="K283" s="7">
        <f t="shared" si="250"/>
        <v>1395000</v>
      </c>
      <c r="L283" s="6"/>
      <c r="M283" s="481">
        <f t="shared" si="251"/>
        <v>7.9479768786127163E-3</v>
      </c>
      <c r="N283" s="29"/>
      <c r="O283" s="29"/>
      <c r="P283" s="29"/>
      <c r="Q283" s="375">
        <f t="shared" si="252"/>
        <v>11000</v>
      </c>
      <c r="R283" s="6"/>
      <c r="S283" s="7">
        <f>36177+18124+5581</f>
        <v>59882</v>
      </c>
      <c r="T283" s="6"/>
      <c r="U283" s="286">
        <f t="shared" si="253"/>
        <v>4.2926164874551968E-2</v>
      </c>
      <c r="W283">
        <f t="shared" si="20"/>
        <v>273</v>
      </c>
      <c r="Y283" s="56"/>
      <c r="AF283" s="592" t="s">
        <v>28</v>
      </c>
    </row>
    <row r="284" spans="3:32" x14ac:dyDescent="0.3">
      <c r="C284" s="170">
        <f t="shared" si="15"/>
        <v>44183</v>
      </c>
      <c r="E284" s="284">
        <v>828166</v>
      </c>
      <c r="F284" s="7"/>
      <c r="G284" s="7">
        <v>423226</v>
      </c>
      <c r="H284" s="7"/>
      <c r="I284" s="7">
        <v>160102</v>
      </c>
      <c r="J284" s="287"/>
      <c r="K284" s="7">
        <f t="shared" ref="K284" si="254">SUM(E284:I284)</f>
        <v>1411494</v>
      </c>
      <c r="L284" s="6"/>
      <c r="M284" s="481">
        <f t="shared" ref="M284" si="255">+(K284-K283)/K283</f>
        <v>1.1823655913978494E-2</v>
      </c>
      <c r="N284" s="29"/>
      <c r="O284" s="29"/>
      <c r="P284" s="29"/>
      <c r="Q284" s="375">
        <f t="shared" ref="Q284" si="256">+K284-K283</f>
        <v>16494</v>
      </c>
      <c r="R284" s="6"/>
      <c r="S284" s="7">
        <f>36177+18124+5581</f>
        <v>59882</v>
      </c>
      <c r="T284" s="6"/>
      <c r="U284" s="286">
        <f t="shared" ref="U284" si="257">+S284/K284</f>
        <v>4.2424551574431063E-2</v>
      </c>
      <c r="W284">
        <f t="shared" si="20"/>
        <v>274</v>
      </c>
      <c r="Y284" s="56"/>
      <c r="AF284" s="592"/>
    </row>
    <row r="285" spans="3:32" x14ac:dyDescent="0.3">
      <c r="C285" s="170">
        <f t="shared" si="15"/>
        <v>44184</v>
      </c>
      <c r="E285" s="284">
        <v>838085</v>
      </c>
      <c r="F285" s="7"/>
      <c r="G285" s="7">
        <v>427417</v>
      </c>
      <c r="H285" s="7"/>
      <c r="I285" s="7">
        <v>162782</v>
      </c>
      <c r="J285" s="287"/>
      <c r="K285" s="7">
        <f t="shared" ref="K285" si="258">SUM(E285:I285)</f>
        <v>1428284</v>
      </c>
      <c r="L285" s="6"/>
      <c r="M285" s="481">
        <f t="shared" ref="M285" si="259">+(K285-K284)/K284</f>
        <v>1.1895197570800868E-2</v>
      </c>
      <c r="N285" s="29"/>
      <c r="O285" s="29"/>
      <c r="P285" s="29"/>
      <c r="Q285" s="375">
        <f t="shared" ref="Q285" si="260">+K285-K284</f>
        <v>16790</v>
      </c>
      <c r="R285" s="6"/>
      <c r="S285" s="7">
        <f>36318+18173+5581</f>
        <v>60072</v>
      </c>
      <c r="T285" s="6"/>
      <c r="U285" s="286">
        <f t="shared" ref="U285" si="261">+S285/K285</f>
        <v>4.2058862243083306E-2</v>
      </c>
      <c r="W285">
        <f t="shared" si="20"/>
        <v>275</v>
      </c>
      <c r="Y285" s="56"/>
      <c r="AF285" s="592"/>
    </row>
    <row r="286" spans="3:32" x14ac:dyDescent="0.3">
      <c r="C286" s="170">
        <f t="shared" si="15"/>
        <v>44185</v>
      </c>
      <c r="E286" s="284">
        <v>848042</v>
      </c>
      <c r="F286" s="7"/>
      <c r="G286" s="7">
        <v>432592</v>
      </c>
      <c r="H286" s="7"/>
      <c r="I286" s="7">
        <v>162782</v>
      </c>
      <c r="J286" s="287"/>
      <c r="K286" s="7">
        <f t="shared" ref="K286" si="262">SUM(E286:I286)</f>
        <v>1443416</v>
      </c>
      <c r="L286" s="6"/>
      <c r="M286" s="481">
        <f t="shared" ref="M286" si="263">+(K286-K285)/K285</f>
        <v>1.0594531619761895E-2</v>
      </c>
      <c r="N286" s="29"/>
      <c r="O286" s="29"/>
      <c r="P286" s="29"/>
      <c r="Q286" s="375">
        <f t="shared" ref="Q286" si="264">+K286-K285</f>
        <v>15132</v>
      </c>
      <c r="R286" s="6"/>
      <c r="S286" s="7">
        <f>36431+18194+5581</f>
        <v>60206</v>
      </c>
      <c r="T286" s="6"/>
      <c r="U286" s="286">
        <f t="shared" ref="U286" si="265">+S286/K286</f>
        <v>4.1710774994873273E-2</v>
      </c>
      <c r="W286">
        <f t="shared" si="20"/>
        <v>276</v>
      </c>
      <c r="Y286" s="56"/>
      <c r="AF286" s="592"/>
    </row>
    <row r="287" spans="3:32" x14ac:dyDescent="0.3">
      <c r="C287" s="170">
        <f t="shared" si="15"/>
        <v>44186</v>
      </c>
      <c r="E287" s="284">
        <v>857049</v>
      </c>
      <c r="F287" s="7"/>
      <c r="G287" s="7">
        <v>435763</v>
      </c>
      <c r="H287" s="7"/>
      <c r="I287" s="7">
        <v>167377</v>
      </c>
      <c r="J287" s="287"/>
      <c r="K287" s="7">
        <f t="shared" ref="K287" si="266">SUM(E287:I287)</f>
        <v>1460189</v>
      </c>
      <c r="L287" s="6"/>
      <c r="M287" s="481">
        <f t="shared" ref="M287" si="267">+(K287-K286)/K286</f>
        <v>1.1620350612713175E-2</v>
      </c>
      <c r="N287" s="29"/>
      <c r="O287" s="29"/>
      <c r="P287" s="29"/>
      <c r="Q287" s="375">
        <f t="shared" ref="Q287" si="268">+K287-K286</f>
        <v>16773</v>
      </c>
      <c r="R287" s="6"/>
      <c r="S287" s="7">
        <f>36568+18223+5676</f>
        <v>60467</v>
      </c>
      <c r="T287" s="6"/>
      <c r="U287" s="286">
        <f t="shared" ref="U287" si="269">+S287/K287</f>
        <v>4.1410392764224355E-2</v>
      </c>
      <c r="W287">
        <f t="shared" si="20"/>
        <v>277</v>
      </c>
      <c r="Y287" s="56"/>
      <c r="AF287" s="592"/>
    </row>
    <row r="288" spans="3:32" x14ac:dyDescent="0.3">
      <c r="C288" s="170">
        <f t="shared" si="15"/>
        <v>44187</v>
      </c>
      <c r="E288" s="284">
        <v>866765</v>
      </c>
      <c r="F288" s="7"/>
      <c r="G288" s="7">
        <v>440366</v>
      </c>
      <c r="H288" s="7"/>
      <c r="I288" s="7">
        <v>168960</v>
      </c>
      <c r="J288" s="287"/>
      <c r="K288" s="7">
        <f t="shared" ref="K288" si="270">SUM(E288:I288)</f>
        <v>1476091</v>
      </c>
      <c r="L288" s="6"/>
      <c r="M288" s="481">
        <f t="shared" ref="M288" si="271">+(K288-K287)/K287</f>
        <v>1.0890371041009074E-2</v>
      </c>
      <c r="N288" s="29"/>
      <c r="O288" s="29"/>
      <c r="P288" s="29"/>
      <c r="Q288" s="375">
        <f t="shared" ref="Q288" si="272">+K288-K287</f>
        <v>15902</v>
      </c>
      <c r="R288" s="6"/>
      <c r="S288" s="7">
        <f>36724+18326+5703</f>
        <v>60753</v>
      </c>
      <c r="T288" s="6"/>
      <c r="U288" s="286">
        <f t="shared" ref="U288" si="273">+S288/K288</f>
        <v>4.1158031584773568E-2</v>
      </c>
      <c r="W288">
        <f t="shared" si="20"/>
        <v>278</v>
      </c>
      <c r="Y288" s="56"/>
      <c r="AF288" s="592"/>
    </row>
    <row r="289" spans="3:32" x14ac:dyDescent="0.3">
      <c r="C289" s="170">
        <f t="shared" si="15"/>
        <v>44188</v>
      </c>
      <c r="E289" s="284">
        <v>878702</v>
      </c>
      <c r="F289" s="7"/>
      <c r="G289" s="7">
        <v>445138</v>
      </c>
      <c r="H289" s="7"/>
      <c r="I289" s="7">
        <v>170705</v>
      </c>
      <c r="J289" s="287"/>
      <c r="K289" s="7">
        <f t="shared" ref="K289" si="274">SUM(E289:I289)</f>
        <v>1494545</v>
      </c>
      <c r="L289" s="6"/>
      <c r="M289" s="481">
        <f t="shared" ref="M289" si="275">+(K289-K288)/K288</f>
        <v>1.2501939243583221E-2</v>
      </c>
      <c r="N289" s="29"/>
      <c r="O289" s="29"/>
      <c r="P289" s="29"/>
      <c r="Q289" s="375">
        <f t="shared" ref="Q289" si="276">+K289-K288</f>
        <v>18454</v>
      </c>
      <c r="R289" s="6"/>
      <c r="S289" s="7">
        <f>36876+18466+5736</f>
        <v>61078</v>
      </c>
      <c r="T289" s="6"/>
      <c r="U289" s="286">
        <f t="shared" ref="U289" si="277">+S289/K289</f>
        <v>4.0867287368396399E-2</v>
      </c>
      <c r="W289">
        <f t="shared" si="20"/>
        <v>279</v>
      </c>
      <c r="Y289" s="56"/>
      <c r="AF289" s="592"/>
    </row>
    <row r="290" spans="3:32" x14ac:dyDescent="0.3">
      <c r="C290" s="170">
        <f t="shared" si="15"/>
        <v>44189</v>
      </c>
      <c r="E290" s="284">
        <v>891270</v>
      </c>
      <c r="F290" s="7"/>
      <c r="G290" s="7">
        <v>449842</v>
      </c>
      <c r="H290" s="7"/>
      <c r="I290" s="7">
        <v>172742</v>
      </c>
      <c r="J290" s="287"/>
      <c r="K290" s="7">
        <f t="shared" ref="K290" si="278">SUM(E290:I290)</f>
        <v>1513854</v>
      </c>
      <c r="L290" s="6"/>
      <c r="M290" s="481">
        <f t="shared" ref="M290" si="279">+(K290-K289)/K289</f>
        <v>1.2919651131280758E-2</v>
      </c>
      <c r="N290" s="29"/>
      <c r="O290" s="29"/>
      <c r="P290" s="29"/>
      <c r="Q290" s="375">
        <f t="shared" ref="Q290" si="280">+K290-K289</f>
        <v>19309</v>
      </c>
      <c r="R290" s="6"/>
      <c r="S290" s="7">
        <f>37028+18544+5791</f>
        <v>61363</v>
      </c>
      <c r="T290" s="6"/>
      <c r="U290" s="286">
        <f t="shared" ref="U290" si="281">+S290/K290</f>
        <v>4.0534291946251091E-2</v>
      </c>
      <c r="W290">
        <f t="shared" si="20"/>
        <v>280</v>
      </c>
      <c r="Y290" s="56"/>
      <c r="AF290" s="592"/>
    </row>
    <row r="291" spans="3:32" x14ac:dyDescent="0.3">
      <c r="C291" s="170">
        <f t="shared" si="15"/>
        <v>44190</v>
      </c>
      <c r="E291" s="284">
        <v>903716</v>
      </c>
      <c r="F291" s="7"/>
      <c r="G291" s="7">
        <v>454902</v>
      </c>
      <c r="H291" s="7"/>
      <c r="I291" s="7">
        <v>172743</v>
      </c>
      <c r="J291" s="287"/>
      <c r="K291" s="7">
        <f t="shared" ref="K291" si="282">SUM(E291:I291)</f>
        <v>1531361</v>
      </c>
      <c r="L291" s="6"/>
      <c r="M291" s="481">
        <f t="shared" ref="M291" si="283">+(K291-K290)/K290</f>
        <v>1.156452339525476E-2</v>
      </c>
      <c r="N291" s="29"/>
      <c r="O291" s="29"/>
      <c r="P291" s="29"/>
      <c r="Q291" s="375">
        <f t="shared" ref="Q291" si="284">+K291-K290</f>
        <v>17507</v>
      </c>
      <c r="R291" s="6"/>
      <c r="S291" s="7">
        <f>37028+18544+5791</f>
        <v>61363</v>
      </c>
      <c r="T291" s="6"/>
      <c r="U291" s="286">
        <f t="shared" ref="U291" si="285">+S291/K291</f>
        <v>4.0070891187642885E-2</v>
      </c>
      <c r="W291">
        <f t="shared" si="20"/>
        <v>281</v>
      </c>
      <c r="Y291" s="56"/>
      <c r="AF291" s="592"/>
    </row>
    <row r="292" spans="3:32" x14ac:dyDescent="0.3">
      <c r="C292" s="170">
        <f t="shared" si="15"/>
        <v>44191</v>
      </c>
      <c r="E292" s="284">
        <v>914522</v>
      </c>
      <c r="F292" s="7"/>
      <c r="G292" s="7">
        <v>458901</v>
      </c>
      <c r="H292" s="7"/>
      <c r="I292" s="7">
        <v>172743</v>
      </c>
      <c r="J292" s="287"/>
      <c r="K292" s="7">
        <f t="shared" ref="K292" si="286">SUM(E292:I292)</f>
        <v>1546166</v>
      </c>
      <c r="L292" s="6"/>
      <c r="M292" s="481">
        <f t="shared" ref="M292" si="287">+(K292-K291)/K291</f>
        <v>9.6678706066041908E-3</v>
      </c>
      <c r="N292" s="29"/>
      <c r="O292" s="29"/>
      <c r="P292" s="29"/>
      <c r="Q292" s="375">
        <f t="shared" ref="Q292" si="288">+K292-K291</f>
        <v>14805</v>
      </c>
      <c r="R292" s="6"/>
      <c r="S292" s="7">
        <f>37286+18613+5791</f>
        <v>61690</v>
      </c>
      <c r="T292" s="6"/>
      <c r="U292" s="286">
        <f t="shared" ref="U292" si="289">+S292/K292</f>
        <v>3.9898691343620285E-2</v>
      </c>
      <c r="W292">
        <f t="shared" si="20"/>
        <v>282</v>
      </c>
      <c r="Y292" s="56"/>
      <c r="AF292" s="592"/>
    </row>
    <row r="293" spans="3:32" x14ac:dyDescent="0.3">
      <c r="C293" s="170">
        <f t="shared" si="15"/>
        <v>44192</v>
      </c>
      <c r="E293" s="284">
        <v>922145</v>
      </c>
      <c r="F293" s="7"/>
      <c r="G293" s="7">
        <v>461221</v>
      </c>
      <c r="H293" s="7"/>
      <c r="I293" s="7">
        <v>172743</v>
      </c>
      <c r="J293" s="287"/>
      <c r="K293" s="7">
        <f t="shared" ref="K293" si="290">SUM(E293:I293)</f>
        <v>1556109</v>
      </c>
      <c r="L293" s="6"/>
      <c r="M293" s="481">
        <f t="shared" ref="M293" si="291">+(K293-K292)/K292</f>
        <v>6.4307454697619792E-3</v>
      </c>
      <c r="N293" s="29"/>
      <c r="O293" s="29"/>
      <c r="P293" s="29"/>
      <c r="Q293" s="375">
        <f t="shared" ref="Q293" si="292">+K293-K292</f>
        <v>9943</v>
      </c>
      <c r="R293" s="6"/>
      <c r="S293" s="7">
        <f>37411+18630+5791</f>
        <v>61832</v>
      </c>
      <c r="T293" s="6"/>
      <c r="U293" s="286">
        <f t="shared" ref="U293" si="293">+S293/K293</f>
        <v>3.9735005709754266E-2</v>
      </c>
      <c r="W293">
        <f t="shared" si="20"/>
        <v>283</v>
      </c>
      <c r="Y293" s="56"/>
      <c r="AF293" s="592"/>
    </row>
    <row r="294" spans="3:32" x14ac:dyDescent="0.3">
      <c r="C294" s="170">
        <f t="shared" si="15"/>
        <v>44193</v>
      </c>
      <c r="E294" s="284"/>
      <c r="F294" s="7"/>
      <c r="G294" s="7"/>
      <c r="H294" s="7"/>
      <c r="I294" s="7"/>
      <c r="J294" s="287"/>
      <c r="K294" s="7"/>
      <c r="L294" s="6"/>
      <c r="M294" s="481"/>
      <c r="N294" s="29"/>
      <c r="O294" s="29"/>
      <c r="P294" s="29"/>
      <c r="Q294" s="375"/>
      <c r="R294" s="6"/>
      <c r="S294" s="7"/>
      <c r="T294" s="6"/>
      <c r="U294" s="286"/>
      <c r="Y294" s="56"/>
      <c r="AF294" s="592"/>
    </row>
    <row r="295" spans="3:32" x14ac:dyDescent="0.3">
      <c r="C295" s="170">
        <f t="shared" si="15"/>
        <v>44194</v>
      </c>
      <c r="E295" s="284"/>
      <c r="F295" s="7"/>
      <c r="G295" s="7"/>
      <c r="H295" s="7"/>
      <c r="I295" s="7"/>
      <c r="J295" s="287"/>
      <c r="K295" s="7"/>
      <c r="L295" s="6"/>
      <c r="M295" s="481"/>
      <c r="N295" s="29"/>
      <c r="O295" s="29"/>
      <c r="P295" s="29"/>
      <c r="Q295" s="375"/>
      <c r="R295" s="6"/>
      <c r="S295" s="7"/>
      <c r="T295" s="6"/>
      <c r="U295" s="286"/>
      <c r="Y295" s="56"/>
      <c r="AF295" s="592"/>
    </row>
    <row r="296" spans="3:32" x14ac:dyDescent="0.3">
      <c r="C296" s="170">
        <f t="shared" si="15"/>
        <v>44195</v>
      </c>
      <c r="E296" s="284"/>
      <c r="F296" s="7"/>
      <c r="G296" s="7"/>
      <c r="H296" s="7"/>
      <c r="I296" s="7"/>
      <c r="J296" s="287"/>
      <c r="K296" s="7"/>
      <c r="L296" s="6"/>
      <c r="M296" s="481"/>
      <c r="N296" s="29"/>
      <c r="O296" s="29"/>
      <c r="P296" s="29"/>
      <c r="Q296" s="375"/>
      <c r="R296" s="6"/>
      <c r="S296" s="7"/>
      <c r="T296" s="6"/>
      <c r="U296" s="286"/>
      <c r="Y296" s="56"/>
      <c r="AF296" s="592"/>
    </row>
    <row r="297" spans="3:32" x14ac:dyDescent="0.3">
      <c r="C297" s="170">
        <f t="shared" si="15"/>
        <v>44196</v>
      </c>
      <c r="E297" s="284"/>
      <c r="F297" s="7"/>
      <c r="G297" s="7"/>
      <c r="H297" s="7"/>
      <c r="I297" s="7"/>
      <c r="J297" s="287"/>
      <c r="K297" s="7"/>
      <c r="L297" s="6"/>
      <c r="M297" s="481"/>
      <c r="N297" s="29"/>
      <c r="O297" s="29"/>
      <c r="P297" s="29"/>
      <c r="Q297" s="375"/>
      <c r="R297" s="6"/>
      <c r="S297" s="7"/>
      <c r="T297" s="6"/>
      <c r="U297" s="286"/>
      <c r="Y297" s="56"/>
      <c r="AF297" s="592"/>
    </row>
    <row r="298" spans="3:32" x14ac:dyDescent="0.3">
      <c r="C298" s="170">
        <f t="shared" si="15"/>
        <v>44197</v>
      </c>
      <c r="E298" s="284"/>
      <c r="F298" s="7"/>
      <c r="G298" s="7"/>
      <c r="H298" s="7"/>
      <c r="I298" s="7"/>
      <c r="J298" s="287"/>
      <c r="K298" s="7"/>
      <c r="L298" s="6"/>
      <c r="M298" s="481"/>
      <c r="N298" s="29"/>
      <c r="O298" s="29"/>
      <c r="P298" s="29"/>
      <c r="Q298" s="375"/>
      <c r="R298" s="6"/>
      <c r="S298" s="7"/>
      <c r="T298" s="6"/>
      <c r="U298" s="286"/>
      <c r="Y298" s="56"/>
      <c r="AF298" s="592"/>
    </row>
    <row r="299" spans="3:32" x14ac:dyDescent="0.3">
      <c r="C299" s="170">
        <f t="shared" si="15"/>
        <v>44198</v>
      </c>
      <c r="E299" s="284"/>
      <c r="F299" s="7"/>
      <c r="G299" s="7"/>
      <c r="H299" s="7"/>
      <c r="I299" s="7"/>
      <c r="J299" s="287"/>
      <c r="K299" s="7"/>
      <c r="L299" s="6"/>
      <c r="M299" s="474"/>
      <c r="N299" s="29"/>
      <c r="O299" s="29"/>
      <c r="P299" s="29"/>
      <c r="Q299" s="375"/>
      <c r="R299" s="6"/>
      <c r="S299" s="7"/>
      <c r="T299" s="6"/>
      <c r="U299" s="286"/>
      <c r="W299">
        <f>+W283+1</f>
        <v>274</v>
      </c>
      <c r="Y299" s="56"/>
    </row>
    <row r="300" spans="3:32" ht="15" thickBot="1" x14ac:dyDescent="0.35">
      <c r="C300" s="170">
        <f t="shared" si="15"/>
        <v>44199</v>
      </c>
      <c r="E300" s="288"/>
      <c r="F300" s="289"/>
      <c r="G300" s="289"/>
      <c r="H300" s="289"/>
      <c r="I300" s="289"/>
      <c r="J300" s="289"/>
      <c r="K300" s="289"/>
      <c r="L300" s="290"/>
      <c r="M300" s="291"/>
      <c r="N300" s="291"/>
      <c r="O300" s="291"/>
      <c r="P300" s="291"/>
      <c r="Q300" s="374"/>
      <c r="R300" s="290"/>
      <c r="S300" s="290"/>
      <c r="T300" s="290"/>
      <c r="U300" s="292"/>
      <c r="W300">
        <f t="shared" si="20"/>
        <v>275</v>
      </c>
      <c r="Y300" s="59"/>
    </row>
    <row r="301" spans="3:32" x14ac:dyDescent="0.3">
      <c r="E301" s="56"/>
      <c r="F301" s="1"/>
      <c r="G301" s="56"/>
      <c r="H301" s="56"/>
      <c r="I301" s="56"/>
      <c r="J301" s="1"/>
      <c r="K301" s="56"/>
      <c r="S301" s="56"/>
    </row>
    <row r="302" spans="3:32" x14ac:dyDescent="0.3">
      <c r="C302" s="179" t="s">
        <v>81</v>
      </c>
      <c r="E302" s="56">
        <f>+E293</f>
        <v>922145</v>
      </c>
      <c r="F302" s="56"/>
      <c r="G302" s="56">
        <f t="shared" ref="G302:U302" si="294">+G293</f>
        <v>461221</v>
      </c>
      <c r="H302" s="56">
        <f t="shared" si="294"/>
        <v>0</v>
      </c>
      <c r="I302" s="56">
        <f t="shared" si="294"/>
        <v>172743</v>
      </c>
      <c r="J302" s="56">
        <f t="shared" si="294"/>
        <v>0</v>
      </c>
      <c r="K302" s="56">
        <f t="shared" si="294"/>
        <v>1556109</v>
      </c>
      <c r="L302" s="56">
        <f t="shared" si="294"/>
        <v>0</v>
      </c>
      <c r="M302" s="56">
        <f t="shared" si="294"/>
        <v>6.4307454697619792E-3</v>
      </c>
      <c r="N302" s="56">
        <f t="shared" si="294"/>
        <v>0</v>
      </c>
      <c r="O302" s="56">
        <f t="shared" si="294"/>
        <v>0</v>
      </c>
      <c r="P302" s="56">
        <f t="shared" si="294"/>
        <v>0</v>
      </c>
      <c r="Q302" s="56">
        <f t="shared" si="294"/>
        <v>9943</v>
      </c>
      <c r="R302" s="56">
        <f t="shared" si="294"/>
        <v>0</v>
      </c>
      <c r="S302" s="56">
        <f t="shared" si="294"/>
        <v>61832</v>
      </c>
      <c r="T302" s="56">
        <f t="shared" si="294"/>
        <v>0</v>
      </c>
      <c r="U302" s="56">
        <f t="shared" si="294"/>
        <v>3.9735005709754266E-2</v>
      </c>
      <c r="V302" s="56">
        <f t="shared" ref="V302" si="295">+V259</f>
        <v>0</v>
      </c>
    </row>
    <row r="303" spans="3:32" x14ac:dyDescent="0.3">
      <c r="E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</row>
    <row r="304" spans="3:32" x14ac:dyDescent="0.3">
      <c r="E304" s="59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</row>
    <row r="305" spans="3:41" x14ac:dyDescent="0.3">
      <c r="C305" s="123"/>
      <c r="D305" s="124"/>
      <c r="E305" s="392"/>
      <c r="F305" s="10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</row>
    <row r="306" spans="3:41" x14ac:dyDescent="0.3">
      <c r="E306" s="56"/>
      <c r="K306" s="56"/>
      <c r="Q306" s="56"/>
    </row>
    <row r="307" spans="3:41" x14ac:dyDescent="0.3">
      <c r="D307" s="592" t="s">
        <v>28</v>
      </c>
      <c r="E307" t="s">
        <v>171</v>
      </c>
      <c r="Q307" s="56"/>
      <c r="S307" s="59"/>
    </row>
    <row r="310" spans="3:41" x14ac:dyDescent="0.3">
      <c r="AO310" s="1">
        <v>3797000</v>
      </c>
    </row>
    <row r="311" spans="3:41" x14ac:dyDescent="0.3">
      <c r="C311" s="1"/>
    </row>
    <row r="312" spans="3:41" x14ac:dyDescent="0.3">
      <c r="C312" s="1"/>
      <c r="AO312" s="1">
        <v>30000</v>
      </c>
    </row>
    <row r="313" spans="3:41" x14ac:dyDescent="0.3">
      <c r="C313" s="59"/>
    </row>
    <row r="314" spans="3:41" x14ac:dyDescent="0.3">
      <c r="AO314" s="277">
        <f>+AO312/AO310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91"/>
  <sheetViews>
    <sheetView topLeftCell="A214" workbookViewId="0">
      <selection activeCell="I20" sqref="I20"/>
    </sheetView>
  </sheetViews>
  <sheetFormatPr defaultRowHeight="14.4" outlineLevelRow="1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70" t="s">
        <v>114</v>
      </c>
      <c r="U3" s="671"/>
      <c r="V3" s="671"/>
      <c r="W3" s="671"/>
      <c r="X3" s="671"/>
      <c r="Y3" s="671"/>
      <c r="Z3" s="671"/>
      <c r="AA3" s="671"/>
      <c r="AB3" s="671"/>
      <c r="AC3" s="671"/>
      <c r="AD3" s="672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8.4343246143478892E-2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73" t="s">
        <v>104</v>
      </c>
      <c r="F15" s="673"/>
      <c r="G15" s="673"/>
      <c r="H15" s="673"/>
      <c r="I15" s="673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79" t="s">
        <v>46</v>
      </c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1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82" t="s">
        <v>75</v>
      </c>
      <c r="F19" s="682"/>
      <c r="G19" s="682"/>
      <c r="H19" s="682"/>
      <c r="I19" s="146" t="s">
        <v>74</v>
      </c>
      <c r="J19" s="147"/>
      <c r="K19" s="687" t="s">
        <v>72</v>
      </c>
      <c r="L19" s="687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170</v>
      </c>
      <c r="F20" s="127"/>
      <c r="G20" s="126"/>
      <c r="H20" s="126"/>
      <c r="I20" s="93">
        <f>+'Main Table'!H283</f>
        <v>17597955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Table'!AA300</f>
        <v>338900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28672</v>
      </c>
      <c r="J22" s="128"/>
      <c r="K22" s="139"/>
      <c r="L22" s="281">
        <v>28577</v>
      </c>
      <c r="M22" s="139"/>
      <c r="N22" s="159">
        <f>+(I22-L22)/I22</f>
        <v>3.3133370535714285E-3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17230383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Table'!AP300</f>
        <v>11495875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83" t="s">
        <v>49</v>
      </c>
      <c r="E25" s="684"/>
      <c r="F25" s="684"/>
      <c r="G25" s="684"/>
      <c r="H25" s="684"/>
      <c r="I25" s="131">
        <f>+I23-I24</f>
        <v>5734508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11495875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83" t="s">
        <v>46</v>
      </c>
      <c r="E27" s="684"/>
      <c r="F27" s="684"/>
      <c r="G27" s="684"/>
      <c r="H27" s="684"/>
      <c r="I27" s="148">
        <f>+I25+I26</f>
        <v>17230383</v>
      </c>
      <c r="J27" s="128"/>
      <c r="K27" s="688">
        <v>16977013</v>
      </c>
      <c r="L27" s="688"/>
      <c r="M27" s="139"/>
      <c r="N27" s="149">
        <f>+I27-K27</f>
        <v>253370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85" t="s">
        <v>69</v>
      </c>
      <c r="F28" s="685"/>
      <c r="G28" s="685"/>
      <c r="H28" s="136"/>
      <c r="I28" s="274">
        <f>+I27/I32</f>
        <v>0.89799433280712626</v>
      </c>
      <c r="J28" s="139"/>
      <c r="K28" s="139"/>
      <c r="L28" s="139"/>
      <c r="M28" s="110"/>
      <c r="N28" s="506">
        <f>+N27/K27</f>
        <v>1.492429793156193E-2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94" t="s">
        <v>114</v>
      </c>
      <c r="F31" s="695"/>
      <c r="G31" s="695"/>
      <c r="H31" s="695"/>
      <c r="I31" s="695"/>
      <c r="J31" s="696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89">
        <f>+'Main Table'!H300</f>
        <v>19187630</v>
      </c>
      <c r="J32" s="689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90">
        <f>+I27</f>
        <v>17230383</v>
      </c>
      <c r="J34" s="691"/>
      <c r="K34" s="22"/>
      <c r="L34" s="25">
        <f>+I34/$I$32</f>
        <v>0.89799433280712626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97">
        <f>+I21</f>
        <v>338900</v>
      </c>
      <c r="J35" s="698"/>
      <c r="K35" s="22"/>
      <c r="L35" s="25">
        <f>+I35/$I$32</f>
        <v>1.7662421049394843E-2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86" t="s">
        <v>114</v>
      </c>
      <c r="F36" s="686"/>
      <c r="G36" s="686"/>
      <c r="H36" s="275"/>
      <c r="I36" s="692">
        <f>+I32-I34-I35</f>
        <v>1618347</v>
      </c>
      <c r="J36" s="693"/>
      <c r="K36" s="302"/>
      <c r="L36" s="276">
        <f>+I36/$I$32</f>
        <v>8.4343246143478892E-2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74" t="s">
        <v>127</v>
      </c>
      <c r="E41" s="675"/>
      <c r="F41" s="675"/>
      <c r="G41" s="675"/>
      <c r="H41" s="675"/>
      <c r="I41" s="675"/>
      <c r="J41" s="675"/>
      <c r="K41" s="675"/>
      <c r="L41" s="675"/>
      <c r="M41" s="675"/>
      <c r="N41" s="675"/>
      <c r="O41" s="676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77" t="s">
        <v>75</v>
      </c>
      <c r="F42" s="677"/>
      <c r="G42" s="677"/>
      <c r="H42" s="677"/>
      <c r="I42" s="303" t="s">
        <v>74</v>
      </c>
      <c r="J42" s="304"/>
      <c r="K42" s="678" t="s">
        <v>37</v>
      </c>
      <c r="L42" s="678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Table'!AP318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700" t="s">
        <v>49</v>
      </c>
      <c r="E48" s="701"/>
      <c r="F48" s="701"/>
      <c r="G48" s="701"/>
      <c r="H48" s="701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700" t="s">
        <v>46</v>
      </c>
      <c r="E50" s="701"/>
      <c r="F50" s="701"/>
      <c r="G50" s="701"/>
      <c r="H50" s="701"/>
      <c r="I50" s="383">
        <f>+I48+I49</f>
        <v>22172</v>
      </c>
      <c r="J50" s="379"/>
      <c r="K50" s="702">
        <v>30167</v>
      </c>
      <c r="L50" s="702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703" t="s">
        <v>69</v>
      </c>
      <c r="F51" s="703"/>
      <c r="G51" s="703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255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6" t="s">
        <v>128</v>
      </c>
      <c r="F54" s="667"/>
      <c r="G54" s="667"/>
      <c r="H54" s="667"/>
      <c r="I54" s="667"/>
      <c r="J54" s="668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704">
        <f>+K50</f>
        <v>30167</v>
      </c>
      <c r="J55" s="704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705">
        <f>+I50</f>
        <v>22172</v>
      </c>
      <c r="J57" s="706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707">
        <f>+I44</f>
        <v>1836</v>
      </c>
      <c r="J58" s="708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709" t="s">
        <v>114</v>
      </c>
      <c r="F59" s="709"/>
      <c r="G59" s="709"/>
      <c r="H59" s="310"/>
      <c r="I59" s="669">
        <f>+I55-I57-I58</f>
        <v>6159</v>
      </c>
      <c r="J59" s="710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711">
        <f>+I45</f>
        <v>1397</v>
      </c>
      <c r="J60" s="711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69">
        <f>+I59-I60</f>
        <v>4762</v>
      </c>
      <c r="J61" s="669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6" t="s">
        <v>117</v>
      </c>
      <c r="F64" s="667"/>
      <c r="G64" s="667"/>
      <c r="H64" s="667"/>
      <c r="I64" s="667"/>
      <c r="J64" s="667"/>
      <c r="K64" s="667"/>
      <c r="L64" s="667"/>
      <c r="M64" s="668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99">
        <v>11690000</v>
      </c>
      <c r="J65" s="699"/>
      <c r="K65" s="699"/>
      <c r="L65" s="699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65" t="s">
        <v>108</v>
      </c>
      <c r="G67" s="665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728" t="s">
        <v>131</v>
      </c>
      <c r="E72" s="729"/>
      <c r="F72" s="729"/>
      <c r="G72" s="729"/>
      <c r="H72" s="729"/>
      <c r="I72" s="729"/>
      <c r="J72" s="729"/>
      <c r="K72" s="729"/>
      <c r="L72" s="729"/>
      <c r="M72" s="729"/>
      <c r="N72" s="729"/>
      <c r="O72" s="730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731" t="s">
        <v>75</v>
      </c>
      <c r="F73" s="731"/>
      <c r="G73" s="731"/>
      <c r="H73" s="731"/>
      <c r="I73" s="398" t="s">
        <v>74</v>
      </c>
      <c r="J73" s="399"/>
      <c r="K73" s="732" t="s">
        <v>37</v>
      </c>
      <c r="L73" s="732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Table'!AP359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733" t="s">
        <v>49</v>
      </c>
      <c r="E79" s="734"/>
      <c r="F79" s="734"/>
      <c r="G79" s="734"/>
      <c r="H79" s="734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733" t="s">
        <v>46</v>
      </c>
      <c r="E81" s="734"/>
      <c r="F81" s="734"/>
      <c r="G81" s="734"/>
      <c r="H81" s="734"/>
      <c r="I81" s="413">
        <f>+I79+I80</f>
        <v>36684</v>
      </c>
      <c r="J81" s="406"/>
      <c r="K81" s="736">
        <v>48675</v>
      </c>
      <c r="L81" s="736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35" t="s">
        <v>69</v>
      </c>
      <c r="F82" s="735"/>
      <c r="G82" s="735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0"/>
      <c r="K84" s="531"/>
      <c r="L84" s="531"/>
      <c r="M84" s="531"/>
      <c r="N84" s="531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0"/>
      <c r="K85" s="531"/>
      <c r="L85" s="531"/>
      <c r="M85" s="531"/>
      <c r="N85" s="531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0"/>
      <c r="K86" s="531"/>
      <c r="L86" s="531"/>
      <c r="M86" s="531"/>
      <c r="N86" s="531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hidden="1" outlineLevel="1" x14ac:dyDescent="0.3">
      <c r="C87" s="61"/>
      <c r="D87" s="90"/>
      <c r="E87" s="151"/>
      <c r="F87" s="151"/>
      <c r="G87" s="151"/>
      <c r="H87" s="151"/>
      <c r="I87" s="161"/>
      <c r="J87" s="530"/>
      <c r="K87" s="531"/>
      <c r="L87" s="531"/>
      <c r="M87" s="531"/>
      <c r="N87" s="531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hidden="1" outlineLevel="1" x14ac:dyDescent="0.3">
      <c r="C88" s="61"/>
      <c r="D88" s="90"/>
      <c r="E88" s="151"/>
      <c r="F88" s="151"/>
      <c r="G88" s="151"/>
      <c r="H88" s="151"/>
      <c r="I88" s="161"/>
      <c r="J88" s="530"/>
      <c r="K88" s="531"/>
      <c r="L88" s="531"/>
      <c r="M88" s="531"/>
      <c r="N88" s="531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hidden="1" outlineLevel="1" x14ac:dyDescent="0.3">
      <c r="C89" s="61"/>
      <c r="D89" s="90"/>
      <c r="E89" s="151"/>
      <c r="F89" s="151"/>
      <c r="G89" s="151"/>
      <c r="H89" s="151"/>
      <c r="I89" s="161"/>
      <c r="J89" s="530"/>
      <c r="K89" s="531"/>
      <c r="L89" s="531"/>
      <c r="M89" s="531"/>
      <c r="N89" s="531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hidden="1" outlineLevel="1" x14ac:dyDescent="0.3">
      <c r="C90" s="61"/>
      <c r="D90" s="90"/>
      <c r="E90" s="151"/>
      <c r="F90" s="151"/>
      <c r="G90" s="151"/>
      <c r="H90" s="151"/>
      <c r="I90" s="161"/>
      <c r="J90" s="530"/>
      <c r="K90" s="531"/>
      <c r="L90" s="531"/>
      <c r="M90" s="531"/>
      <c r="N90" s="531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hidden="1" outlineLevel="1" x14ac:dyDescent="0.3">
      <c r="C91" s="61"/>
      <c r="D91" s="90"/>
      <c r="E91" s="151"/>
      <c r="F91" s="151"/>
      <c r="G91" s="151"/>
      <c r="H91" s="151"/>
      <c r="I91" s="161"/>
      <c r="J91" s="530"/>
      <c r="K91" s="531"/>
      <c r="L91" s="531"/>
      <c r="M91" s="531"/>
      <c r="N91" s="531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hidden="1" outlineLevel="1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hidden="1" outlineLevel="1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hidden="1" outlineLevel="1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hidden="1" outlineLevel="1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hidden="1" outlineLevel="1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hidden="1" outlineLevel="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hidden="1" outlineLevel="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hidden="1" outlineLevel="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hidden="1" outlineLevel="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hidden="1" outlineLevel="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hidden="1" outlineLevel="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hidden="1" outlineLevel="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hidden="1" outlineLevel="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hidden="1" outlineLevel="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hidden="1" outlineLevel="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hidden="1" outlineLevel="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hidden="1" outlineLevel="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hidden="1" outlineLevel="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hidden="1" outlineLevel="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hidden="1" outlineLevel="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hidden="1" outlineLevel="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hidden="1" outlineLevel="1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hidden="1" outlineLevel="1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hidden="1" outlineLevel="1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hidden="1" outlineLevel="1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hidden="1" outlineLevel="1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hidden="1" outlineLevel="1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hidden="1" outlineLevel="1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hidden="1" outlineLevel="1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hidden="1" outlineLevel="1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8.4343246143478892E-2</v>
      </c>
      <c r="Z121" s="6"/>
      <c r="AA121" s="297">
        <f t="shared" si="7"/>
        <v>22668</v>
      </c>
      <c r="AB121" s="6"/>
      <c r="AC121" s="301"/>
      <c r="AD121" s="294"/>
    </row>
    <row r="122" spans="15:30" hidden="1" outlineLevel="1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hidden="1" outlineLevel="1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hidden="1" outlineLevel="1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hidden="1" outlineLevel="1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hidden="1" outlineLevel="1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hidden="1" outlineLevel="1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hidden="1" outlineLevel="1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hidden="1" outlineLevel="1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hidden="1" outlineLevel="1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hidden="1" outlineLevel="1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hidden="1" outlineLevel="1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hidden="1" outlineLevel="1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hidden="1" outlineLevel="1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hidden="1" outlineLevel="1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hidden="1" outlineLevel="1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hidden="1" outlineLevel="1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hidden="1" outlineLevel="1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:AA167" si="8">+W137-W138</f>
        <v>-1252</v>
      </c>
      <c r="AB138" s="6"/>
      <c r="AC138" s="301"/>
      <c r="AD138" s="294"/>
    </row>
    <row r="139" spans="15:30" hidden="1" outlineLevel="1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si="8"/>
        <v>-1104</v>
      </c>
      <c r="AB139" s="6"/>
      <c r="AC139" s="301"/>
      <c r="AD139" s="294"/>
    </row>
    <row r="140" spans="15:30" hidden="1" outlineLevel="1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si="8"/>
        <v>-4462</v>
      </c>
      <c r="AB140" s="6"/>
      <c r="AC140" s="301"/>
      <c r="AD140" s="294"/>
    </row>
    <row r="141" spans="15:30" hidden="1" outlineLevel="1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si="8"/>
        <v>1910</v>
      </c>
      <c r="AB141" s="6"/>
      <c r="AC141" s="301"/>
      <c r="AD141" s="294"/>
    </row>
    <row r="142" spans="15:30" hidden="1" outlineLevel="1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si="8"/>
        <v>13860</v>
      </c>
      <c r="AB142" s="6"/>
      <c r="AC142" s="301"/>
      <c r="AD142" s="294"/>
    </row>
    <row r="143" spans="15:30" hidden="1" outlineLevel="1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si="8"/>
        <v>14786</v>
      </c>
      <c r="AB143" s="6"/>
      <c r="AC143" s="301"/>
      <c r="AD143" s="294"/>
    </row>
    <row r="144" spans="15:30" hidden="1" outlineLevel="1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si="8"/>
        <v>5645</v>
      </c>
      <c r="AB144" s="6"/>
      <c r="AC144" s="301"/>
      <c r="AD144" s="294"/>
    </row>
    <row r="145" spans="15:30" hidden="1" outlineLevel="1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si="8"/>
        <v>-9097</v>
      </c>
      <c r="AB145" s="6"/>
      <c r="AC145" s="301"/>
      <c r="AD145" s="294"/>
    </row>
    <row r="146" spans="15:30" hidden="1" outlineLevel="1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si="8"/>
        <v>-20945</v>
      </c>
      <c r="AB146" s="6"/>
      <c r="AC146" s="301"/>
      <c r="AD146" s="294"/>
    </row>
    <row r="147" spans="15:30" hidden="1" outlineLevel="1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si="8"/>
        <v>-22858</v>
      </c>
      <c r="AB147" s="6"/>
      <c r="AC147" s="301"/>
      <c r="AD147" s="294"/>
    </row>
    <row r="148" spans="15:30" hidden="1" outlineLevel="1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si="8"/>
        <v>-7195</v>
      </c>
      <c r="AB148" s="6"/>
      <c r="AC148" s="301"/>
      <c r="AD148" s="294"/>
    </row>
    <row r="149" spans="15:30" hidden="1" outlineLevel="1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si="8"/>
        <v>64</v>
      </c>
      <c r="AB149" s="6"/>
      <c r="AC149" s="301"/>
      <c r="AD149" s="294"/>
    </row>
    <row r="150" spans="15:30" hidden="1" outlineLevel="1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si="8"/>
        <v>15674</v>
      </c>
      <c r="AB150" s="6"/>
      <c r="AC150" s="301"/>
      <c r="AD150" s="294"/>
    </row>
    <row r="151" spans="15:30" hidden="1" outlineLevel="1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si="8"/>
        <v>3586</v>
      </c>
      <c r="AB151" s="6"/>
      <c r="AC151" s="301"/>
      <c r="AD151" s="294"/>
    </row>
    <row r="152" spans="15:30" hidden="1" outlineLevel="1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si="8"/>
        <v>-45</v>
      </c>
      <c r="AB152" s="6"/>
      <c r="AC152" s="301"/>
      <c r="AD152" s="294"/>
    </row>
    <row r="153" spans="15:30" hidden="1" outlineLevel="1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si="8"/>
        <v>-17089</v>
      </c>
      <c r="AB153" s="6"/>
      <c r="AC153" s="301"/>
      <c r="AD153" s="294"/>
    </row>
    <row r="154" spans="15:30" hidden="1" outlineLevel="1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si="8"/>
        <v>-18744</v>
      </c>
      <c r="AB154" s="6"/>
      <c r="AC154" s="301"/>
      <c r="AD154" s="294"/>
    </row>
    <row r="155" spans="15:30" hidden="1" outlineLevel="1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si="8"/>
        <v>-3007</v>
      </c>
      <c r="AB155" s="6"/>
      <c r="AC155" s="301"/>
      <c r="AD155" s="294"/>
    </row>
    <row r="156" spans="15:30" hidden="1" outlineLevel="1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si="8"/>
        <v>12479</v>
      </c>
      <c r="AB156" s="6"/>
      <c r="AC156" s="301"/>
      <c r="AD156" s="294"/>
    </row>
    <row r="157" spans="15:30" hidden="1" outlineLevel="1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si="8"/>
        <v>13992</v>
      </c>
      <c r="AB157" s="6"/>
      <c r="AC157" s="301"/>
      <c r="AD157" s="294"/>
    </row>
    <row r="158" spans="15:30" hidden="1" outlineLevel="1" x14ac:dyDescent="0.3">
      <c r="O158" s="110"/>
      <c r="T158" s="293"/>
      <c r="U158" s="295">
        <f t="shared" si="3"/>
        <v>44103</v>
      </c>
      <c r="V158" s="6"/>
      <c r="W158" s="296">
        <v>419325</v>
      </c>
      <c r="X158" s="6"/>
      <c r="Y158" s="44">
        <v>5.7000000000000002E-2</v>
      </c>
      <c r="Z158" s="6"/>
      <c r="AA158" s="297">
        <f t="shared" si="8"/>
        <v>-755</v>
      </c>
      <c r="AB158" s="6"/>
      <c r="AC158" s="301"/>
      <c r="AD158" s="294"/>
    </row>
    <row r="159" spans="15:30" hidden="1" outlineLevel="1" x14ac:dyDescent="0.3">
      <c r="O159" s="110"/>
      <c r="T159" s="293"/>
      <c r="U159" s="295">
        <f t="shared" si="3"/>
        <v>44104</v>
      </c>
      <c r="V159" s="6"/>
      <c r="W159" s="296">
        <v>426855</v>
      </c>
      <c r="X159" s="6"/>
      <c r="Y159" s="44">
        <v>5.7000000000000002E-2</v>
      </c>
      <c r="Z159" s="6"/>
      <c r="AA159" s="297">
        <f t="shared" si="8"/>
        <v>-7530</v>
      </c>
      <c r="AB159" s="6"/>
      <c r="AC159" s="301"/>
      <c r="AD159" s="294"/>
    </row>
    <row r="160" spans="15:30" hidden="1" outlineLevel="1" x14ac:dyDescent="0.3">
      <c r="O160" s="110"/>
      <c r="T160" s="293"/>
      <c r="U160" s="295">
        <f t="shared" si="3"/>
        <v>44105</v>
      </c>
      <c r="V160" s="6"/>
      <c r="W160" s="296">
        <v>437437</v>
      </c>
      <c r="X160" s="6"/>
      <c r="Y160" s="44">
        <v>5.8000000000000003E-2</v>
      </c>
      <c r="Z160" s="6"/>
      <c r="AA160" s="297">
        <f t="shared" si="8"/>
        <v>-10582</v>
      </c>
      <c r="AB160" s="6"/>
      <c r="AC160" s="301"/>
      <c r="AD160" s="294"/>
    </row>
    <row r="161" spans="15:30" hidden="1" outlineLevel="1" x14ac:dyDescent="0.3">
      <c r="O161" s="110"/>
      <c r="T161" s="293"/>
      <c r="U161" s="295">
        <f t="shared" si="3"/>
        <v>44106</v>
      </c>
      <c r="V161" s="6"/>
      <c r="W161" s="296">
        <v>453144</v>
      </c>
      <c r="X161" s="6"/>
      <c r="Y161" s="44">
        <v>0.06</v>
      </c>
      <c r="Z161" s="6"/>
      <c r="AA161" s="297">
        <f t="shared" si="8"/>
        <v>-15707</v>
      </c>
      <c r="AB161" s="6"/>
      <c r="AC161" s="301"/>
      <c r="AD161" s="294"/>
    </row>
    <row r="162" spans="15:30" hidden="1" outlineLevel="1" x14ac:dyDescent="0.3">
      <c r="O162" s="110"/>
      <c r="T162" s="293"/>
      <c r="U162" s="295">
        <f t="shared" si="3"/>
        <v>44107</v>
      </c>
      <c r="V162" s="6"/>
      <c r="W162" s="296">
        <v>460453</v>
      </c>
      <c r="X162" s="6"/>
      <c r="Y162" s="44">
        <v>6.0999999999999999E-2</v>
      </c>
      <c r="Z162" s="6"/>
      <c r="AA162" s="297">
        <f t="shared" si="8"/>
        <v>-7309</v>
      </c>
      <c r="AB162" s="6"/>
      <c r="AC162" s="301"/>
      <c r="AD162" s="294"/>
    </row>
    <row r="163" spans="15:30" hidden="1" outlineLevel="1" x14ac:dyDescent="0.3">
      <c r="O163" s="110"/>
      <c r="T163" s="293"/>
      <c r="U163" s="295">
        <f t="shared" si="3"/>
        <v>44108</v>
      </c>
      <c r="V163" s="6"/>
      <c r="W163" s="296">
        <v>449172</v>
      </c>
      <c r="X163" s="6"/>
      <c r="Y163" s="44">
        <v>5.8999999999999997E-2</v>
      </c>
      <c r="Z163" s="6"/>
      <c r="AA163" s="297">
        <f t="shared" si="8"/>
        <v>11281</v>
      </c>
      <c r="AB163" s="6"/>
      <c r="AC163" s="301"/>
      <c r="AD163" s="294"/>
    </row>
    <row r="164" spans="15:30" hidden="1" outlineLevel="1" x14ac:dyDescent="0.3">
      <c r="O164" s="110"/>
      <c r="T164" s="293"/>
      <c r="U164" s="295">
        <f t="shared" si="3"/>
        <v>44109</v>
      </c>
      <c r="V164" s="6"/>
      <c r="W164" s="296">
        <v>433260</v>
      </c>
      <c r="X164" s="6"/>
      <c r="Y164" s="44">
        <v>5.7000000000000002E-2</v>
      </c>
      <c r="Z164" s="6"/>
      <c r="AA164" s="297">
        <f t="shared" si="8"/>
        <v>15912</v>
      </c>
      <c r="AB164" s="6"/>
      <c r="AC164" s="301"/>
      <c r="AD164" s="294"/>
    </row>
    <row r="165" spans="15:30" hidden="1" outlineLevel="1" x14ac:dyDescent="0.3">
      <c r="O165" s="110"/>
      <c r="T165" s="293"/>
      <c r="U165" s="295">
        <f t="shared" si="3"/>
        <v>44110</v>
      </c>
      <c r="V165" s="6"/>
      <c r="W165" s="296">
        <v>434017</v>
      </c>
      <c r="X165" s="6"/>
      <c r="Y165" s="44">
        <v>5.6000000000000001E-2</v>
      </c>
      <c r="Z165" s="6"/>
      <c r="AA165" s="297">
        <f t="shared" si="8"/>
        <v>-757</v>
      </c>
      <c r="AB165" s="6"/>
      <c r="AC165" s="301"/>
      <c r="AD165" s="294"/>
    </row>
    <row r="166" spans="15:30" hidden="1" outlineLevel="1" x14ac:dyDescent="0.3">
      <c r="O166" s="110"/>
      <c r="T166" s="293"/>
      <c r="U166" s="295">
        <f t="shared" si="3"/>
        <v>44111</v>
      </c>
      <c r="V166" s="6"/>
      <c r="W166" s="296">
        <v>448950</v>
      </c>
      <c r="X166" s="6"/>
      <c r="Y166" s="44">
        <v>5.8000000000000003E-2</v>
      </c>
      <c r="Z166" s="6"/>
      <c r="AA166" s="297">
        <f t="shared" si="8"/>
        <v>-14933</v>
      </c>
      <c r="AB166" s="6"/>
      <c r="AC166" s="301"/>
      <c r="AD166" s="294"/>
    </row>
    <row r="167" spans="15:30" hidden="1" outlineLevel="1" x14ac:dyDescent="0.3">
      <c r="O167" s="110"/>
      <c r="T167" s="293"/>
      <c r="U167" s="295">
        <f t="shared" si="3"/>
        <v>44112</v>
      </c>
      <c r="V167" s="6"/>
      <c r="W167" s="296">
        <v>468336</v>
      </c>
      <c r="X167" s="6"/>
      <c r="Y167" s="44">
        <v>0.06</v>
      </c>
      <c r="Z167" s="6"/>
      <c r="AA167" s="297">
        <f t="shared" si="8"/>
        <v>-19386</v>
      </c>
      <c r="AB167" s="6"/>
      <c r="AC167" s="301"/>
      <c r="AD167" s="294"/>
    </row>
    <row r="168" spans="15:30" hidden="1" outlineLevel="1" x14ac:dyDescent="0.3">
      <c r="O168" s="110"/>
      <c r="T168" s="293"/>
      <c r="U168" s="295">
        <f t="shared" si="3"/>
        <v>44113</v>
      </c>
      <c r="V168" s="6"/>
      <c r="W168" s="296">
        <v>484791</v>
      </c>
      <c r="X168" s="6"/>
      <c r="Y168" s="44">
        <v>6.2E-2</v>
      </c>
      <c r="Z168" s="6"/>
      <c r="AA168" s="297">
        <f t="shared" ref="AA168:AA177" si="9">+W167-W168</f>
        <v>-16455</v>
      </c>
      <c r="AB168" s="6"/>
      <c r="AC168" s="301"/>
      <c r="AD168" s="294"/>
    </row>
    <row r="169" spans="15:30" hidden="1" outlineLevel="1" x14ac:dyDescent="0.3">
      <c r="O169" s="110"/>
      <c r="T169" s="293"/>
      <c r="U169" s="295">
        <f t="shared" si="3"/>
        <v>44114</v>
      </c>
      <c r="V169" s="6"/>
      <c r="W169" s="296">
        <v>494681</v>
      </c>
      <c r="X169" s="6"/>
      <c r="Y169" s="44">
        <v>6.2E-2</v>
      </c>
      <c r="Z169" s="6"/>
      <c r="AA169" s="297">
        <f t="shared" si="9"/>
        <v>-9890</v>
      </c>
      <c r="AB169" s="6"/>
      <c r="AC169" s="301"/>
      <c r="AD169" s="294"/>
    </row>
    <row r="170" spans="15:30" hidden="1" outlineLevel="1" x14ac:dyDescent="0.3">
      <c r="O170" s="110"/>
      <c r="T170" s="293"/>
      <c r="U170" s="295">
        <f t="shared" si="3"/>
        <v>44115</v>
      </c>
      <c r="V170" s="6"/>
      <c r="W170" s="296">
        <v>489248</v>
      </c>
      <c r="X170" s="6"/>
      <c r="Y170" s="44">
        <v>6.0999999999999999E-2</v>
      </c>
      <c r="Z170" s="6"/>
      <c r="AA170" s="297">
        <f t="shared" si="9"/>
        <v>5433</v>
      </c>
      <c r="AB170" s="6"/>
      <c r="AC170" s="301"/>
      <c r="AD170" s="294"/>
    </row>
    <row r="171" spans="15:30" hidden="1" outlineLevel="1" x14ac:dyDescent="0.3">
      <c r="O171" s="110"/>
      <c r="T171" s="293"/>
      <c r="U171" s="295">
        <f t="shared" si="3"/>
        <v>44116</v>
      </c>
      <c r="V171" s="6"/>
      <c r="W171" s="296">
        <v>489910</v>
      </c>
      <c r="X171" s="6"/>
      <c r="Y171" s="44">
        <v>6.0999999999999999E-2</v>
      </c>
      <c r="Z171" s="6"/>
      <c r="AA171" s="297">
        <f t="shared" si="9"/>
        <v>-662</v>
      </c>
      <c r="AB171" s="6"/>
      <c r="AC171" s="301"/>
      <c r="AD171" s="294"/>
    </row>
    <row r="172" spans="15:30" hidden="1" outlineLevel="1" x14ac:dyDescent="0.3">
      <c r="O172" s="110"/>
      <c r="T172" s="293"/>
      <c r="U172" s="295">
        <f t="shared" si="3"/>
        <v>44117</v>
      </c>
      <c r="V172" s="6"/>
      <c r="W172" s="296">
        <v>492684</v>
      </c>
      <c r="X172" s="6"/>
      <c r="Y172" s="44">
        <v>6.0999999999999999E-2</v>
      </c>
      <c r="Z172" s="6"/>
      <c r="AA172" s="297">
        <f t="shared" si="9"/>
        <v>-2774</v>
      </c>
      <c r="AB172" s="6"/>
      <c r="AC172" s="301"/>
      <c r="AD172" s="294"/>
    </row>
    <row r="173" spans="15:30" hidden="1" outlineLevel="1" x14ac:dyDescent="0.3">
      <c r="O173" s="110"/>
      <c r="T173" s="293"/>
      <c r="U173" s="295">
        <f t="shared" si="3"/>
        <v>44118</v>
      </c>
      <c r="V173" s="6"/>
      <c r="W173" s="296">
        <v>518684</v>
      </c>
      <c r="X173" s="6"/>
      <c r="Y173" s="44">
        <v>6.4000000000000001E-2</v>
      </c>
      <c r="Z173" s="6"/>
      <c r="AA173" s="297">
        <f t="shared" si="9"/>
        <v>-26000</v>
      </c>
      <c r="AB173" s="6"/>
      <c r="AC173" s="301"/>
      <c r="AD173" s="294"/>
    </row>
    <row r="174" spans="15:30" hidden="1" outlineLevel="1" x14ac:dyDescent="0.3">
      <c r="O174" s="110"/>
      <c r="T174" s="293"/>
      <c r="U174" s="295">
        <f t="shared" si="3"/>
        <v>44119</v>
      </c>
      <c r="V174" s="6"/>
      <c r="W174" s="296">
        <v>546914</v>
      </c>
      <c r="X174" s="6"/>
      <c r="Y174" s="44">
        <v>6.7000000000000004E-2</v>
      </c>
      <c r="Z174" s="6"/>
      <c r="AA174" s="297">
        <f t="shared" si="9"/>
        <v>-28230</v>
      </c>
      <c r="AB174" s="6"/>
      <c r="AC174" s="301"/>
      <c r="AD174" s="294"/>
    </row>
    <row r="175" spans="15:30" collapsed="1" x14ac:dyDescent="0.3">
      <c r="O175" s="110"/>
      <c r="T175" s="293"/>
      <c r="U175" s="295">
        <f t="shared" si="3"/>
        <v>44120</v>
      </c>
      <c r="V175" s="6"/>
      <c r="W175" s="296">
        <v>573981</v>
      </c>
      <c r="X175" s="6"/>
      <c r="Y175" s="44">
        <v>6.9000000000000006E-2</v>
      </c>
      <c r="Z175" s="6"/>
      <c r="AA175" s="297">
        <f t="shared" si="9"/>
        <v>-27067</v>
      </c>
      <c r="AB175" s="6"/>
      <c r="AC175" s="301"/>
      <c r="AD175" s="294"/>
    </row>
    <row r="176" spans="15:30" x14ac:dyDescent="0.3">
      <c r="O176" s="110"/>
      <c r="T176" s="293"/>
      <c r="U176" s="295">
        <f t="shared" si="3"/>
        <v>44121</v>
      </c>
      <c r="V176" s="6"/>
      <c r="W176" s="296">
        <v>578954</v>
      </c>
      <c r="X176" s="6"/>
      <c r="Y176" s="44">
        <v>6.9000000000000006E-2</v>
      </c>
      <c r="Z176" s="6"/>
      <c r="AA176" s="297">
        <f t="shared" si="9"/>
        <v>-4973</v>
      </c>
      <c r="AB176" s="6"/>
      <c r="AC176" s="301"/>
      <c r="AD176" s="294"/>
    </row>
    <row r="177" spans="15:30" x14ac:dyDescent="0.3">
      <c r="O177" s="110"/>
      <c r="T177" s="293"/>
      <c r="U177" s="295">
        <f t="shared" si="3"/>
        <v>44122</v>
      </c>
      <c r="V177" s="6"/>
      <c r="W177" s="296">
        <v>566575</v>
      </c>
      <c r="X177" s="6"/>
      <c r="Y177" s="44">
        <v>6.8000000000000005E-2</v>
      </c>
      <c r="Z177" s="6"/>
      <c r="AA177" s="297">
        <f t="shared" si="9"/>
        <v>12379</v>
      </c>
      <c r="AB177" s="6"/>
      <c r="AC177" s="301"/>
      <c r="AD177" s="294"/>
    </row>
    <row r="178" spans="15:30" x14ac:dyDescent="0.3">
      <c r="O178" s="110"/>
      <c r="T178" s="293"/>
      <c r="U178" s="295">
        <f t="shared" si="3"/>
        <v>44123</v>
      </c>
      <c r="V178" s="6"/>
      <c r="W178" s="296">
        <v>563005</v>
      </c>
      <c r="X178" s="6"/>
      <c r="Y178" s="44">
        <v>6.7000000000000004E-2</v>
      </c>
      <c r="Z178" s="6"/>
      <c r="AA178" s="297">
        <f t="shared" ref="AA178:AA184" si="10">+W177-W178</f>
        <v>3570</v>
      </c>
      <c r="AB178" s="6"/>
      <c r="AC178" s="301"/>
      <c r="AD178" s="294"/>
    </row>
    <row r="179" spans="15:30" x14ac:dyDescent="0.3">
      <c r="O179" s="110"/>
      <c r="T179" s="293"/>
      <c r="U179" s="295">
        <f t="shared" si="3"/>
        <v>44124</v>
      </c>
      <c r="V179" s="6"/>
      <c r="W179" s="296">
        <v>571055</v>
      </c>
      <c r="X179" s="6"/>
      <c r="Y179" s="44">
        <v>6.7000000000000004E-2</v>
      </c>
      <c r="Z179" s="6"/>
      <c r="AA179" s="297">
        <f t="shared" si="10"/>
        <v>-8050</v>
      </c>
      <c r="AB179" s="6"/>
      <c r="AC179" s="301"/>
      <c r="AD179" s="294"/>
    </row>
    <row r="180" spans="15:30" x14ac:dyDescent="0.3">
      <c r="O180" s="110"/>
      <c r="T180" s="293"/>
      <c r="U180" s="295">
        <f t="shared" si="3"/>
        <v>44125</v>
      </c>
      <c r="V180" s="6"/>
      <c r="W180" s="296">
        <v>592755</v>
      </c>
      <c r="X180" s="6"/>
      <c r="Y180" s="44">
        <v>6.9000000000000006E-2</v>
      </c>
      <c r="Z180" s="6"/>
      <c r="AA180" s="297">
        <f t="shared" si="10"/>
        <v>-21700</v>
      </c>
      <c r="AB180" s="6"/>
      <c r="AC180" s="301"/>
      <c r="AD180" s="294"/>
    </row>
    <row r="181" spans="15:30" x14ac:dyDescent="0.3">
      <c r="O181" s="110"/>
      <c r="T181" s="293"/>
      <c r="U181" s="295">
        <f t="shared" si="3"/>
        <v>44126</v>
      </c>
      <c r="V181" s="6"/>
      <c r="W181" s="296">
        <v>621488</v>
      </c>
      <c r="X181" s="6"/>
      <c r="Y181" s="44">
        <v>7.1999999999999995E-2</v>
      </c>
      <c r="Z181" s="6"/>
      <c r="AA181" s="297">
        <f t="shared" si="10"/>
        <v>-28733</v>
      </c>
      <c r="AB181" s="6"/>
      <c r="AC181" s="301"/>
      <c r="AD181" s="294"/>
    </row>
    <row r="182" spans="15:30" x14ac:dyDescent="0.3">
      <c r="O182" s="110"/>
      <c r="T182" s="293"/>
      <c r="U182" s="295">
        <f t="shared" si="3"/>
        <v>44127</v>
      </c>
      <c r="V182" s="6"/>
      <c r="W182" s="296">
        <v>651368</v>
      </c>
      <c r="X182" s="6"/>
      <c r="Y182" s="44">
        <v>7.4999999999999997E-2</v>
      </c>
      <c r="Z182" s="6"/>
      <c r="AA182" s="297">
        <f t="shared" si="10"/>
        <v>-29880</v>
      </c>
      <c r="AB182" s="6"/>
      <c r="AC182" s="301"/>
      <c r="AD182" s="294"/>
    </row>
    <row r="183" spans="15:30" x14ac:dyDescent="0.3">
      <c r="O183" s="110"/>
      <c r="T183" s="293"/>
      <c r="U183" s="295">
        <f t="shared" si="3"/>
        <v>44128</v>
      </c>
      <c r="V183" s="6"/>
      <c r="W183" s="296">
        <v>671584</v>
      </c>
      <c r="X183" s="6"/>
      <c r="Y183" s="44">
        <v>7.5999999999999998E-2</v>
      </c>
      <c r="Z183" s="6"/>
      <c r="AA183" s="297">
        <f t="shared" si="10"/>
        <v>-20216</v>
      </c>
      <c r="AB183" s="6"/>
      <c r="AC183" s="301"/>
      <c r="AD183" s="294"/>
    </row>
    <row r="184" spans="15:30" x14ac:dyDescent="0.3">
      <c r="O184" s="110"/>
      <c r="T184" s="293"/>
      <c r="U184" s="295">
        <f t="shared" si="3"/>
        <v>44129</v>
      </c>
      <c r="V184" s="6"/>
      <c r="W184" s="296">
        <v>666352</v>
      </c>
      <c r="X184" s="6"/>
      <c r="Y184" s="44">
        <v>7.4999999999999997E-2</v>
      </c>
      <c r="Z184" s="6"/>
      <c r="AA184" s="297">
        <f t="shared" si="10"/>
        <v>5232</v>
      </c>
      <c r="AB184" s="6"/>
      <c r="AC184" s="301"/>
      <c r="AD184" s="294"/>
    </row>
    <row r="185" spans="15:30" x14ac:dyDescent="0.3">
      <c r="O185" s="110"/>
      <c r="T185" s="293"/>
      <c r="U185" s="295">
        <f t="shared" si="3"/>
        <v>44130</v>
      </c>
      <c r="V185" s="6"/>
      <c r="W185" s="296">
        <v>644740</v>
      </c>
      <c r="X185" s="6"/>
      <c r="Y185" s="44">
        <v>7.3999999999999996E-2</v>
      </c>
      <c r="Z185" s="6"/>
      <c r="AA185" s="297">
        <f t="shared" ref="AA185" si="11">+W184-W185</f>
        <v>21612</v>
      </c>
      <c r="AB185" s="6"/>
      <c r="AC185" s="301"/>
      <c r="AD185" s="294"/>
    </row>
    <row r="186" spans="15:30" x14ac:dyDescent="0.3">
      <c r="O186" s="110"/>
      <c r="T186" s="293"/>
      <c r="U186" s="295">
        <f t="shared" si="3"/>
        <v>44131</v>
      </c>
      <c r="V186" s="6"/>
      <c r="W186" s="296">
        <v>685730</v>
      </c>
      <c r="X186" s="6"/>
      <c r="Y186" s="44">
        <v>7.5999999999999998E-2</v>
      </c>
      <c r="Z186" s="6"/>
      <c r="AA186" s="297">
        <f t="shared" ref="AA186" si="12">+W185-W186</f>
        <v>-40990</v>
      </c>
      <c r="AB186" s="6"/>
      <c r="AC186" s="301"/>
      <c r="AD186" s="294"/>
    </row>
    <row r="187" spans="15:30" x14ac:dyDescent="0.3">
      <c r="O187" s="110"/>
      <c r="T187" s="293"/>
      <c r="U187" s="295">
        <f t="shared" si="3"/>
        <v>44132</v>
      </c>
      <c r="V187" s="6"/>
      <c r="W187" s="296">
        <v>722475</v>
      </c>
      <c r="X187" s="6"/>
      <c r="Y187" s="44">
        <v>7.9000000000000001E-2</v>
      </c>
      <c r="Z187" s="6"/>
      <c r="AA187" s="297">
        <f t="shared" ref="AA187" si="13">+W186-W187</f>
        <v>-36745</v>
      </c>
      <c r="AB187" s="6"/>
      <c r="AC187" s="301"/>
      <c r="AD187" s="294"/>
    </row>
    <row r="188" spans="15:30" x14ac:dyDescent="0.3">
      <c r="O188" s="110"/>
      <c r="T188" s="293"/>
      <c r="U188" s="295">
        <f t="shared" si="3"/>
        <v>44133</v>
      </c>
      <c r="V188" s="6"/>
      <c r="W188" s="296">
        <v>756762</v>
      </c>
      <c r="X188" s="6"/>
      <c r="Y188" s="44">
        <v>8.2000000000000003E-2</v>
      </c>
      <c r="Z188" s="6"/>
      <c r="AA188" s="297">
        <f t="shared" ref="AA188" si="14">+W187-W188</f>
        <v>-34287</v>
      </c>
      <c r="AB188" s="6"/>
      <c r="AC188" s="301"/>
      <c r="AD188" s="294"/>
    </row>
    <row r="189" spans="15:30" x14ac:dyDescent="0.3">
      <c r="O189" s="110"/>
      <c r="T189" s="293"/>
      <c r="U189" s="295">
        <f t="shared" si="3"/>
        <v>44134</v>
      </c>
      <c r="V189" s="6"/>
      <c r="W189" s="296">
        <v>796351</v>
      </c>
      <c r="X189" s="6"/>
      <c r="Y189" s="44">
        <v>8.5999999999999993E-2</v>
      </c>
      <c r="Z189" s="6"/>
      <c r="AA189" s="297">
        <f t="shared" ref="AA189" si="15">+W188-W189</f>
        <v>-39589</v>
      </c>
      <c r="AB189" s="6"/>
      <c r="AC189" s="301"/>
      <c r="AD189" s="294"/>
    </row>
    <row r="190" spans="15:30" x14ac:dyDescent="0.3">
      <c r="O190" s="110"/>
      <c r="T190" s="293"/>
      <c r="U190" s="295">
        <f t="shared" si="3"/>
        <v>44135</v>
      </c>
      <c r="V190" s="6"/>
      <c r="W190" s="296">
        <v>819039</v>
      </c>
      <c r="X190" s="6"/>
      <c r="Y190" s="44">
        <v>8.6999999999999994E-2</v>
      </c>
      <c r="Z190" s="6"/>
      <c r="AA190" s="297">
        <f t="shared" ref="AA190" si="16">+W189-W190</f>
        <v>-22688</v>
      </c>
      <c r="AB190" s="6"/>
      <c r="AC190" s="301"/>
      <c r="AD190" s="294"/>
    </row>
    <row r="191" spans="15:30" x14ac:dyDescent="0.3">
      <c r="O191" s="110"/>
      <c r="T191" s="293"/>
      <c r="U191" s="295">
        <f t="shared" si="3"/>
        <v>44136</v>
      </c>
      <c r="V191" s="6"/>
      <c r="W191" s="296">
        <v>816056</v>
      </c>
      <c r="X191" s="6"/>
      <c r="Y191" s="44">
        <v>8.5999999999999993E-2</v>
      </c>
      <c r="Z191" s="6"/>
      <c r="AA191" s="297">
        <f t="shared" ref="AA191" si="17">+W190-W191</f>
        <v>2983</v>
      </c>
      <c r="AB191" s="6"/>
      <c r="AC191" s="301"/>
      <c r="AD191" s="294"/>
    </row>
    <row r="192" spans="15:30" x14ac:dyDescent="0.3">
      <c r="O192" s="110"/>
      <c r="T192" s="293"/>
      <c r="U192" s="295">
        <f t="shared" si="3"/>
        <v>44137</v>
      </c>
      <c r="V192" s="6"/>
      <c r="W192" s="296">
        <v>823918</v>
      </c>
      <c r="X192" s="6"/>
      <c r="Y192" s="44">
        <v>8.5999999999999993E-2</v>
      </c>
      <c r="Z192" s="6"/>
      <c r="AA192" s="297">
        <f t="shared" ref="AA192" si="18">+W191-W192</f>
        <v>-7862</v>
      </c>
      <c r="AB192" s="6"/>
      <c r="AC192" s="301"/>
      <c r="AD192" s="294"/>
    </row>
    <row r="193" spans="15:30" x14ac:dyDescent="0.3">
      <c r="O193" s="110"/>
      <c r="T193" s="293"/>
      <c r="U193" s="295">
        <f t="shared" si="3"/>
        <v>44138</v>
      </c>
      <c r="V193" s="6"/>
      <c r="W193" s="296">
        <v>839176</v>
      </c>
      <c r="X193" s="6"/>
      <c r="Y193" s="44">
        <v>8.6999999999999994E-2</v>
      </c>
      <c r="Z193" s="6"/>
      <c r="AA193" s="297">
        <f t="shared" ref="AA193" si="19">+W192-W193</f>
        <v>-15258</v>
      </c>
      <c r="AB193" s="6"/>
      <c r="AC193" s="301"/>
      <c r="AD193" s="294"/>
    </row>
    <row r="194" spans="15:30" x14ac:dyDescent="0.3">
      <c r="O194" s="110"/>
      <c r="T194" s="293"/>
      <c r="U194" s="295">
        <f t="shared" si="3"/>
        <v>44139</v>
      </c>
      <c r="V194" s="6"/>
      <c r="W194" s="296">
        <v>886905</v>
      </c>
      <c r="X194" s="6"/>
      <c r="Y194" s="44">
        <v>9.0999999999999998E-2</v>
      </c>
      <c r="Z194" s="6"/>
      <c r="AA194" s="297">
        <f t="shared" ref="AA194" si="20">+W193-W194</f>
        <v>-47729</v>
      </c>
      <c r="AB194" s="6"/>
      <c r="AC194" s="301"/>
      <c r="AD194" s="294"/>
    </row>
    <row r="195" spans="15:30" x14ac:dyDescent="0.3">
      <c r="O195" s="110"/>
      <c r="T195" s="293"/>
      <c r="U195" s="295">
        <f t="shared" si="3"/>
        <v>44140</v>
      </c>
      <c r="V195" s="6"/>
      <c r="W195" s="296">
        <v>935498</v>
      </c>
      <c r="X195" s="6"/>
      <c r="Y195" s="44">
        <v>9.5000000000000001E-2</v>
      </c>
      <c r="Z195" s="6"/>
      <c r="AA195" s="297">
        <f t="shared" ref="AA195" si="21">+W194-W195</f>
        <v>-48593</v>
      </c>
      <c r="AB195" s="6"/>
      <c r="AC195" s="301"/>
      <c r="AD195" s="294"/>
    </row>
    <row r="196" spans="15:30" x14ac:dyDescent="0.3">
      <c r="O196" s="110"/>
      <c r="T196" s="293"/>
      <c r="U196" s="295">
        <f t="shared" si="3"/>
        <v>44141</v>
      </c>
      <c r="V196" s="6"/>
      <c r="W196" s="296">
        <v>933110</v>
      </c>
      <c r="X196" s="6"/>
      <c r="Y196" s="44">
        <v>9.9000000000000005E-2</v>
      </c>
      <c r="Z196" s="6"/>
      <c r="AA196" s="297">
        <f t="shared" ref="AA196" si="22">+W195-W196</f>
        <v>2388</v>
      </c>
      <c r="AB196" s="6"/>
      <c r="AC196" s="301"/>
      <c r="AD196" s="294"/>
    </row>
    <row r="197" spans="15:30" x14ac:dyDescent="0.3">
      <c r="O197" s="110"/>
      <c r="T197" s="293"/>
      <c r="U197" s="295">
        <f t="shared" si="3"/>
        <v>44142</v>
      </c>
      <c r="V197" s="6"/>
      <c r="W197" s="296">
        <v>911706</v>
      </c>
      <c r="X197" s="6"/>
      <c r="Y197" s="44">
        <v>9.0999999999999998E-2</v>
      </c>
      <c r="Z197" s="6"/>
      <c r="AA197" s="297">
        <f t="shared" ref="AA197" si="23">+W196-W197</f>
        <v>21404</v>
      </c>
      <c r="AB197" s="6"/>
      <c r="AC197" s="301"/>
      <c r="AD197" s="294"/>
    </row>
    <row r="198" spans="15:30" x14ac:dyDescent="0.3">
      <c r="O198" s="110"/>
      <c r="T198" s="293"/>
      <c r="U198" s="295">
        <f t="shared" si="3"/>
        <v>44143</v>
      </c>
      <c r="V198" s="6"/>
      <c r="W198" s="296">
        <v>945813</v>
      </c>
      <c r="X198" s="6"/>
      <c r="Y198" s="44">
        <v>9.2999999999999999E-2</v>
      </c>
      <c r="Z198" s="6"/>
      <c r="AA198" s="297">
        <f t="shared" ref="AA198" si="24">+W197-W198</f>
        <v>-34107</v>
      </c>
      <c r="AB198" s="6"/>
      <c r="AC198" s="301"/>
      <c r="AD198" s="294"/>
    </row>
    <row r="199" spans="15:30" x14ac:dyDescent="0.3">
      <c r="O199" s="110"/>
      <c r="T199" s="293"/>
      <c r="U199" s="295">
        <f t="shared" si="3"/>
        <v>44144</v>
      </c>
      <c r="V199" s="6"/>
      <c r="W199" s="296">
        <v>985209</v>
      </c>
      <c r="X199" s="6"/>
      <c r="Y199" s="44">
        <v>9.5000000000000001E-2</v>
      </c>
      <c r="Z199" s="6"/>
      <c r="AA199" s="297">
        <f t="shared" ref="AA199" si="25">+W198-W199</f>
        <v>-39396</v>
      </c>
      <c r="AB199" s="6"/>
      <c r="AC199" s="301"/>
      <c r="AD199" s="294"/>
    </row>
    <row r="200" spans="15:30" x14ac:dyDescent="0.3">
      <c r="O200" s="110"/>
      <c r="T200" s="293"/>
      <c r="U200" s="295">
        <f t="shared" si="3"/>
        <v>44145</v>
      </c>
      <c r="V200" s="6"/>
      <c r="W200" s="296">
        <v>1050453</v>
      </c>
      <c r="X200" s="6"/>
      <c r="Y200" s="44">
        <v>0.1</v>
      </c>
      <c r="Z200" s="6"/>
      <c r="AA200" s="297">
        <f t="shared" ref="AA200" si="26">+W199-W200</f>
        <v>-65244</v>
      </c>
      <c r="AB200" s="6"/>
      <c r="AC200" s="301"/>
      <c r="AD200" s="294"/>
    </row>
    <row r="201" spans="15:30" x14ac:dyDescent="0.3">
      <c r="O201" s="110"/>
      <c r="T201" s="293"/>
      <c r="U201" s="295">
        <f t="shared" si="3"/>
        <v>44146</v>
      </c>
      <c r="V201" s="6"/>
      <c r="W201" s="296">
        <v>1103763</v>
      </c>
      <c r="X201" s="6"/>
      <c r="Y201" s="44">
        <v>0.104</v>
      </c>
      <c r="Z201" s="6"/>
      <c r="AA201" s="297">
        <f t="shared" ref="AA201" si="27">+W200-W201</f>
        <v>-53310</v>
      </c>
      <c r="AB201" s="6"/>
      <c r="AC201" s="301"/>
      <c r="AD201" s="294"/>
    </row>
    <row r="202" spans="15:30" x14ac:dyDescent="0.3">
      <c r="O202" s="110"/>
      <c r="T202" s="293"/>
      <c r="U202" s="295">
        <f t="shared" si="3"/>
        <v>44147</v>
      </c>
      <c r="V202" s="6"/>
      <c r="W202" s="296">
        <v>1171415</v>
      </c>
      <c r="X202" s="6"/>
      <c r="Y202" s="44">
        <v>0.109</v>
      </c>
      <c r="Z202" s="6"/>
      <c r="AA202" s="297">
        <f t="shared" ref="AA202" si="28">+W201-W202</f>
        <v>-67652</v>
      </c>
      <c r="AB202" s="6"/>
      <c r="AC202" s="301"/>
      <c r="AD202" s="294"/>
    </row>
    <row r="203" spans="15:30" x14ac:dyDescent="0.3">
      <c r="O203" s="110"/>
      <c r="T203" s="293"/>
      <c r="U203" s="295">
        <f t="shared" si="3"/>
        <v>44148</v>
      </c>
      <c r="V203" s="6"/>
      <c r="W203" s="296">
        <v>1247238</v>
      </c>
      <c r="X203" s="6"/>
      <c r="Y203" s="44">
        <v>0.114</v>
      </c>
      <c r="Z203" s="6"/>
      <c r="AA203" s="297">
        <f t="shared" ref="AA203" si="29">+W202-W203</f>
        <v>-75823</v>
      </c>
      <c r="AB203" s="6"/>
      <c r="AC203" s="301"/>
      <c r="AD203" s="294"/>
    </row>
    <row r="204" spans="15:30" x14ac:dyDescent="0.3">
      <c r="O204" s="110"/>
      <c r="T204" s="293"/>
      <c r="U204" s="295">
        <f t="shared" si="3"/>
        <v>44149</v>
      </c>
      <c r="V204" s="6"/>
      <c r="W204" s="296">
        <v>1286641</v>
      </c>
      <c r="X204" s="6"/>
      <c r="Y204" s="44">
        <v>0.11600000000000001</v>
      </c>
      <c r="Z204" s="6"/>
      <c r="AA204" s="297">
        <f t="shared" ref="AA204" si="30">+W203-W204</f>
        <v>-39403</v>
      </c>
      <c r="AB204" s="6"/>
      <c r="AC204" s="301"/>
      <c r="AD204" s="294"/>
    </row>
    <row r="205" spans="15:30" x14ac:dyDescent="0.3">
      <c r="O205" s="110"/>
      <c r="T205" s="293"/>
      <c r="U205" s="295">
        <f t="shared" si="3"/>
        <v>44150</v>
      </c>
      <c r="V205" s="6"/>
      <c r="W205" s="296">
        <v>1292637</v>
      </c>
      <c r="X205" s="6"/>
      <c r="Y205" s="44">
        <v>0.115</v>
      </c>
      <c r="Z205" s="6"/>
      <c r="AA205" s="297">
        <f t="shared" ref="AA205" si="31">+W204-W205</f>
        <v>-5996</v>
      </c>
      <c r="AB205" s="6"/>
      <c r="AC205" s="301"/>
      <c r="AD205" s="294"/>
    </row>
    <row r="206" spans="15:30" x14ac:dyDescent="0.3">
      <c r="O206" s="110"/>
      <c r="T206" s="293"/>
      <c r="U206" s="295">
        <f t="shared" si="3"/>
        <v>44151</v>
      </c>
      <c r="V206" s="6"/>
      <c r="W206" s="296">
        <v>1386009</v>
      </c>
      <c r="X206" s="6"/>
      <c r="Y206" s="44">
        <v>0.12</v>
      </c>
      <c r="Z206" s="6"/>
      <c r="AA206" s="297">
        <f t="shared" ref="AA206" si="32">+W205-W206</f>
        <v>-93372</v>
      </c>
      <c r="AB206" s="6"/>
      <c r="AC206" s="301"/>
      <c r="AD206" s="294"/>
    </row>
    <row r="207" spans="15:30" x14ac:dyDescent="0.3">
      <c r="O207" s="110"/>
      <c r="T207" s="293"/>
      <c r="U207" s="295">
        <f t="shared" si="3"/>
        <v>44152</v>
      </c>
      <c r="V207" s="6"/>
      <c r="W207" s="296">
        <v>1434502</v>
      </c>
      <c r="X207" s="6"/>
      <c r="Y207" s="44">
        <v>0.122</v>
      </c>
      <c r="Z207" s="6"/>
      <c r="AA207" s="297">
        <f t="shared" ref="AA207" si="33">+W206-W207</f>
        <v>-48493</v>
      </c>
      <c r="AB207" s="6"/>
      <c r="AC207" s="301"/>
      <c r="AD207" s="294"/>
    </row>
    <row r="208" spans="15:30" x14ac:dyDescent="0.3">
      <c r="O208" s="110"/>
      <c r="T208" s="293"/>
      <c r="U208" s="295">
        <f t="shared" si="3"/>
        <v>44153</v>
      </c>
      <c r="V208" s="6"/>
      <c r="W208" s="296">
        <v>1434502</v>
      </c>
      <c r="X208" s="6"/>
      <c r="Y208" s="44">
        <v>0.122</v>
      </c>
      <c r="Z208" s="6"/>
      <c r="AA208" s="297">
        <f t="shared" ref="AA208" si="34">+W207-W208</f>
        <v>0</v>
      </c>
      <c r="AB208" s="6"/>
      <c r="AC208" s="301"/>
      <c r="AD208" s="294"/>
    </row>
    <row r="209" spans="15:30" x14ac:dyDescent="0.3">
      <c r="O209" s="110"/>
      <c r="T209" s="293"/>
      <c r="U209" s="295">
        <f t="shared" si="3"/>
        <v>44154</v>
      </c>
      <c r="V209" s="6"/>
      <c r="W209" s="296">
        <v>1491309</v>
      </c>
      <c r="X209" s="6"/>
      <c r="Y209" s="44">
        <v>0.125</v>
      </c>
      <c r="Z209" s="6"/>
      <c r="AA209" s="297">
        <f t="shared" ref="AA209" si="35">+W208-W209</f>
        <v>-56807</v>
      </c>
      <c r="AB209" s="6"/>
      <c r="AC209" s="301"/>
      <c r="AD209" s="294"/>
    </row>
    <row r="210" spans="15:30" x14ac:dyDescent="0.3">
      <c r="O210" s="110"/>
      <c r="T210" s="293"/>
      <c r="U210" s="295">
        <f t="shared" si="3"/>
        <v>44155</v>
      </c>
      <c r="V210" s="6"/>
      <c r="W210" s="296">
        <v>1552582</v>
      </c>
      <c r="X210" s="6"/>
      <c r="Y210" s="44">
        <v>0.128</v>
      </c>
      <c r="Z210" s="6"/>
      <c r="AA210" s="297">
        <f t="shared" ref="AA210" si="36">+W209-W210</f>
        <v>-61273</v>
      </c>
      <c r="AB210" s="6"/>
      <c r="AC210" s="301"/>
      <c r="AD210" s="294"/>
    </row>
    <row r="211" spans="15:30" x14ac:dyDescent="0.3">
      <c r="O211" s="110"/>
      <c r="T211" s="293"/>
      <c r="U211" s="295">
        <f t="shared" si="3"/>
        <v>44156</v>
      </c>
      <c r="V211" s="6"/>
      <c r="W211" s="296">
        <v>1564338</v>
      </c>
      <c r="X211" s="6"/>
      <c r="Y211" s="44">
        <v>0.127</v>
      </c>
      <c r="Z211" s="6"/>
      <c r="AA211" s="297">
        <f t="shared" ref="AA211" si="37">+W210-W211</f>
        <v>-11756</v>
      </c>
      <c r="AB211" s="6"/>
      <c r="AC211" s="301"/>
      <c r="AD211" s="294"/>
    </row>
    <row r="212" spans="15:30" x14ac:dyDescent="0.3">
      <c r="O212" s="110"/>
      <c r="T212" s="293"/>
      <c r="U212" s="295">
        <f t="shared" si="3"/>
        <v>44157</v>
      </c>
      <c r="V212" s="6"/>
      <c r="W212" s="296">
        <v>1517624</v>
      </c>
      <c r="X212" s="6"/>
      <c r="Y212" s="44">
        <v>0.122</v>
      </c>
      <c r="Z212" s="6"/>
      <c r="AA212" s="297">
        <f t="shared" ref="AA212" si="38">+W211-W212</f>
        <v>46714</v>
      </c>
      <c r="AB212" s="6"/>
      <c r="AC212" s="301"/>
      <c r="AD212" s="294"/>
    </row>
    <row r="213" spans="15:30" x14ac:dyDescent="0.3">
      <c r="O213" s="110"/>
      <c r="T213" s="293"/>
      <c r="U213" s="295">
        <f t="shared" si="3"/>
        <v>44158</v>
      </c>
      <c r="V213" s="6"/>
      <c r="W213" s="296">
        <v>1533231</v>
      </c>
      <c r="X213" s="6"/>
      <c r="Y213" s="44">
        <v>0.121</v>
      </c>
      <c r="Z213" s="6"/>
      <c r="AA213" s="297">
        <f t="shared" ref="AA213" si="39">+W212-W213</f>
        <v>-15607</v>
      </c>
      <c r="AB213" s="6"/>
      <c r="AC213" s="301"/>
      <c r="AD213" s="294"/>
    </row>
    <row r="214" spans="15:30" x14ac:dyDescent="0.3">
      <c r="O214" s="110"/>
      <c r="T214" s="293"/>
      <c r="U214" s="295">
        <f t="shared" si="3"/>
        <v>44159</v>
      </c>
      <c r="V214" s="6"/>
      <c r="W214" s="296">
        <v>1571982</v>
      </c>
      <c r="X214" s="6"/>
      <c r="Y214" s="44">
        <f>+L$36</f>
        <v>8.4343246143478892E-2</v>
      </c>
      <c r="Z214" s="6"/>
      <c r="AA214" s="297">
        <f t="shared" ref="AA214" si="40">+W213-W214</f>
        <v>-38751</v>
      </c>
      <c r="AB214" s="6"/>
      <c r="AC214" s="301"/>
      <c r="AD214" s="294"/>
    </row>
    <row r="215" spans="15:30" x14ac:dyDescent="0.3">
      <c r="O215" s="110"/>
      <c r="T215" s="293"/>
      <c r="U215" s="295">
        <f t="shared" si="3"/>
        <v>44160</v>
      </c>
      <c r="V215" s="6"/>
      <c r="W215" s="296">
        <v>1591295</v>
      </c>
      <c r="X215" s="6"/>
      <c r="Y215" s="44">
        <v>0.123</v>
      </c>
      <c r="Z215" s="6"/>
      <c r="AA215" s="297">
        <f t="shared" ref="AA215" si="41">+W214-W215</f>
        <v>-19313</v>
      </c>
      <c r="AB215" s="6"/>
      <c r="AC215" s="301"/>
      <c r="AD215" s="294"/>
    </row>
    <row r="216" spans="15:30" x14ac:dyDescent="0.3">
      <c r="O216" s="110"/>
      <c r="T216" s="293"/>
      <c r="U216" s="295">
        <f t="shared" si="3"/>
        <v>44161</v>
      </c>
      <c r="V216" s="6"/>
      <c r="W216" s="296">
        <v>1542097</v>
      </c>
      <c r="X216" s="6"/>
      <c r="Y216" s="44">
        <v>0.11799999999999999</v>
      </c>
      <c r="Z216" s="6"/>
      <c r="AA216" s="297">
        <f t="shared" ref="AA216" si="42">+W215-W216</f>
        <v>49198</v>
      </c>
      <c r="AB216" s="6"/>
      <c r="AC216" s="301"/>
      <c r="AD216" s="294"/>
    </row>
    <row r="217" spans="15:30" x14ac:dyDescent="0.3">
      <c r="O217" s="110"/>
      <c r="T217" s="293"/>
      <c r="U217" s="295">
        <f t="shared" si="3"/>
        <v>44162</v>
      </c>
      <c r="V217" s="6"/>
      <c r="W217" s="296">
        <v>1532655</v>
      </c>
      <c r="X217" s="6"/>
      <c r="Y217" s="44">
        <v>0.11600000000000001</v>
      </c>
      <c r="Z217" s="6"/>
      <c r="AA217" s="297">
        <f t="shared" ref="AA217" si="43">+W216-W217</f>
        <v>9442</v>
      </c>
      <c r="AB217" s="6"/>
      <c r="AC217" s="301"/>
      <c r="AD217" s="294"/>
    </row>
    <row r="218" spans="15:30" x14ac:dyDescent="0.3">
      <c r="O218" s="110"/>
      <c r="T218" s="293"/>
      <c r="U218" s="295">
        <f t="shared" si="3"/>
        <v>44163</v>
      </c>
      <c r="V218" s="6"/>
      <c r="W218" s="296">
        <v>1484025</v>
      </c>
      <c r="X218" s="6"/>
      <c r="Y218" s="44">
        <v>0.111</v>
      </c>
      <c r="Z218" s="6"/>
      <c r="AA218" s="297">
        <f t="shared" ref="AA218" si="44">+W217-W218</f>
        <v>48630</v>
      </c>
      <c r="AB218" s="6"/>
      <c r="AC218" s="301"/>
      <c r="AD218" s="294"/>
    </row>
    <row r="219" spans="15:30" x14ac:dyDescent="0.3">
      <c r="O219" s="110"/>
      <c r="T219" s="293"/>
      <c r="U219" s="295">
        <f t="shared" si="3"/>
        <v>44164</v>
      </c>
      <c r="V219" s="6"/>
      <c r="W219" s="296">
        <v>1418209</v>
      </c>
      <c r="X219" s="6"/>
      <c r="Y219" s="44">
        <v>0.105</v>
      </c>
      <c r="Z219" s="6"/>
      <c r="AA219" s="297">
        <f t="shared" ref="AA219" si="45">+W218-W219</f>
        <v>65816</v>
      </c>
      <c r="AB219" s="6"/>
      <c r="AC219" s="301"/>
      <c r="AD219" s="294"/>
    </row>
    <row r="220" spans="15:30" x14ac:dyDescent="0.3">
      <c r="O220" s="110"/>
      <c r="T220" s="293"/>
      <c r="U220" s="295">
        <f t="shared" si="3"/>
        <v>44165</v>
      </c>
      <c r="V220" s="6"/>
      <c r="W220" s="296">
        <v>1407423</v>
      </c>
      <c r="X220" s="6"/>
      <c r="Y220" s="44">
        <v>0.10299999999999999</v>
      </c>
      <c r="Z220" s="6"/>
      <c r="AA220" s="297">
        <f t="shared" ref="AA220" si="46">+W219-W220</f>
        <v>10786</v>
      </c>
      <c r="AB220" s="6"/>
      <c r="AC220" s="301"/>
      <c r="AD220" s="294"/>
    </row>
    <row r="221" spans="15:30" x14ac:dyDescent="0.3">
      <c r="O221" s="110"/>
      <c r="T221" s="293"/>
      <c r="U221" s="295">
        <f t="shared" si="3"/>
        <v>44166</v>
      </c>
      <c r="V221" s="6"/>
      <c r="W221" s="296">
        <v>1453487</v>
      </c>
      <c r="X221" s="6"/>
      <c r="Y221" s="44">
        <v>0.105</v>
      </c>
      <c r="Z221" s="6"/>
      <c r="AA221" s="297">
        <f t="shared" ref="AA221" si="47">+W220-W221</f>
        <v>-46064</v>
      </c>
      <c r="AB221" s="6"/>
      <c r="AC221" s="301"/>
      <c r="AD221" s="294"/>
    </row>
    <row r="222" spans="15:30" x14ac:dyDescent="0.3">
      <c r="O222" s="110"/>
      <c r="T222" s="293"/>
      <c r="U222" s="295">
        <f t="shared" si="3"/>
        <v>44167</v>
      </c>
      <c r="V222" s="6"/>
      <c r="W222" s="296">
        <v>1485389</v>
      </c>
      <c r="X222" s="6"/>
      <c r="Y222" s="44">
        <v>0.105</v>
      </c>
      <c r="Z222" s="6"/>
      <c r="AA222" s="297">
        <f t="shared" ref="AA222" si="48">+W221-W222</f>
        <v>-31902</v>
      </c>
      <c r="AB222" s="6"/>
      <c r="AC222" s="301"/>
      <c r="AD222" s="294"/>
    </row>
    <row r="223" spans="15:30" x14ac:dyDescent="0.3">
      <c r="O223" s="110"/>
      <c r="T223" s="293"/>
      <c r="U223" s="295">
        <f t="shared" si="3"/>
        <v>44168</v>
      </c>
      <c r="V223" s="6"/>
      <c r="W223" s="296">
        <v>1526892</v>
      </c>
      <c r="X223" s="6"/>
      <c r="Y223" s="44">
        <v>0.107</v>
      </c>
      <c r="Z223" s="6"/>
      <c r="AA223" s="297">
        <f t="shared" ref="AA223" si="49">+W222-W223</f>
        <v>-41503</v>
      </c>
      <c r="AB223" s="6"/>
      <c r="AC223" s="301"/>
      <c r="AD223" s="294"/>
    </row>
    <row r="224" spans="15:30" x14ac:dyDescent="0.3">
      <c r="O224" s="110"/>
      <c r="T224" s="293"/>
      <c r="U224" s="295">
        <f t="shared" si="3"/>
        <v>44169</v>
      </c>
      <c r="V224" s="6"/>
      <c r="W224" s="296">
        <v>1581218</v>
      </c>
      <c r="X224" s="6"/>
      <c r="Y224" s="44">
        <v>0.109</v>
      </c>
      <c r="Z224" s="6"/>
      <c r="AA224" s="297">
        <f t="shared" ref="AA224" si="50">+W223-W224</f>
        <v>-54326</v>
      </c>
      <c r="AB224" s="6"/>
      <c r="AC224" s="301"/>
      <c r="AD224" s="294"/>
    </row>
    <row r="225" spans="15:30" x14ac:dyDescent="0.3">
      <c r="O225" s="110"/>
      <c r="T225" s="293"/>
      <c r="U225" s="295">
        <f t="shared" si="3"/>
        <v>44170</v>
      </c>
      <c r="V225" s="6"/>
      <c r="W225" s="296">
        <v>1685743</v>
      </c>
      <c r="X225" s="6"/>
      <c r="Y225" s="44">
        <v>0.114</v>
      </c>
      <c r="Z225" s="6"/>
      <c r="AA225" s="297">
        <f t="shared" ref="AA225" si="51">+W224-W225</f>
        <v>-104525</v>
      </c>
      <c r="AB225" s="6"/>
      <c r="AC225" s="301"/>
      <c r="AD225" s="294"/>
    </row>
    <row r="226" spans="15:30" x14ac:dyDescent="0.3">
      <c r="O226" s="110"/>
      <c r="T226" s="293"/>
      <c r="U226" s="295">
        <f t="shared" si="3"/>
        <v>44171</v>
      </c>
      <c r="V226" s="6"/>
      <c r="W226" s="296">
        <v>1704700</v>
      </c>
      <c r="X226" s="6"/>
      <c r="Y226" s="44">
        <v>0.114</v>
      </c>
      <c r="Z226" s="6"/>
      <c r="AA226" s="297">
        <f t="shared" ref="AA226" si="52">+W225-W226</f>
        <v>-18957</v>
      </c>
      <c r="AB226" s="6"/>
      <c r="AC226" s="301"/>
      <c r="AD226" s="294"/>
    </row>
    <row r="227" spans="15:30" x14ac:dyDescent="0.3">
      <c r="O227" s="110"/>
      <c r="T227" s="293"/>
      <c r="U227" s="295">
        <f t="shared" si="3"/>
        <v>44172</v>
      </c>
      <c r="V227" s="6"/>
      <c r="W227" s="296">
        <v>1761419</v>
      </c>
      <c r="X227" s="6"/>
      <c r="Y227" s="44">
        <v>0.11600000000000001</v>
      </c>
      <c r="Z227" s="6"/>
      <c r="AA227" s="297">
        <f t="shared" ref="AA227" si="53">+W226-W227</f>
        <v>-56719</v>
      </c>
      <c r="AB227" s="6"/>
      <c r="AC227" s="301"/>
      <c r="AD227" s="294"/>
    </row>
    <row r="228" spans="15:30" x14ac:dyDescent="0.3">
      <c r="O228" s="110"/>
      <c r="T228" s="293"/>
      <c r="U228" s="295">
        <f t="shared" si="3"/>
        <v>44173</v>
      </c>
      <c r="V228" s="6"/>
      <c r="W228" s="296">
        <v>1833392</v>
      </c>
      <c r="X228" s="6"/>
      <c r="Y228" s="44">
        <v>0.11899999999999999</v>
      </c>
      <c r="Z228" s="6"/>
      <c r="AA228" s="297">
        <f t="shared" ref="AA228" si="54">+W227-W228</f>
        <v>-71973</v>
      </c>
      <c r="AB228" s="6"/>
      <c r="AC228" s="301"/>
      <c r="AD228" s="294"/>
    </row>
    <row r="229" spans="15:30" x14ac:dyDescent="0.3">
      <c r="O229" s="110"/>
      <c r="T229" s="293"/>
      <c r="U229" s="295">
        <f t="shared" si="3"/>
        <v>44174</v>
      </c>
      <c r="V229" s="6"/>
      <c r="W229" s="296">
        <v>1899246</v>
      </c>
      <c r="X229" s="6"/>
      <c r="Y229" s="44">
        <v>0.122</v>
      </c>
      <c r="Z229" s="6"/>
      <c r="AA229" s="297">
        <f t="shared" ref="AA229" si="55">+W228-W229</f>
        <v>-65854</v>
      </c>
      <c r="AB229" s="6"/>
      <c r="AC229" s="301"/>
      <c r="AD229" s="294"/>
    </row>
    <row r="230" spans="15:30" x14ac:dyDescent="0.3">
      <c r="O230" s="110"/>
      <c r="T230" s="293"/>
      <c r="U230" s="295">
        <f t="shared" si="3"/>
        <v>44175</v>
      </c>
      <c r="V230" s="6"/>
      <c r="W230" s="296">
        <v>1944307</v>
      </c>
      <c r="X230" s="6"/>
      <c r="Y230" s="44">
        <v>0.123</v>
      </c>
      <c r="Z230" s="6"/>
      <c r="AA230" s="297">
        <f t="shared" ref="AA230" si="56">+W229-W230</f>
        <v>-45061</v>
      </c>
      <c r="AB230" s="6"/>
      <c r="AC230" s="301"/>
      <c r="AD230" s="294"/>
    </row>
    <row r="231" spans="15:30" x14ac:dyDescent="0.3">
      <c r="O231" s="110"/>
      <c r="T231" s="293"/>
      <c r="U231" s="295">
        <f t="shared" si="3"/>
        <v>44176</v>
      </c>
      <c r="V231" s="6"/>
      <c r="W231" s="296">
        <v>1987303</v>
      </c>
      <c r="X231" s="6"/>
      <c r="Y231" s="44">
        <v>0.124</v>
      </c>
      <c r="Z231" s="6"/>
      <c r="AA231" s="297">
        <f t="shared" ref="AA231" si="57">+W230-W231</f>
        <v>-42996</v>
      </c>
      <c r="AB231" s="6"/>
      <c r="AC231" s="301"/>
      <c r="AD231" s="294"/>
    </row>
    <row r="232" spans="15:30" x14ac:dyDescent="0.3">
      <c r="O232" s="110"/>
      <c r="T232" s="293"/>
      <c r="U232" s="295">
        <f t="shared" si="3"/>
        <v>44177</v>
      </c>
      <c r="V232" s="6"/>
      <c r="W232" s="296">
        <v>1989224</v>
      </c>
      <c r="X232" s="6"/>
      <c r="Y232" s="44">
        <v>0.122</v>
      </c>
      <c r="Z232" s="6"/>
      <c r="AA232" s="297">
        <f t="shared" ref="AA232" si="58">+W231-W232</f>
        <v>-1921</v>
      </c>
      <c r="AB232" s="6"/>
      <c r="AC232" s="301"/>
      <c r="AD232" s="294"/>
    </row>
    <row r="233" spans="15:30" x14ac:dyDescent="0.3">
      <c r="O233" s="110"/>
      <c r="T233" s="293"/>
      <c r="U233" s="295">
        <f t="shared" si="3"/>
        <v>44178</v>
      </c>
      <c r="V233" s="6"/>
      <c r="W233" s="296">
        <v>1941941</v>
      </c>
      <c r="X233" s="6"/>
      <c r="Y233" s="44">
        <v>0.11799999999999999</v>
      </c>
      <c r="Z233" s="6"/>
      <c r="AA233" s="297">
        <f t="shared" ref="AA233" si="59">+W232-W233</f>
        <v>47283</v>
      </c>
      <c r="AB233" s="6"/>
      <c r="AC233" s="301"/>
      <c r="AD233" s="294"/>
    </row>
    <row r="234" spans="15:30" x14ac:dyDescent="0.3">
      <c r="O234" s="110"/>
      <c r="T234" s="293"/>
      <c r="U234" s="295">
        <f t="shared" si="3"/>
        <v>44179</v>
      </c>
      <c r="V234" s="6"/>
      <c r="W234" s="296">
        <v>1929441</v>
      </c>
      <c r="X234" s="6"/>
      <c r="Y234" s="44">
        <v>0.11600000000000001</v>
      </c>
      <c r="Z234" s="6"/>
      <c r="AA234" s="297">
        <f t="shared" ref="AA234" si="60">+W233-W234</f>
        <v>12500</v>
      </c>
      <c r="AB234" s="6"/>
      <c r="AC234" s="301"/>
      <c r="AD234" s="294"/>
    </row>
    <row r="235" spans="15:30" x14ac:dyDescent="0.3">
      <c r="O235" s="110"/>
      <c r="T235" s="293"/>
      <c r="U235" s="295">
        <f t="shared" si="3"/>
        <v>44180</v>
      </c>
      <c r="V235" s="6"/>
      <c r="W235" s="296">
        <v>1947140</v>
      </c>
      <c r="X235" s="6"/>
      <c r="Y235" s="44">
        <v>0.11600000000000001</v>
      </c>
      <c r="Z235" s="6"/>
      <c r="AA235" s="297">
        <f t="shared" ref="AA235" si="61">+W234-W235</f>
        <v>-17699</v>
      </c>
      <c r="AB235" s="6"/>
      <c r="AC235" s="301"/>
      <c r="AD235" s="294"/>
    </row>
    <row r="236" spans="15:30" x14ac:dyDescent="0.3">
      <c r="O236" s="110"/>
      <c r="T236" s="293"/>
      <c r="U236" s="295">
        <f t="shared" si="3"/>
        <v>44181</v>
      </c>
      <c r="V236" s="6"/>
      <c r="W236" s="296">
        <v>1997228</v>
      </c>
      <c r="X236" s="6"/>
      <c r="Y236" s="44">
        <v>0.11700000000000001</v>
      </c>
      <c r="Z236" s="6"/>
      <c r="AA236" s="297">
        <f t="shared" ref="AA236" si="62">+W235-W236</f>
        <v>-50088</v>
      </c>
      <c r="AB236" s="6"/>
      <c r="AC236" s="301"/>
      <c r="AD236" s="294"/>
    </row>
    <row r="237" spans="15:30" x14ac:dyDescent="0.3">
      <c r="O237" s="110"/>
      <c r="T237" s="293"/>
      <c r="U237" s="295">
        <f t="shared" si="3"/>
        <v>44182</v>
      </c>
      <c r="V237" s="6"/>
      <c r="W237" s="296">
        <v>2025245</v>
      </c>
      <c r="X237" s="6"/>
      <c r="Y237" s="44">
        <v>0.11700000000000001</v>
      </c>
      <c r="Z237" s="6"/>
      <c r="AA237" s="297">
        <f t="shared" ref="AA237" si="63">+W236-W237</f>
        <v>-28017</v>
      </c>
      <c r="AB237" s="6"/>
      <c r="AC237" s="301"/>
      <c r="AD237" s="294"/>
    </row>
    <row r="238" spans="15:30" x14ac:dyDescent="0.3">
      <c r="O238" s="110"/>
      <c r="T238" s="293"/>
      <c r="U238" s="295">
        <f t="shared" si="3"/>
        <v>44183</v>
      </c>
      <c r="V238" s="6"/>
      <c r="W238" s="296">
        <v>2052777</v>
      </c>
      <c r="X238" s="6"/>
      <c r="Y238" s="44">
        <v>0.11700000000000001</v>
      </c>
      <c r="Z238" s="6"/>
      <c r="AA238" s="297">
        <f t="shared" ref="AA238" si="64">+W237-W238</f>
        <v>-27532</v>
      </c>
      <c r="AB238" s="6"/>
      <c r="AC238" s="301"/>
      <c r="AD238" s="294"/>
    </row>
    <row r="239" spans="15:30" x14ac:dyDescent="0.3">
      <c r="O239" s="110"/>
      <c r="T239" s="293"/>
      <c r="U239" s="295">
        <f t="shared" si="3"/>
        <v>44184</v>
      </c>
      <c r="V239" s="6"/>
      <c r="W239" s="296">
        <v>2015065</v>
      </c>
      <c r="X239" s="6"/>
      <c r="Y239" s="44">
        <v>0.113</v>
      </c>
      <c r="Z239" s="6"/>
      <c r="AA239" s="297">
        <f t="shared" ref="AA239" si="65">+W238-W239</f>
        <v>37712</v>
      </c>
      <c r="AB239" s="6"/>
      <c r="AC239" s="301"/>
      <c r="AD239" s="294"/>
    </row>
    <row r="240" spans="15:30" x14ac:dyDescent="0.3">
      <c r="O240" s="110"/>
      <c r="T240" s="293"/>
      <c r="U240" s="295">
        <f t="shared" si="3"/>
        <v>44185</v>
      </c>
      <c r="V240" s="6"/>
      <c r="W240" s="296">
        <v>1956618</v>
      </c>
      <c r="X240" s="6"/>
      <c r="Y240" s="44">
        <v>0.109</v>
      </c>
      <c r="Z240" s="6"/>
      <c r="AA240" s="297">
        <f t="shared" ref="AA240" si="66">+W239-W240</f>
        <v>58447</v>
      </c>
      <c r="AB240" s="6"/>
      <c r="AC240" s="301"/>
      <c r="AD240" s="294"/>
    </row>
    <row r="241" spans="15:30" x14ac:dyDescent="0.3">
      <c r="O241" s="110"/>
      <c r="T241" s="293"/>
      <c r="U241" s="295">
        <f t="shared" si="3"/>
        <v>44186</v>
      </c>
      <c r="V241" s="6"/>
      <c r="W241" s="296">
        <v>1936501</v>
      </c>
      <c r="X241" s="6"/>
      <c r="Y241" s="44">
        <v>0.107</v>
      </c>
      <c r="Z241" s="6"/>
      <c r="AA241" s="297">
        <f t="shared" ref="AA241" si="67">+W240-W241</f>
        <v>20117</v>
      </c>
      <c r="AB241" s="6"/>
      <c r="AC241" s="301"/>
      <c r="AD241" s="294"/>
    </row>
    <row r="242" spans="15:30" x14ac:dyDescent="0.3">
      <c r="O242" s="110"/>
      <c r="T242" s="293"/>
      <c r="U242" s="295">
        <f t="shared" si="3"/>
        <v>44187</v>
      </c>
      <c r="V242" s="6"/>
      <c r="W242" s="296">
        <v>1948004</v>
      </c>
      <c r="X242" s="6"/>
      <c r="Y242" s="44">
        <v>0.106</v>
      </c>
      <c r="Z242" s="6"/>
      <c r="AA242" s="297">
        <f t="shared" ref="AA242" si="68">+W241-W242</f>
        <v>-11503</v>
      </c>
      <c r="AB242" s="6"/>
      <c r="AC242" s="301"/>
      <c r="AD242" s="294"/>
    </row>
    <row r="243" spans="15:30" x14ac:dyDescent="0.3">
      <c r="O243" s="110"/>
      <c r="T243" s="293"/>
      <c r="U243" s="295">
        <f t="shared" si="3"/>
        <v>44188</v>
      </c>
      <c r="V243" s="6"/>
      <c r="W243" s="296">
        <v>1980949</v>
      </c>
      <c r="X243" s="6"/>
      <c r="Y243" s="44">
        <v>0.106</v>
      </c>
      <c r="Z243" s="6"/>
      <c r="AA243" s="297">
        <f t="shared" ref="AA243" si="69">+W242-W243</f>
        <v>-32945</v>
      </c>
      <c r="AB243" s="6"/>
      <c r="AC243" s="301"/>
      <c r="AD243" s="294"/>
    </row>
    <row r="244" spans="15:30" x14ac:dyDescent="0.3">
      <c r="O244" s="110"/>
      <c r="T244" s="293"/>
      <c r="U244" s="295">
        <f t="shared" si="3"/>
        <v>44189</v>
      </c>
      <c r="V244" s="6"/>
      <c r="W244" s="296">
        <v>1973991</v>
      </c>
      <c r="X244" s="6"/>
      <c r="Y244" s="44">
        <f>+L$36</f>
        <v>8.4343246143478892E-2</v>
      </c>
      <c r="Z244" s="6"/>
      <c r="AA244" s="297">
        <f t="shared" ref="AA244" si="70">+W243-W244</f>
        <v>6958</v>
      </c>
      <c r="AB244" s="6"/>
      <c r="AC244" s="301"/>
      <c r="AD244" s="294"/>
    </row>
    <row r="245" spans="15:30" x14ac:dyDescent="0.3">
      <c r="O245" s="110"/>
      <c r="T245" s="293"/>
      <c r="U245" s="295">
        <f t="shared" si="3"/>
        <v>44190</v>
      </c>
      <c r="V245" s="6"/>
      <c r="W245" s="296">
        <v>1822535</v>
      </c>
      <c r="X245" s="6"/>
      <c r="Y245" s="44">
        <v>9.6000000000000002E-2</v>
      </c>
      <c r="Z245" s="6"/>
      <c r="AA245" s="297">
        <f t="shared" ref="AA245" si="71">+W244-W245</f>
        <v>151456</v>
      </c>
      <c r="AB245" s="6"/>
      <c r="AC245" s="301"/>
      <c r="AD245" s="294"/>
    </row>
    <row r="246" spans="15:30" x14ac:dyDescent="0.3">
      <c r="O246" s="110"/>
      <c r="T246" s="293"/>
      <c r="U246" s="295">
        <f t="shared" si="3"/>
        <v>44191</v>
      </c>
      <c r="V246" s="6"/>
      <c r="W246" s="296">
        <v>1745192</v>
      </c>
      <c r="X246" s="6"/>
      <c r="Y246" s="44">
        <v>9.1999999999999998E-2</v>
      </c>
      <c r="Z246" s="6"/>
      <c r="AA246" s="297">
        <f t="shared" ref="AA246" si="72">+W245-W246</f>
        <v>77343</v>
      </c>
      <c r="AB246" s="6"/>
      <c r="AC246" s="301"/>
      <c r="AD246" s="294"/>
    </row>
    <row r="247" spans="15:30" x14ac:dyDescent="0.3">
      <c r="O247" s="110"/>
      <c r="T247" s="293"/>
      <c r="U247" s="295">
        <f t="shared" si="3"/>
        <v>44192</v>
      </c>
      <c r="V247" s="6"/>
      <c r="W247" s="296">
        <f>+I$36</f>
        <v>1618347</v>
      </c>
      <c r="X247" s="6"/>
      <c r="Y247" s="44">
        <f>+L$36</f>
        <v>8.4343246143478892E-2</v>
      </c>
      <c r="Z247" s="6"/>
      <c r="AA247" s="297">
        <f t="shared" ref="AA247" si="73">+W246-W247</f>
        <v>126845</v>
      </c>
      <c r="AB247" s="6"/>
      <c r="AC247" s="301"/>
      <c r="AD247" s="294"/>
    </row>
    <row r="248" spans="15:30" x14ac:dyDescent="0.3">
      <c r="O248" s="110"/>
      <c r="T248" s="293"/>
      <c r="U248" s="295">
        <f t="shared" si="3"/>
        <v>44193</v>
      </c>
      <c r="V248" s="6"/>
      <c r="W248" s="296"/>
      <c r="X248" s="6"/>
      <c r="Y248" s="44"/>
      <c r="Z248" s="6"/>
      <c r="AA248" s="297"/>
      <c r="AB248" s="6"/>
      <c r="AC248" s="301"/>
      <c r="AD248" s="294"/>
    </row>
    <row r="249" spans="15:30" x14ac:dyDescent="0.3">
      <c r="O249" s="110"/>
      <c r="T249" s="293"/>
      <c r="U249" s="295">
        <f t="shared" si="3"/>
        <v>44194</v>
      </c>
      <c r="V249" s="6"/>
      <c r="W249" s="296"/>
      <c r="X249" s="6"/>
      <c r="Y249" s="44"/>
      <c r="Z249" s="6"/>
      <c r="AA249" s="297"/>
      <c r="AB249" s="6"/>
      <c r="AC249" s="301"/>
      <c r="AD249" s="294"/>
    </row>
    <row r="250" spans="15:30" x14ac:dyDescent="0.3">
      <c r="O250" s="110"/>
      <c r="T250" s="293"/>
      <c r="U250" s="295">
        <f t="shared" si="3"/>
        <v>44195</v>
      </c>
      <c r="V250" s="6"/>
      <c r="W250" s="296"/>
      <c r="X250" s="6"/>
      <c r="Y250" s="44"/>
      <c r="Z250" s="6"/>
      <c r="AA250" s="297"/>
      <c r="AB250" s="6"/>
      <c r="AC250" s="301"/>
      <c r="AD250" s="294"/>
    </row>
    <row r="251" spans="15:30" x14ac:dyDescent="0.3">
      <c r="O251" s="110"/>
      <c r="T251" s="293"/>
      <c r="U251" s="295">
        <f t="shared" si="3"/>
        <v>44196</v>
      </c>
      <c r="V251" s="6"/>
      <c r="W251" s="296"/>
      <c r="X251" s="6"/>
      <c r="Y251" s="44"/>
      <c r="Z251" s="6"/>
      <c r="AA251" s="297"/>
      <c r="AB251" s="6"/>
      <c r="AC251" s="301"/>
      <c r="AD251" s="294"/>
    </row>
    <row r="252" spans="15:30" x14ac:dyDescent="0.3">
      <c r="O252" s="110"/>
      <c r="T252" s="293"/>
      <c r="U252" s="295">
        <f t="shared" si="3"/>
        <v>44197</v>
      </c>
      <c r="V252" s="6"/>
      <c r="W252" s="296"/>
      <c r="X252" s="6"/>
      <c r="Y252" s="44"/>
      <c r="Z252" s="6"/>
      <c r="AA252" s="297"/>
      <c r="AB252" s="6"/>
      <c r="AC252" s="301"/>
      <c r="AD252" s="294"/>
    </row>
    <row r="253" spans="15:30" x14ac:dyDescent="0.3">
      <c r="O253" s="110"/>
      <c r="T253" s="293"/>
      <c r="U253" s="295">
        <f t="shared" si="3"/>
        <v>44198</v>
      </c>
      <c r="V253" s="6"/>
      <c r="W253" s="296"/>
      <c r="X253" s="6"/>
      <c r="Y253" s="44"/>
      <c r="Z253" s="6"/>
      <c r="AA253" s="297"/>
      <c r="AB253" s="6"/>
      <c r="AC253" s="301"/>
      <c r="AD253" s="294"/>
    </row>
    <row r="254" spans="15:30" x14ac:dyDescent="0.3">
      <c r="O254" s="110"/>
      <c r="T254" s="293"/>
      <c r="U254" s="295">
        <f t="shared" si="3"/>
        <v>44199</v>
      </c>
      <c r="V254" s="6"/>
      <c r="W254" s="296"/>
      <c r="X254" s="6"/>
      <c r="Y254" s="44"/>
      <c r="Z254" s="6"/>
      <c r="AA254" s="297"/>
      <c r="AB254" s="6"/>
      <c r="AC254" s="301"/>
      <c r="AD254" s="294"/>
    </row>
    <row r="255" spans="15:30" ht="15" thickBot="1" x14ac:dyDescent="0.35">
      <c r="O255" s="110"/>
      <c r="T255" s="298"/>
      <c r="U255" s="393">
        <f t="shared" si="3"/>
        <v>44200</v>
      </c>
      <c r="V255" s="290"/>
      <c r="W255" s="394"/>
      <c r="X255" s="290"/>
      <c r="Y255" s="299"/>
      <c r="Z255" s="290"/>
      <c r="AA255" s="395"/>
      <c r="AB255" s="290"/>
      <c r="AC255" s="396"/>
      <c r="AD255" s="300"/>
    </row>
    <row r="256" spans="15:30" x14ac:dyDescent="0.3">
      <c r="O256" s="110"/>
    </row>
    <row r="257" spans="4:36" x14ac:dyDescent="0.3">
      <c r="O257" s="110"/>
      <c r="P257" s="57"/>
      <c r="Q257" s="57"/>
      <c r="R257" s="57"/>
    </row>
    <row r="258" spans="4:36" x14ac:dyDescent="0.3">
      <c r="O258" s="110"/>
    </row>
    <row r="259" spans="4:36" ht="15" thickBot="1" x14ac:dyDescent="0.35">
      <c r="O259" s="110"/>
    </row>
    <row r="260" spans="4:36" ht="15.6" thickTop="1" thickBot="1" x14ac:dyDescent="0.35">
      <c r="Q260" s="484"/>
      <c r="R260" s="485"/>
      <c r="S260" s="485"/>
      <c r="T260" s="485"/>
      <c r="U260" s="485"/>
      <c r="V260" s="485"/>
      <c r="W260" s="485"/>
      <c r="X260" s="485"/>
      <c r="Y260" s="485"/>
      <c r="Z260" s="485"/>
      <c r="AA260" s="485"/>
      <c r="AB260" s="486"/>
    </row>
    <row r="261" spans="4:36" ht="15" thickBot="1" x14ac:dyDescent="0.35">
      <c r="E261" s="715" t="s">
        <v>119</v>
      </c>
      <c r="F261" s="716"/>
      <c r="G261" s="716"/>
      <c r="H261" s="716"/>
      <c r="I261" s="716"/>
      <c r="J261" s="716"/>
      <c r="K261" s="716"/>
      <c r="L261" s="716"/>
      <c r="M261" s="717"/>
      <c r="Q261" s="487"/>
      <c r="R261" s="6"/>
      <c r="S261" s="6"/>
      <c r="T261" s="6"/>
      <c r="U261" s="5" t="s">
        <v>145</v>
      </c>
      <c r="V261" s="5"/>
      <c r="W261" s="5"/>
      <c r="X261" s="5"/>
      <c r="Y261" s="5"/>
      <c r="Z261" s="5"/>
      <c r="AA261" s="5" t="s">
        <v>30</v>
      </c>
      <c r="AB261" s="488"/>
    </row>
    <row r="262" spans="4:36" x14ac:dyDescent="0.3">
      <c r="E262" s="438"/>
      <c r="F262" s="439" t="s">
        <v>120</v>
      </c>
      <c r="G262" s="439"/>
      <c r="H262" s="439"/>
      <c r="I262" s="718">
        <v>21477737</v>
      </c>
      <c r="J262" s="718"/>
      <c r="K262" s="718"/>
      <c r="L262" s="718"/>
      <c r="M262" s="440"/>
      <c r="Q262" s="487"/>
      <c r="R262" s="480" t="s">
        <v>147</v>
      </c>
      <c r="S262" s="6"/>
      <c r="T262" s="6"/>
      <c r="U262" s="480" t="s">
        <v>146</v>
      </c>
      <c r="V262" s="5"/>
      <c r="W262" s="480" t="s">
        <v>20</v>
      </c>
      <c r="X262" s="5"/>
      <c r="Y262" s="480" t="s">
        <v>4</v>
      </c>
      <c r="Z262" s="5"/>
      <c r="AA262" s="489" t="s">
        <v>144</v>
      </c>
      <c r="AB262" s="488"/>
    </row>
    <row r="263" spans="4:36" x14ac:dyDescent="0.3">
      <c r="E263" s="438"/>
      <c r="F263" s="439" t="s">
        <v>110</v>
      </c>
      <c r="G263" s="439"/>
      <c r="H263" s="439"/>
      <c r="I263" s="439"/>
      <c r="J263" s="439"/>
      <c r="K263" s="439"/>
      <c r="L263" s="441">
        <f>+I275/I262</f>
        <v>4.5847474526762295E-4</v>
      </c>
      <c r="M263" s="440"/>
      <c r="Q263" s="487"/>
      <c r="R263" s="6" t="s">
        <v>134</v>
      </c>
      <c r="S263" s="6"/>
      <c r="T263" s="6"/>
      <c r="U263" s="7">
        <v>2003</v>
      </c>
      <c r="V263" s="6"/>
      <c r="W263" s="7">
        <v>389666</v>
      </c>
      <c r="X263" s="6"/>
      <c r="Y263" s="7">
        <v>31257</v>
      </c>
      <c r="Z263" s="6"/>
      <c r="AA263" s="296">
        <f>+AJ263</f>
        <v>19500</v>
      </c>
      <c r="AB263" s="488"/>
      <c r="AJ263" s="1">
        <v>19500</v>
      </c>
    </row>
    <row r="264" spans="4:36" x14ac:dyDescent="0.3">
      <c r="E264" s="438"/>
      <c r="F264" s="719" t="s">
        <v>108</v>
      </c>
      <c r="G264" s="719"/>
      <c r="H264" s="439"/>
      <c r="I264" s="439"/>
      <c r="J264" s="439"/>
      <c r="K264" s="439"/>
      <c r="L264" s="442">
        <f>+I275/(I262/100000)</f>
        <v>45.847474526762298</v>
      </c>
      <c r="M264" s="440"/>
      <c r="Q264" s="487"/>
      <c r="R264" s="6" t="s">
        <v>135</v>
      </c>
      <c r="S264" s="6"/>
      <c r="T264" s="6"/>
      <c r="U264" s="7">
        <v>1913</v>
      </c>
      <c r="V264" s="6"/>
      <c r="W264" s="7">
        <v>169892</v>
      </c>
      <c r="X264" s="6"/>
      <c r="Y264" s="7">
        <v>13076</v>
      </c>
      <c r="Z264" s="6"/>
      <c r="AA264" s="296">
        <f t="shared" ref="AA264:AA272" si="74">+AJ264</f>
        <v>8900</v>
      </c>
      <c r="AB264" s="488"/>
      <c r="AJ264" s="1">
        <v>8900</v>
      </c>
    </row>
    <row r="265" spans="4:36" x14ac:dyDescent="0.3">
      <c r="E265" s="438"/>
      <c r="F265" s="443"/>
      <c r="G265" s="443"/>
      <c r="H265" s="439"/>
      <c r="I265" s="439"/>
      <c r="J265" s="439"/>
      <c r="K265" s="439"/>
      <c r="L265" s="442"/>
      <c r="M265" s="440"/>
      <c r="Q265" s="487"/>
      <c r="R265" s="6" t="s">
        <v>136</v>
      </c>
      <c r="S265" s="6"/>
      <c r="T265" s="6"/>
      <c r="U265" s="7">
        <v>1568</v>
      </c>
      <c r="V265" s="6"/>
      <c r="W265" s="7">
        <v>16606</v>
      </c>
      <c r="X265" s="6"/>
      <c r="Y265" s="7">
        <v>912</v>
      </c>
      <c r="Z265" s="6"/>
      <c r="AA265" s="296">
        <f t="shared" si="74"/>
        <v>1100</v>
      </c>
      <c r="AB265" s="488"/>
      <c r="AJ265" s="1">
        <v>1100</v>
      </c>
    </row>
    <row r="266" spans="4:36" x14ac:dyDescent="0.3">
      <c r="E266" s="438"/>
      <c r="F266" s="443" t="s">
        <v>121</v>
      </c>
      <c r="G266" s="443"/>
      <c r="H266" s="719" t="s">
        <v>122</v>
      </c>
      <c r="I266" s="719"/>
      <c r="J266" s="439"/>
      <c r="K266" s="439"/>
      <c r="L266" s="442"/>
      <c r="M266" s="440"/>
      <c r="Q266" s="487"/>
      <c r="R266" s="6" t="s">
        <v>58</v>
      </c>
      <c r="S266" s="6"/>
      <c r="T266" s="6"/>
      <c r="U266" s="7">
        <v>1561</v>
      </c>
      <c r="V266" s="6"/>
      <c r="W266" s="7">
        <v>107611</v>
      </c>
      <c r="X266" s="6"/>
      <c r="Y266" s="7">
        <v>7937</v>
      </c>
      <c r="Z266" s="6"/>
      <c r="AA266" s="296">
        <f t="shared" si="74"/>
        <v>7000</v>
      </c>
      <c r="AB266" s="488"/>
      <c r="AJ266" s="1">
        <v>7000</v>
      </c>
    </row>
    <row r="267" spans="4:36" ht="15" thickBot="1" x14ac:dyDescent="0.35">
      <c r="E267" s="444"/>
      <c r="F267" s="445"/>
      <c r="G267" s="445"/>
      <c r="H267" s="445"/>
      <c r="I267" s="445"/>
      <c r="J267" s="445"/>
      <c r="K267" s="445"/>
      <c r="L267" s="445"/>
      <c r="M267" s="446"/>
      <c r="Q267" s="487"/>
      <c r="R267" s="6" t="s">
        <v>141</v>
      </c>
      <c r="S267" s="6"/>
      <c r="T267" s="6"/>
      <c r="U267" s="7">
        <v>1435</v>
      </c>
      <c r="V267" s="6"/>
      <c r="W267" s="7">
        <v>10128</v>
      </c>
      <c r="X267" s="6"/>
      <c r="Y267" s="7">
        <v>541</v>
      </c>
      <c r="Z267" s="6"/>
      <c r="AA267" s="296">
        <f t="shared" si="74"/>
        <v>700</v>
      </c>
      <c r="AB267" s="488"/>
      <c r="AJ267" s="1">
        <v>700</v>
      </c>
    </row>
    <row r="268" spans="4:36" x14ac:dyDescent="0.3">
      <c r="Q268" s="487"/>
      <c r="R268" s="6" t="s">
        <v>137</v>
      </c>
      <c r="S268" s="6"/>
      <c r="T268" s="6"/>
      <c r="U268" s="7">
        <v>1288</v>
      </c>
      <c r="V268" s="6"/>
      <c r="W268" s="7">
        <v>45913</v>
      </c>
      <c r="X268" s="6"/>
      <c r="Y268" s="7">
        <v>4287</v>
      </c>
      <c r="Z268" s="6"/>
      <c r="AA268" s="296">
        <f t="shared" si="74"/>
        <v>3600</v>
      </c>
      <c r="AB268" s="488"/>
      <c r="AJ268" s="1">
        <v>3600</v>
      </c>
    </row>
    <row r="269" spans="4:36" ht="15" thickBot="1" x14ac:dyDescent="0.35">
      <c r="D269" s="90"/>
      <c r="E269" s="151"/>
      <c r="F269" s="151"/>
      <c r="G269" s="151"/>
      <c r="H269" s="151"/>
      <c r="I269" s="353"/>
      <c r="J269" s="90"/>
      <c r="K269" s="110"/>
      <c r="L269" s="110"/>
      <c r="M269" s="110"/>
      <c r="N269" s="110"/>
      <c r="Q269" s="487"/>
      <c r="R269" s="6" t="s">
        <v>142</v>
      </c>
      <c r="S269" s="6"/>
      <c r="T269" s="6"/>
      <c r="U269" s="7">
        <v>1129</v>
      </c>
      <c r="V269" s="6"/>
      <c r="W269" s="7">
        <v>52477</v>
      </c>
      <c r="X269" s="6"/>
      <c r="Y269" s="7">
        <v>3152</v>
      </c>
      <c r="Z269" s="6"/>
      <c r="AA269" s="296">
        <f t="shared" si="74"/>
        <v>4600</v>
      </c>
      <c r="AB269" s="488"/>
      <c r="AJ269" s="1">
        <v>4600</v>
      </c>
    </row>
    <row r="270" spans="4:36" ht="16.2" thickBot="1" x14ac:dyDescent="0.35">
      <c r="D270" s="424"/>
      <c r="E270" s="720" t="s">
        <v>132</v>
      </c>
      <c r="F270" s="721"/>
      <c r="G270" s="721"/>
      <c r="H270" s="721"/>
      <c r="I270" s="721"/>
      <c r="J270" s="722"/>
      <c r="K270" s="425"/>
      <c r="L270" s="437" t="s">
        <v>10</v>
      </c>
      <c r="M270" s="426"/>
      <c r="N270" s="110"/>
      <c r="Q270" s="487"/>
      <c r="R270" s="6" t="s">
        <v>138</v>
      </c>
      <c r="S270" s="6"/>
      <c r="T270" s="6"/>
      <c r="U270" s="7">
        <v>1118</v>
      </c>
      <c r="V270" s="6"/>
      <c r="W270" s="7">
        <v>10889</v>
      </c>
      <c r="X270" s="6"/>
      <c r="Y270" s="7">
        <v>505</v>
      </c>
      <c r="Z270" s="6"/>
      <c r="AA270" s="296">
        <f t="shared" si="74"/>
        <v>980</v>
      </c>
      <c r="AB270" s="488"/>
      <c r="AJ270" s="1">
        <v>980</v>
      </c>
    </row>
    <row r="271" spans="4:36" x14ac:dyDescent="0.3">
      <c r="D271" s="403"/>
      <c r="E271" s="427" t="s">
        <v>88</v>
      </c>
      <c r="F271" s="16"/>
      <c r="G271" s="16"/>
      <c r="H271" s="16"/>
      <c r="I271" s="723">
        <f>+K81</f>
        <v>48675</v>
      </c>
      <c r="J271" s="723"/>
      <c r="K271" s="16"/>
      <c r="L271" s="60">
        <f>+I271/$I$271</f>
        <v>1</v>
      </c>
      <c r="M271" s="428"/>
      <c r="N271" s="110"/>
      <c r="Q271" s="487"/>
      <c r="R271" s="6" t="s">
        <v>139</v>
      </c>
      <c r="S271" s="6"/>
      <c r="T271" s="6"/>
      <c r="U271" s="7">
        <v>1093</v>
      </c>
      <c r="V271" s="6"/>
      <c r="W271" s="7">
        <v>138546</v>
      </c>
      <c r="X271" s="6"/>
      <c r="Y271" s="7">
        <v>6770</v>
      </c>
      <c r="Z271" s="6"/>
      <c r="AA271" s="296">
        <f t="shared" si="74"/>
        <v>12700</v>
      </c>
      <c r="AB271" s="488"/>
      <c r="AJ271" s="1">
        <v>12700</v>
      </c>
    </row>
    <row r="272" spans="4:36" x14ac:dyDescent="0.3">
      <c r="D272" s="403"/>
      <c r="E272" s="427"/>
      <c r="F272" s="16"/>
      <c r="G272" s="16"/>
      <c r="H272" s="16"/>
      <c r="I272" s="16"/>
      <c r="J272" s="16"/>
      <c r="K272" s="16"/>
      <c r="L272" s="16"/>
      <c r="M272" s="428"/>
      <c r="N272" s="110"/>
      <c r="Q272" s="487"/>
      <c r="R272" s="6" t="s">
        <v>140</v>
      </c>
      <c r="S272" s="6"/>
      <c r="T272" s="6"/>
      <c r="U272" s="490">
        <v>1081</v>
      </c>
      <c r="V272" s="6"/>
      <c r="W272" s="490">
        <v>65337</v>
      </c>
      <c r="X272" s="6"/>
      <c r="Y272" s="490">
        <v>3108</v>
      </c>
      <c r="Z272" s="6"/>
      <c r="AA272" s="491">
        <f t="shared" si="74"/>
        <v>6100</v>
      </c>
      <c r="AB272" s="488"/>
      <c r="AJ272" s="482">
        <v>6100</v>
      </c>
    </row>
    <row r="273" spans="4:36" x14ac:dyDescent="0.3">
      <c r="D273" s="415"/>
      <c r="E273" s="15"/>
      <c r="F273" s="429" t="s">
        <v>113</v>
      </c>
      <c r="G273" s="429"/>
      <c r="H273" s="15"/>
      <c r="I273" s="724">
        <f>+I81</f>
        <v>36684</v>
      </c>
      <c r="J273" s="725"/>
      <c r="K273" s="15"/>
      <c r="L273" s="60">
        <f>+I273/$I$271</f>
        <v>0.75365177195685673</v>
      </c>
      <c r="M273" s="408"/>
      <c r="N273" s="110"/>
      <c r="Q273" s="487"/>
      <c r="R273" s="5" t="s">
        <v>33</v>
      </c>
      <c r="S273" s="6"/>
      <c r="T273" s="6"/>
      <c r="U273" s="296">
        <f>+W273/(AA273/100)</f>
        <v>1545.0521632402579</v>
      </c>
      <c r="V273" s="6"/>
      <c r="W273" s="296">
        <f>SUM(W263:W272)</f>
        <v>1007065</v>
      </c>
      <c r="X273" s="6"/>
      <c r="Y273" s="296">
        <f>SUM(Y263:Y272)</f>
        <v>71545</v>
      </c>
      <c r="Z273" s="6"/>
      <c r="AA273" s="296">
        <f>SUM(AA263:AA272)</f>
        <v>65180</v>
      </c>
      <c r="AB273" s="488"/>
      <c r="AJ273" s="56">
        <f>SUM(AJ263:AJ272)</f>
        <v>65180</v>
      </c>
    </row>
    <row r="274" spans="4:36" x14ac:dyDescent="0.3">
      <c r="D274" s="415"/>
      <c r="E274" s="15"/>
      <c r="F274" s="15" t="s">
        <v>89</v>
      </c>
      <c r="G274" s="15"/>
      <c r="H274" s="15"/>
      <c r="I274" s="726">
        <f>+I75</f>
        <v>2144</v>
      </c>
      <c r="J274" s="727"/>
      <c r="K274" s="15"/>
      <c r="L274" s="60">
        <f>+I274/$I$271</f>
        <v>4.4047252182845401E-2</v>
      </c>
      <c r="M274" s="408"/>
      <c r="N274" s="110"/>
      <c r="Q274" s="487"/>
      <c r="R274" s="5"/>
      <c r="S274" s="6"/>
      <c r="T274" s="6"/>
      <c r="U274" s="6"/>
      <c r="V274" s="6"/>
      <c r="W274" s="296"/>
      <c r="X274" s="6"/>
      <c r="Y274" s="296"/>
      <c r="Z274" s="6"/>
      <c r="AA274" s="6"/>
      <c r="AB274" s="488"/>
      <c r="AJ274" s="56"/>
    </row>
    <row r="275" spans="4:36" ht="15" thickBot="1" x14ac:dyDescent="0.35">
      <c r="D275" s="415"/>
      <c r="E275" s="712" t="s">
        <v>114</v>
      </c>
      <c r="F275" s="712"/>
      <c r="G275" s="712"/>
      <c r="H275" s="15"/>
      <c r="I275" s="713">
        <f>+I271-I273-I274</f>
        <v>9847</v>
      </c>
      <c r="J275" s="714"/>
      <c r="K275" s="430"/>
      <c r="L275" s="431">
        <f>+I275/$I$271</f>
        <v>0.20230097586029788</v>
      </c>
      <c r="M275" s="408"/>
      <c r="N275" s="110"/>
      <c r="Q275" s="487"/>
      <c r="R275" s="5" t="s">
        <v>59</v>
      </c>
      <c r="S275" s="6"/>
      <c r="T275" s="6"/>
      <c r="U275" s="7">
        <v>7441</v>
      </c>
      <c r="V275" s="6"/>
      <c r="W275" s="7">
        <f>+'Main Table'!H106</f>
        <v>2465403</v>
      </c>
      <c r="X275" s="6"/>
      <c r="Y275" s="7">
        <f>+'Main Table'!AA106</f>
        <v>126977</v>
      </c>
      <c r="Z275" s="6"/>
      <c r="AA275" s="296">
        <v>331000</v>
      </c>
      <c r="AB275" s="488"/>
      <c r="AJ275" s="56">
        <v>333000</v>
      </c>
    </row>
    <row r="276" spans="4:36" ht="15.6" thickTop="1" thickBot="1" x14ac:dyDescent="0.35">
      <c r="D276" s="415"/>
      <c r="E276" s="432"/>
      <c r="F276" s="432"/>
      <c r="G276" s="432"/>
      <c r="H276" s="15"/>
      <c r="I276" s="433"/>
      <c r="J276" s="432"/>
      <c r="K276" s="430"/>
      <c r="L276" s="434"/>
      <c r="M276" s="408"/>
      <c r="N276" s="110"/>
      <c r="Q276" s="487"/>
      <c r="R276" s="5" t="s">
        <v>143</v>
      </c>
      <c r="S276" s="6"/>
      <c r="T276" s="6"/>
      <c r="U276" s="492"/>
      <c r="V276" s="6"/>
      <c r="W276" s="493">
        <f>+W273/W275</f>
        <v>0.40847885720914595</v>
      </c>
      <c r="X276" s="6"/>
      <c r="Y276" s="493">
        <f>+Y273/Y275</f>
        <v>0.56344849854698098</v>
      </c>
      <c r="Z276" s="6"/>
      <c r="AA276" s="493">
        <f>+AA273/AA275</f>
        <v>0.19691842900302114</v>
      </c>
      <c r="AB276" s="488"/>
      <c r="AJ276" s="483">
        <f>+AJ273/AJ275</f>
        <v>0.19573573573573574</v>
      </c>
    </row>
    <row r="277" spans="4:36" ht="15.6" thickTop="1" thickBot="1" x14ac:dyDescent="0.35">
      <c r="D277" s="435"/>
      <c r="E277" s="436"/>
      <c r="F277" s="436"/>
      <c r="G277" s="436"/>
      <c r="H277" s="436"/>
      <c r="I277" s="436"/>
      <c r="J277" s="436"/>
      <c r="K277" s="436"/>
      <c r="L277" s="436"/>
      <c r="M277" s="423"/>
      <c r="N277" s="110"/>
      <c r="Q277" s="494"/>
      <c r="R277" s="495"/>
      <c r="S277" s="495"/>
      <c r="T277" s="495"/>
      <c r="U277" s="495"/>
      <c r="V277" s="495"/>
      <c r="W277" s="495"/>
      <c r="X277" s="495"/>
      <c r="Y277" s="495"/>
      <c r="Z277" s="495"/>
      <c r="AA277" s="495"/>
      <c r="AB277" s="496"/>
    </row>
    <row r="281" spans="4:36" x14ac:dyDescent="0.3">
      <c r="F281" s="1">
        <v>1248371</v>
      </c>
    </row>
    <row r="282" spans="4:36" x14ac:dyDescent="0.3">
      <c r="W282" s="1"/>
    </row>
    <row r="283" spans="4:36" x14ac:dyDescent="0.3">
      <c r="F283">
        <v>700</v>
      </c>
    </row>
    <row r="284" spans="4:36" x14ac:dyDescent="0.3">
      <c r="F284" s="87">
        <f>+F283/F281</f>
        <v>5.6073074430597954E-4</v>
      </c>
    </row>
    <row r="286" spans="4:36" x14ac:dyDescent="0.3">
      <c r="F286" s="1">
        <v>60000</v>
      </c>
    </row>
    <row r="287" spans="4:36" x14ac:dyDescent="0.3">
      <c r="F287">
        <f>+F284*F286</f>
        <v>33.643844658358773</v>
      </c>
    </row>
    <row r="289" spans="6:6" x14ac:dyDescent="0.3">
      <c r="F289" s="1">
        <v>331000000</v>
      </c>
    </row>
    <row r="290" spans="6:6" x14ac:dyDescent="0.3">
      <c r="F290" s="56">
        <f>+W86</f>
        <v>811067</v>
      </c>
    </row>
    <row r="291" spans="6:6" x14ac:dyDescent="0.3">
      <c r="F291" s="57">
        <f>+F290/F289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275:G275"/>
    <mergeCell ref="I275:J275"/>
    <mergeCell ref="E261:M261"/>
    <mergeCell ref="I262:L262"/>
    <mergeCell ref="F264:G264"/>
    <mergeCell ref="E270:J270"/>
    <mergeCell ref="I271:J271"/>
    <mergeCell ref="I273:J273"/>
    <mergeCell ref="I274:J274"/>
    <mergeCell ref="H266:I266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5" t="s">
        <v>5</v>
      </c>
      <c r="C1" s="605"/>
      <c r="D1" s="605"/>
    </row>
    <row r="2" spans="2:31" ht="15.6" x14ac:dyDescent="0.3">
      <c r="B2" s="605" t="s">
        <v>6</v>
      </c>
      <c r="C2" s="605"/>
      <c r="D2" s="605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38" t="s">
        <v>23</v>
      </c>
      <c r="E12" s="739"/>
      <c r="F12" s="739"/>
      <c r="G12" s="739"/>
      <c r="H12" s="739"/>
      <c r="I12" s="739"/>
      <c r="J12" s="739"/>
      <c r="K12" s="739"/>
      <c r="L12" s="739"/>
      <c r="M12" s="739"/>
      <c r="N12" s="739"/>
      <c r="O12" s="739"/>
      <c r="P12" s="739"/>
      <c r="Q12" s="739"/>
      <c r="R12" s="739"/>
      <c r="S12" s="739"/>
      <c r="T12" s="739"/>
      <c r="U12" s="740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37" t="s">
        <v>62</v>
      </c>
      <c r="Z14" s="737"/>
      <c r="AA14" s="737"/>
      <c r="AB14" s="737"/>
      <c r="AC14" s="737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2020-12-29T22:09:03Z</dcterms:modified>
</cp:coreProperties>
</file>