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k\Documents\excel\COVID-19\COVID 2022\"/>
    </mc:Choice>
  </mc:AlternateContent>
  <xr:revisionPtr revIDLastSave="0" documentId="8_{7C396E2D-CED7-4D47-A66E-D2E78297B800}" xr6:coauthVersionLast="47" xr6:coauthVersionMax="47" xr10:uidLastSave="{00000000-0000-0000-0000-000000000000}"/>
  <bookViews>
    <workbookView xWindow="-108" yWindow="-108" windowWidth="30936" windowHeight="16896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Table'!$A$1:$CJ$748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747" i="1" l="1"/>
  <c r="BK747" i="1"/>
  <c r="AY747" i="1"/>
  <c r="AU747" i="1"/>
  <c r="AQ747" i="1"/>
  <c r="AM747" i="1"/>
  <c r="AI747" i="1"/>
  <c r="AE747" i="1"/>
  <c r="AA747" i="1"/>
  <c r="W747" i="1"/>
  <c r="K747" i="1"/>
  <c r="BO746" i="1"/>
  <c r="BM746" i="1"/>
  <c r="BM747" i="1" s="1"/>
  <c r="BL746" i="1"/>
  <c r="BL747" i="1" s="1"/>
  <c r="BK746" i="1"/>
  <c r="BJ746" i="1"/>
  <c r="BJ747" i="1" s="1"/>
  <c r="BI746" i="1"/>
  <c r="BI747" i="1" s="1"/>
  <c r="BH746" i="1"/>
  <c r="BH747" i="1" s="1"/>
  <c r="BF746" i="1"/>
  <c r="BF747" i="1" s="1"/>
  <c r="BD746" i="1"/>
  <c r="BD747" i="1" s="1"/>
  <c r="BC746" i="1"/>
  <c r="BC747" i="1" s="1"/>
  <c r="BB746" i="1"/>
  <c r="BB747" i="1" s="1"/>
  <c r="AZ746" i="1"/>
  <c r="AZ747" i="1" s="1"/>
  <c r="AY746" i="1"/>
  <c r="AW746" i="1"/>
  <c r="AW747" i="1" s="1"/>
  <c r="AU746" i="1"/>
  <c r="AT746" i="1"/>
  <c r="AT747" i="1" s="1"/>
  <c r="AS746" i="1"/>
  <c r="AS747" i="1" s="1"/>
  <c r="AQ746" i="1"/>
  <c r="AP746" i="1"/>
  <c r="AP747" i="1" s="1"/>
  <c r="AO746" i="1"/>
  <c r="AO747" i="1" s="1"/>
  <c r="AN746" i="1"/>
  <c r="AN747" i="1" s="1"/>
  <c r="AM746" i="1"/>
  <c r="AK746" i="1"/>
  <c r="AK747" i="1" s="1"/>
  <c r="AJ746" i="1"/>
  <c r="AJ747" i="1" s="1"/>
  <c r="AI746" i="1"/>
  <c r="AH746" i="1"/>
  <c r="AH747" i="1" s="1"/>
  <c r="AG746" i="1"/>
  <c r="AG747" i="1" s="1"/>
  <c r="AF746" i="1"/>
  <c r="AF747" i="1" s="1"/>
  <c r="AE746" i="1"/>
  <c r="AD746" i="1"/>
  <c r="AD747" i="1" s="1"/>
  <c r="AB746" i="1"/>
  <c r="AB747" i="1" s="1"/>
  <c r="AA746" i="1"/>
  <c r="Y746" i="1"/>
  <c r="Y747" i="1" s="1"/>
  <c r="X746" i="1"/>
  <c r="X747" i="1" s="1"/>
  <c r="W746" i="1"/>
  <c r="V746" i="1"/>
  <c r="V747" i="1" s="1"/>
  <c r="U746" i="1"/>
  <c r="U747" i="1" s="1"/>
  <c r="T746" i="1"/>
  <c r="T747" i="1" s="1"/>
  <c r="R746" i="1"/>
  <c r="R747" i="1" s="1"/>
  <c r="P746" i="1"/>
  <c r="P747" i="1" s="1"/>
  <c r="N746" i="1"/>
  <c r="N747" i="1" s="1"/>
  <c r="M746" i="1"/>
  <c r="M747" i="1" s="1"/>
  <c r="L746" i="1"/>
  <c r="L747" i="1" s="1"/>
  <c r="K746" i="1"/>
  <c r="J746" i="1"/>
  <c r="J747" i="1" s="1"/>
  <c r="I746" i="1"/>
  <c r="I747" i="1" s="1"/>
  <c r="D747" i="1"/>
  <c r="D746" i="1"/>
  <c r="BW740" i="1"/>
  <c r="BN740" i="1" s="1"/>
  <c r="BN746" i="1" s="1"/>
  <c r="BN747" i="1" s="1"/>
  <c r="BE740" i="1"/>
  <c r="BP740" i="1" s="1"/>
  <c r="BR740" i="1" s="1"/>
  <c r="BA740" i="1"/>
  <c r="BG740" i="1" s="1"/>
  <c r="BG746" i="1" s="1"/>
  <c r="BG747" i="1" s="1"/>
  <c r="AX740" i="1"/>
  <c r="AX746" i="1" s="1"/>
  <c r="AX747" i="1" s="1"/>
  <c r="AL740" i="1"/>
  <c r="AR740" i="1" s="1"/>
  <c r="AR746" i="1" s="1"/>
  <c r="AR747" i="1" s="1"/>
  <c r="AA740" i="1"/>
  <c r="AE740" i="1" s="1"/>
  <c r="Z740" i="1"/>
  <c r="Z746" i="1" s="1"/>
  <c r="Z747" i="1" s="1"/>
  <c r="V740" i="1"/>
  <c r="Q740" i="1"/>
  <c r="Q746" i="1" s="1"/>
  <c r="Q747" i="1" s="1"/>
  <c r="N740" i="1"/>
  <c r="J740" i="1"/>
  <c r="H740" i="1"/>
  <c r="O740" i="1" s="1"/>
  <c r="O746" i="1" s="1"/>
  <c r="O747" i="1" s="1"/>
  <c r="I20" i="3"/>
  <c r="BW739" i="1"/>
  <c r="BN739" i="1"/>
  <c r="BE739" i="1"/>
  <c r="BP739" i="1" s="1"/>
  <c r="BR739" i="1" s="1"/>
  <c r="BA739" i="1"/>
  <c r="AX739" i="1"/>
  <c r="AL739" i="1"/>
  <c r="AR739" i="1" s="1"/>
  <c r="AA739" i="1"/>
  <c r="AE739" i="1" s="1"/>
  <c r="Z739" i="1"/>
  <c r="V739" i="1"/>
  <c r="Q739" i="1"/>
  <c r="S739" i="1" s="1"/>
  <c r="N739" i="1"/>
  <c r="J739" i="1"/>
  <c r="H739" i="1"/>
  <c r="AV739" i="1" s="1"/>
  <c r="B739" i="1"/>
  <c r="B740" i="1" s="1"/>
  <c r="B741" i="1" s="1"/>
  <c r="B742" i="1" s="1"/>
  <c r="B743" i="1" s="1"/>
  <c r="BA746" i="1" l="1"/>
  <c r="BA747" i="1" s="1"/>
  <c r="AL746" i="1"/>
  <c r="AL747" i="1" s="1"/>
  <c r="S740" i="1"/>
  <c r="S746" i="1" s="1"/>
  <c r="S747" i="1" s="1"/>
  <c r="BP746" i="1"/>
  <c r="BP747" i="1" s="1"/>
  <c r="H746" i="1"/>
  <c r="H747" i="1" s="1"/>
  <c r="AC740" i="1"/>
  <c r="AC746" i="1" s="1"/>
  <c r="AC747" i="1" s="1"/>
  <c r="AV740" i="1"/>
  <c r="AV746" i="1" s="1"/>
  <c r="AV747" i="1" s="1"/>
  <c r="BE746" i="1"/>
  <c r="BE747" i="1" s="1"/>
  <c r="AC739" i="1"/>
  <c r="BG739" i="1"/>
  <c r="O739" i="1"/>
  <c r="BE738" i="1" l="1"/>
  <c r="BA738" i="1"/>
  <c r="AL738" i="1"/>
  <c r="AR738" i="1" s="1"/>
  <c r="Z738" i="1"/>
  <c r="Q738" i="1"/>
  <c r="N738" i="1"/>
  <c r="U694" i="3"/>
  <c r="U695" i="3" s="1"/>
  <c r="U696" i="3" s="1"/>
  <c r="U697" i="3" s="1"/>
  <c r="U698" i="3" s="1"/>
  <c r="BE737" i="1"/>
  <c r="BA737" i="1"/>
  <c r="AL737" i="1"/>
  <c r="AR737" i="1" s="1"/>
  <c r="Z737" i="1"/>
  <c r="Q737" i="1"/>
  <c r="N737" i="1"/>
  <c r="AA691" i="3"/>
  <c r="BE736" i="1"/>
  <c r="BA736" i="1"/>
  <c r="AR736" i="1"/>
  <c r="AL736" i="1"/>
  <c r="Z736" i="1"/>
  <c r="Q736" i="1"/>
  <c r="N736" i="1"/>
  <c r="BE735" i="1"/>
  <c r="BA735" i="1"/>
  <c r="AL735" i="1"/>
  <c r="AR735" i="1" s="1"/>
  <c r="Z735" i="1"/>
  <c r="Q735" i="1"/>
  <c r="N735" i="1"/>
  <c r="BE734" i="1"/>
  <c r="BA734" i="1"/>
  <c r="AL734" i="1"/>
  <c r="AR734" i="1" s="1"/>
  <c r="Z734" i="1"/>
  <c r="Q734" i="1"/>
  <c r="N734" i="1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E746" i="2"/>
  <c r="E740" i="2"/>
  <c r="K740" i="2" s="1"/>
  <c r="S741" i="2"/>
  <c r="K741" i="2"/>
  <c r="S740" i="2"/>
  <c r="S739" i="2"/>
  <c r="K739" i="2"/>
  <c r="Q739" i="2" s="1"/>
  <c r="S738" i="2"/>
  <c r="K738" i="2"/>
  <c r="S737" i="2"/>
  <c r="K737" i="2"/>
  <c r="M737" i="2" s="1"/>
  <c r="G735" i="2"/>
  <c r="E735" i="2"/>
  <c r="K735" i="2" s="1"/>
  <c r="S736" i="2"/>
  <c r="K736" i="2"/>
  <c r="S735" i="2"/>
  <c r="BG738" i="1" l="1"/>
  <c r="BG737" i="1"/>
  <c r="BG736" i="1"/>
  <c r="BG735" i="1"/>
  <c r="BG734" i="1"/>
  <c r="Q738" i="2"/>
  <c r="M740" i="2"/>
  <c r="M741" i="2"/>
  <c r="Q741" i="2"/>
  <c r="Q740" i="2"/>
  <c r="M739" i="2"/>
  <c r="M738" i="2"/>
  <c r="Q737" i="2"/>
  <c r="Q736" i="2"/>
  <c r="M736" i="2"/>
  <c r="BE733" i="1" l="1"/>
  <c r="BA733" i="1"/>
  <c r="AL733" i="1"/>
  <c r="Z733" i="1"/>
  <c r="Q733" i="1"/>
  <c r="N733" i="1"/>
  <c r="BE732" i="1"/>
  <c r="BA732" i="1"/>
  <c r="AL732" i="1"/>
  <c r="AR732" i="1" s="1"/>
  <c r="Z732" i="1"/>
  <c r="Q732" i="1"/>
  <c r="N732" i="1"/>
  <c r="BQ746" i="1"/>
  <c r="BQ747" i="1" s="1"/>
  <c r="BE731" i="1"/>
  <c r="BA731" i="1"/>
  <c r="AL731" i="1"/>
  <c r="Z731" i="1"/>
  <c r="Q731" i="1"/>
  <c r="S738" i="1" s="1"/>
  <c r="N731" i="1"/>
  <c r="BE730" i="1"/>
  <c r="BA730" i="1"/>
  <c r="AL730" i="1"/>
  <c r="Z730" i="1"/>
  <c r="Q730" i="1"/>
  <c r="S737" i="1" s="1"/>
  <c r="N730" i="1"/>
  <c r="BE729" i="1"/>
  <c r="BA729" i="1"/>
  <c r="AL729" i="1"/>
  <c r="AR729" i="1" s="1"/>
  <c r="Z729" i="1"/>
  <c r="Q729" i="1"/>
  <c r="S736" i="1" s="1"/>
  <c r="N729" i="1"/>
  <c r="BE728" i="1"/>
  <c r="BA728" i="1"/>
  <c r="AL728" i="1"/>
  <c r="AR728" i="1" s="1"/>
  <c r="Z728" i="1"/>
  <c r="Q728" i="1"/>
  <c r="S735" i="1" s="1"/>
  <c r="N728" i="1"/>
  <c r="BE727" i="1"/>
  <c r="BA727" i="1"/>
  <c r="AL727" i="1"/>
  <c r="AR727" i="1" s="1"/>
  <c r="Z727" i="1"/>
  <c r="Q727" i="1"/>
  <c r="S734" i="1" s="1"/>
  <c r="N727" i="1"/>
  <c r="I733" i="2"/>
  <c r="G733" i="2"/>
  <c r="E733" i="2"/>
  <c r="S734" i="2"/>
  <c r="K734" i="2"/>
  <c r="S733" i="2"/>
  <c r="S732" i="2"/>
  <c r="K732" i="2"/>
  <c r="S731" i="2"/>
  <c r="K731" i="2"/>
  <c r="S730" i="2"/>
  <c r="K730" i="2"/>
  <c r="S729" i="2"/>
  <c r="K729" i="2"/>
  <c r="S728" i="2"/>
  <c r="K728" i="2"/>
  <c r="BE726" i="1"/>
  <c r="BA726" i="1"/>
  <c r="AL726" i="1"/>
  <c r="AR726" i="1" s="1"/>
  <c r="Z726" i="1"/>
  <c r="Q726" i="1"/>
  <c r="N726" i="1"/>
  <c r="BE725" i="1"/>
  <c r="BA725" i="1"/>
  <c r="AL725" i="1"/>
  <c r="AR725" i="1" s="1"/>
  <c r="Z725" i="1"/>
  <c r="Q725" i="1"/>
  <c r="N725" i="1"/>
  <c r="BE724" i="1"/>
  <c r="BA724" i="1"/>
  <c r="AL724" i="1"/>
  <c r="AR724" i="1" s="1"/>
  <c r="Z724" i="1"/>
  <c r="Q724" i="1"/>
  <c r="N724" i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AL721" i="1"/>
  <c r="AR721" i="1" s="1"/>
  <c r="Z721" i="1"/>
  <c r="Q721" i="1"/>
  <c r="N721" i="1"/>
  <c r="BE720" i="1"/>
  <c r="BA720" i="1"/>
  <c r="AL720" i="1"/>
  <c r="AR720" i="1" s="1"/>
  <c r="Z720" i="1"/>
  <c r="Q720" i="1"/>
  <c r="N720" i="1"/>
  <c r="S727" i="2"/>
  <c r="K727" i="2"/>
  <c r="S726" i="2"/>
  <c r="K726" i="2"/>
  <c r="S725" i="2"/>
  <c r="K725" i="2"/>
  <c r="S724" i="2"/>
  <c r="K724" i="2"/>
  <c r="S723" i="2"/>
  <c r="K723" i="2"/>
  <c r="S722" i="2"/>
  <c r="K722" i="2"/>
  <c r="S721" i="2"/>
  <c r="K721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S719" i="2"/>
  <c r="K719" i="2"/>
  <c r="S718" i="2"/>
  <c r="K718" i="2"/>
  <c r="S717" i="2"/>
  <c r="K717" i="2"/>
  <c r="S716" i="2"/>
  <c r="K716" i="2"/>
  <c r="S715" i="2"/>
  <c r="K715" i="2"/>
  <c r="S714" i="2"/>
  <c r="K714" i="2"/>
  <c r="S733" i="1" l="1"/>
  <c r="BG724" i="1"/>
  <c r="AR733" i="1"/>
  <c r="Q731" i="2"/>
  <c r="K733" i="2"/>
  <c r="Q735" i="2"/>
  <c r="M735" i="2"/>
  <c r="Q723" i="2"/>
  <c r="Q729" i="2"/>
  <c r="Q732" i="2"/>
  <c r="BG733" i="1"/>
  <c r="S729" i="1"/>
  <c r="BG729" i="1"/>
  <c r="S731" i="1"/>
  <c r="S727" i="1"/>
  <c r="S730" i="1"/>
  <c r="S732" i="1"/>
  <c r="BG732" i="1"/>
  <c r="AR731" i="1"/>
  <c r="BG731" i="1"/>
  <c r="AR730" i="1"/>
  <c r="BG730" i="1"/>
  <c r="BG728" i="1"/>
  <c r="S721" i="1"/>
  <c r="S726" i="1"/>
  <c r="BG721" i="1"/>
  <c r="S725" i="1"/>
  <c r="S728" i="1"/>
  <c r="S724" i="1"/>
  <c r="BG727" i="1"/>
  <c r="Q734" i="2"/>
  <c r="M734" i="2"/>
  <c r="Q724" i="2"/>
  <c r="Q730" i="2"/>
  <c r="Q721" i="2"/>
  <c r="Q725" i="2"/>
  <c r="Q733" i="2"/>
  <c r="Q728" i="2"/>
  <c r="M733" i="2"/>
  <c r="M732" i="2"/>
  <c r="M731" i="2"/>
  <c r="M730" i="2"/>
  <c r="M729" i="2"/>
  <c r="M728" i="2"/>
  <c r="Q720" i="2"/>
  <c r="Q722" i="2"/>
  <c r="Q727" i="2"/>
  <c r="Q726" i="2"/>
  <c r="M724" i="2"/>
  <c r="BG726" i="1"/>
  <c r="BG725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BE712" i="1" l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S709" i="2"/>
  <c r="K709" i="2"/>
  <c r="S708" i="2"/>
  <c r="K708" i="2"/>
  <c r="S707" i="2"/>
  <c r="K707" i="2"/>
  <c r="Q710" i="2" l="1"/>
  <c r="Q713" i="2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CA684" i="1" s="1"/>
  <c r="AL684" i="1"/>
  <c r="AR684" i="1" s="1"/>
  <c r="Z684" i="1"/>
  <c r="Q684" i="1"/>
  <c r="S691" i="1" s="1"/>
  <c r="N684" i="1"/>
  <c r="N749" i="1" s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W749" i="1"/>
  <c r="D749" i="1"/>
  <c r="CG681" i="1" l="1"/>
  <c r="Q690" i="2"/>
  <c r="CG678" i="1"/>
  <c r="CG682" i="1"/>
  <c r="CG683" i="1"/>
  <c r="CG679" i="1"/>
  <c r="CG680" i="1"/>
  <c r="CG684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838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93" i="1" s="1"/>
  <c r="CG662" i="1"/>
  <c r="CG665" i="1"/>
  <c r="CG673" i="1"/>
  <c r="S675" i="1"/>
  <c r="S682" i="1"/>
  <c r="S677" i="1"/>
  <c r="BG677" i="1"/>
  <c r="BA751" i="1"/>
  <c r="BE751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BG751" i="1" l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837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746" i="1"/>
  <c r="BU747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746" i="1"/>
  <c r="BV747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K475" i="1" s="1"/>
  <c r="BM475" i="1" s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G470" i="1" l="1"/>
  <c r="BK474" i="1"/>
  <c r="BM474" i="1" s="1"/>
  <c r="BK476" i="1"/>
  <c r="BM476" i="1" s="1"/>
  <c r="BG471" i="1"/>
  <c r="CL872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719" i="3"/>
  <c r="AJ717" i="3"/>
  <c r="AJ720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836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758" i="1"/>
  <c r="D757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837" i="1"/>
  <c r="BG857" i="1"/>
  <c r="BG858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857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V746" i="2"/>
  <c r="S357" i="2"/>
  <c r="AP872" i="1"/>
  <c r="BP858" i="1"/>
  <c r="BG859" i="1" s="1"/>
  <c r="BN855" i="1"/>
  <c r="BP855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836" i="1"/>
  <c r="BP836" i="1" s="1"/>
  <c r="BP838" i="1"/>
  <c r="BP839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859" i="1"/>
  <c r="BG860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856" i="1"/>
  <c r="BP856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860" i="1" l="1"/>
  <c r="BY860" i="1" s="1"/>
  <c r="Q358" i="2"/>
  <c r="M357" i="2"/>
  <c r="U357" i="2"/>
  <c r="M358" i="2"/>
  <c r="CL866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840" i="1" l="1"/>
  <c r="BG864" i="1"/>
  <c r="BP863" i="1"/>
  <c r="BP865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831" i="1"/>
  <c r="N833" i="1" s="1"/>
  <c r="N834" i="1" l="1"/>
  <c r="D834" i="1" s="1"/>
  <c r="N835" i="1"/>
  <c r="N836" i="1"/>
  <c r="D835" i="1" l="1"/>
  <c r="D836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822" i="1"/>
  <c r="BG822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s="1"/>
  <c r="Q247" i="2" l="1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767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752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746" i="1"/>
  <c r="G747" i="1" s="1"/>
  <c r="F746" i="1"/>
  <c r="F747" i="1" s="1"/>
  <c r="E746" i="1"/>
  <c r="E747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770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S221" i="1" s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13" i="1" l="1"/>
  <c r="S205" i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767" i="1" l="1"/>
  <c r="AR766" i="1"/>
  <c r="AP766" i="1"/>
  <c r="AR765" i="1"/>
  <c r="AP765" i="1"/>
  <c r="AV765" i="1" l="1"/>
  <c r="AV766" i="1"/>
  <c r="AV767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811" i="1"/>
  <c r="N214" i="1"/>
  <c r="N204" i="1"/>
  <c r="BA810" i="1" s="1"/>
  <c r="N174" i="1"/>
  <c r="BA809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810" i="1" l="1"/>
  <c r="BE810" i="1" s="1"/>
  <c r="Q218" i="2"/>
  <c r="BC811" i="1"/>
  <c r="BE811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779" i="1"/>
  <c r="H779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798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751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749" i="1"/>
  <c r="BK752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799" i="1"/>
  <c r="AP800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794" i="1"/>
  <c r="H795" i="1"/>
  <c r="J795" i="1" s="1"/>
  <c r="H796" i="1"/>
  <c r="J796" i="1" s="1"/>
  <c r="S154" i="2"/>
  <c r="M156" i="2" l="1"/>
  <c r="Q156" i="2"/>
  <c r="O796" i="1"/>
  <c r="AI154" i="1"/>
  <c r="AI161" i="1"/>
  <c r="BK160" i="1"/>
  <c r="BM160" i="1" s="1"/>
  <c r="AR154" i="1"/>
  <c r="BG154" i="1"/>
  <c r="U155" i="2"/>
  <c r="J794" i="1"/>
  <c r="J801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797" i="1"/>
  <c r="AA796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BK157" i="1" s="1"/>
  <c r="BM157" i="1" s="1"/>
  <c r="AL151" i="1"/>
  <c r="AR151" i="1" s="1"/>
  <c r="Q151" i="1"/>
  <c r="S158" i="1" s="1"/>
  <c r="AR152" i="1" l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734" i="3"/>
  <c r="F735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772" i="1" l="1"/>
  <c r="AR764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771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776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763" i="1" s="1"/>
  <c r="AH113" i="1"/>
  <c r="AP763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763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783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770" i="1"/>
  <c r="AP764" i="1" s="1"/>
  <c r="AV764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808" i="1"/>
  <c r="BC809" i="1" s="1"/>
  <c r="BE809" i="1" s="1"/>
  <c r="BE820" i="1"/>
  <c r="BE824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811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820" i="1" s="1"/>
  <c r="AL113" i="1"/>
  <c r="K114" i="2"/>
  <c r="V578" i="1" l="1"/>
  <c r="BA824" i="1"/>
  <c r="BC822" i="1"/>
  <c r="BG820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716" i="3"/>
  <c r="AA715" i="3"/>
  <c r="AA714" i="3"/>
  <c r="AA713" i="3"/>
  <c r="AA712" i="3"/>
  <c r="AA711" i="3"/>
  <c r="AA710" i="3"/>
  <c r="AA709" i="3"/>
  <c r="AA708" i="3"/>
  <c r="AA707" i="3"/>
  <c r="Y717" i="3"/>
  <c r="W717" i="3"/>
  <c r="S107" i="2"/>
  <c r="V621" i="1" l="1"/>
  <c r="V622" i="1" s="1"/>
  <c r="V623" i="1" s="1"/>
  <c r="V624" i="1" s="1"/>
  <c r="V625" i="1" s="1"/>
  <c r="V626" i="1" s="1"/>
  <c r="V627" i="1" s="1"/>
  <c r="V628" i="1" s="1"/>
  <c r="AA717" i="3"/>
  <c r="AA720" i="3" s="1"/>
  <c r="Q109" i="2"/>
  <c r="M109" i="2"/>
  <c r="BG107" i="1"/>
  <c r="U108" i="2"/>
  <c r="M108" i="2"/>
  <c r="BE106" i="1"/>
  <c r="BA106" i="1"/>
  <c r="AL106" i="1"/>
  <c r="AR106" i="1" s="1"/>
  <c r="K107" i="2"/>
  <c r="Q108" i="2" s="1"/>
  <c r="V629" i="1" l="1"/>
  <c r="U717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V724" i="1" s="1"/>
  <c r="V725" i="1" s="1"/>
  <c r="V726" i="1" s="1"/>
  <c r="V727" i="1" s="1"/>
  <c r="V728" i="1" s="1"/>
  <c r="V729" i="1" s="1"/>
  <c r="V730" i="1" s="1"/>
  <c r="S92" i="2"/>
  <c r="V731" i="1" l="1"/>
  <c r="BE91" i="1"/>
  <c r="BA91" i="1"/>
  <c r="AL91" i="1"/>
  <c r="AR91" i="1" s="1"/>
  <c r="K92" i="2"/>
  <c r="V732" i="1" l="1"/>
  <c r="V733" i="1" s="1"/>
  <c r="M93" i="2"/>
  <c r="Q93" i="2"/>
  <c r="BG91" i="1"/>
  <c r="U92" i="2"/>
  <c r="S91" i="2"/>
  <c r="V734" i="1" l="1"/>
  <c r="V735" i="1" s="1"/>
  <c r="V736" i="1" s="1"/>
  <c r="V737" i="1" s="1"/>
  <c r="V738" i="1" s="1"/>
  <c r="BE90" i="1"/>
  <c r="BA90" i="1"/>
  <c r="BK96" i="1" s="1"/>
  <c r="BM96" i="1" s="1"/>
  <c r="AL90" i="1"/>
  <c r="AR90" i="1" s="1"/>
  <c r="K91" i="2"/>
  <c r="Q92" i="2" l="1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S54" i="1" l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Q90" i="2" l="1"/>
  <c r="M90" i="2"/>
  <c r="BG88" i="1"/>
  <c r="U89" i="2"/>
  <c r="S88" i="2"/>
  <c r="BE87" i="1" l="1"/>
  <c r="BA87" i="1"/>
  <c r="AL87" i="1"/>
  <c r="AR87" i="1" s="1"/>
  <c r="K88" i="2"/>
  <c r="Q89" i="2" l="1"/>
  <c r="M89" i="2"/>
  <c r="BG87" i="1"/>
  <c r="U88" i="2"/>
  <c r="S87" i="2"/>
  <c r="K87" i="2"/>
  <c r="Q88" i="2" s="1"/>
  <c r="BE86" i="1"/>
  <c r="BA86" i="1"/>
  <c r="AL86" i="1"/>
  <c r="AR86" i="1" s="1"/>
  <c r="U87" i="2" l="1"/>
  <c r="M88" i="2"/>
  <c r="BG86" i="1"/>
  <c r="S86" i="2"/>
  <c r="BE85" i="1" l="1"/>
  <c r="BA85" i="1"/>
  <c r="AL85" i="1"/>
  <c r="AR85" i="1" s="1"/>
  <c r="K86" i="2"/>
  <c r="Q87" i="2" l="1"/>
  <c r="M87" i="2"/>
  <c r="BG85" i="1"/>
  <c r="U86" i="2"/>
  <c r="S85" i="2"/>
  <c r="K85" i="2" l="1"/>
  <c r="BE84" i="1"/>
  <c r="BA84" i="1"/>
  <c r="AL84" i="1"/>
  <c r="AR84" i="1" s="1"/>
  <c r="Q86" i="2" l="1"/>
  <c r="M86" i="2"/>
  <c r="U85" i="2"/>
  <c r="BG84" i="1"/>
  <c r="BE83" i="1" l="1"/>
  <c r="BA83" i="1"/>
  <c r="AL83" i="1"/>
  <c r="AR83" i="1" s="1"/>
  <c r="S84" i="2"/>
  <c r="K84" i="2"/>
  <c r="F728" i="3"/>
  <c r="F731" i="3" s="1"/>
  <c r="S83" i="2"/>
  <c r="BK89" i="1" l="1"/>
  <c r="BM89" i="1" s="1"/>
  <c r="BK112" i="1"/>
  <c r="Q85" i="2"/>
  <c r="M85" i="2"/>
  <c r="BG83" i="1"/>
  <c r="U84" i="2"/>
  <c r="W78" i="1" l="1"/>
  <c r="K83" i="2"/>
  <c r="BE82" i="1"/>
  <c r="BA82" i="1"/>
  <c r="AL82" i="1"/>
  <c r="S82" i="2"/>
  <c r="K82" i="2"/>
  <c r="BE81" i="1"/>
  <c r="BA81" i="1"/>
  <c r="AL81" i="1"/>
  <c r="AG82" i="1" l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AI89" i="1" l="1"/>
  <c r="AR762" i="1"/>
  <c r="U81" i="2"/>
  <c r="Q82" i="2"/>
  <c r="BG80" i="1"/>
  <c r="S80" i="2"/>
  <c r="K80" i="2"/>
  <c r="BE79" i="1"/>
  <c r="BA79" i="1"/>
  <c r="AL79" i="1"/>
  <c r="U80" i="2" l="1"/>
  <c r="Q81" i="2"/>
  <c r="M81" i="2"/>
  <c r="AR79" i="1"/>
  <c r="BG79" i="1"/>
  <c r="S79" i="2"/>
  <c r="K79" i="2" l="1"/>
  <c r="BE78" i="1"/>
  <c r="BA78" i="1"/>
  <c r="AL78" i="1"/>
  <c r="AR78" i="1" s="1"/>
  <c r="M80" i="2" l="1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762" i="1"/>
  <c r="AV762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718" i="3" l="1"/>
  <c r="I715" i="3"/>
  <c r="L715" i="3" s="1"/>
  <c r="I78" i="3"/>
  <c r="I80" i="3" s="1"/>
  <c r="I77" i="3"/>
  <c r="BE64" i="1"/>
  <c r="BA64" i="1"/>
  <c r="AL64" i="1"/>
  <c r="AR64" i="1" s="1"/>
  <c r="K65" i="2"/>
  <c r="Y19" i="3"/>
  <c r="Q66" i="2" l="1"/>
  <c r="M66" i="2"/>
  <c r="L718" i="3"/>
  <c r="I79" i="3"/>
  <c r="I81" i="3" s="1"/>
  <c r="I82" i="3" s="1"/>
  <c r="BG64" i="1"/>
  <c r="U65" i="2"/>
  <c r="S64" i="2"/>
  <c r="N81" i="3" l="1"/>
  <c r="N82" i="3" s="1"/>
  <c r="I717" i="3"/>
  <c r="L717" i="3" s="1"/>
  <c r="K64" i="2"/>
  <c r="BE63" i="1"/>
  <c r="BA63" i="1"/>
  <c r="AL63" i="1"/>
  <c r="AR63" i="1" s="1"/>
  <c r="Y18" i="3"/>
  <c r="Q65" i="2" l="1"/>
  <c r="M65" i="2"/>
  <c r="I719" i="3"/>
  <c r="U64" i="2"/>
  <c r="BG63" i="1"/>
  <c r="L708" i="3" l="1"/>
  <c r="L719" i="3"/>
  <c r="L707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758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807" i="1"/>
  <c r="B810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761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769" i="1"/>
  <c r="AR771" i="1" s="1"/>
  <c r="AV771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761" i="1"/>
  <c r="AV761" i="1" s="1"/>
  <c r="BA767" i="1" s="1"/>
  <c r="BA768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744" i="2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C722" i="2" l="1"/>
  <c r="C723" i="2" s="1"/>
  <c r="C724" i="2" s="1"/>
  <c r="C725" i="2" s="1"/>
  <c r="C726" i="2" s="1"/>
  <c r="C727" i="2" s="1"/>
  <c r="U597" i="3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C728" i="2" l="1"/>
  <c r="C729" i="2" s="1"/>
  <c r="C730" i="2" s="1"/>
  <c r="C731" i="2" s="1"/>
  <c r="C732" i="2" s="1"/>
  <c r="C733" i="2" s="1"/>
  <c r="U600" i="3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C734" i="2" l="1"/>
  <c r="C735" i="2" s="1"/>
  <c r="U605" i="3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C736" i="2" l="1"/>
  <c r="C737" i="2" s="1"/>
  <c r="C738" i="2" s="1"/>
  <c r="U609" i="3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C739" i="2" l="1"/>
  <c r="C740" i="2" s="1"/>
  <c r="C741" i="2" s="1"/>
  <c r="C742" i="2" s="1"/>
  <c r="C743" i="2" s="1"/>
  <c r="C744" i="2" s="1"/>
  <c r="U612" i="3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U621" i="3" l="1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U625" i="3" l="1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U629" i="3" l="1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U635" i="3" l="1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U639" i="3" l="1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U642" i="3" l="1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U645" i="3" l="1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U648" i="3" l="1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U652" i="3" l="1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U655" i="3" l="1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U659" i="3" l="1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U662" i="3" l="1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U667" i="3" l="1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U670" i="3" l="1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U675" i="3" l="1"/>
  <c r="U676" i="3" s="1"/>
  <c r="U677" i="3" s="1"/>
  <c r="U678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U679" i="3" l="1"/>
  <c r="U680" i="3" s="1"/>
  <c r="U681" i="3" s="1"/>
  <c r="U682" i="3" s="1"/>
  <c r="U683" i="3" s="1"/>
  <c r="U684" i="3" s="1"/>
  <c r="U685" i="3" s="1"/>
  <c r="U686" i="3" s="1"/>
  <c r="B570" i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U687" i="3" l="1"/>
  <c r="U688" i="3" s="1"/>
  <c r="B574" i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U689" i="3" l="1"/>
  <c r="U690" i="3" s="1"/>
  <c r="U691" i="3" s="1"/>
  <c r="U692" i="3" s="1"/>
  <c r="U693" i="3" s="1"/>
  <c r="U699" i="3" s="1"/>
  <c r="B580" i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B583" i="1" l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B587" i="1" l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B590" i="1" l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B594" i="1" l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B601" i="1" l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B604" i="1" l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B608" i="1" l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B612" i="1" l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B615" i="1" l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B618" i="1" l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B623" i="1" l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B627" i="1" l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B631" i="1" l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719" i="3"/>
  <c r="Y720" i="3" s="1"/>
  <c r="O92" i="1"/>
  <c r="H93" i="1"/>
  <c r="J93" i="1"/>
  <c r="AC92" i="1"/>
  <c r="AV92" i="1"/>
  <c r="B635" i="1" l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B637" i="1" l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B642" i="1" l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B645" i="1" l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B650" i="1" l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B653" i="1" l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B658" i="1" l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B662" i="1" l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665" i="1" l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B669" i="1" l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B673" i="1" l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B676" i="1" l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680" i="1" l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682" i="1" l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719" i="3"/>
  <c r="W720" i="3" s="1"/>
  <c r="AC106" i="1"/>
  <c r="B684" i="1" l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687" i="1" l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691" i="1" l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694" i="1" l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699" i="1" l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B703" i="1" l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705" i="1" l="1"/>
  <c r="BW178" i="1"/>
  <c r="BN177" i="1"/>
  <c r="AX177" i="1"/>
  <c r="BR159" i="1"/>
  <c r="BP160" i="1"/>
  <c r="AA137" i="1"/>
  <c r="AE136" i="1"/>
  <c r="J114" i="1"/>
  <c r="O113" i="1"/>
  <c r="AV113" i="1"/>
  <c r="AC113" i="1"/>
  <c r="B706" i="1" l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711" i="1" l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714" i="1" l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720" i="1" l="1"/>
  <c r="B721" i="1" s="1"/>
  <c r="B722" i="1" s="1"/>
  <c r="B723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724" i="1" l="1"/>
  <c r="B725" i="1" s="1"/>
  <c r="B726" i="1" s="1"/>
  <c r="B727" i="1" s="1"/>
  <c r="B728" i="1" s="1"/>
  <c r="BW184" i="1"/>
  <c r="BN183" i="1"/>
  <c r="AX183" i="1"/>
  <c r="BR165" i="1"/>
  <c r="BP166" i="1"/>
  <c r="AE143" i="1"/>
  <c r="AA144" i="1"/>
  <c r="H119" i="1"/>
  <c r="J119" i="1"/>
  <c r="O118" i="1"/>
  <c r="AC118" i="1"/>
  <c r="AV118" i="1"/>
  <c r="B729" i="1" l="1"/>
  <c r="B730" i="1" s="1"/>
  <c r="B731" i="1" s="1"/>
  <c r="B732" i="1" s="1"/>
  <c r="BN184" i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733" i="1" l="1"/>
  <c r="B734" i="1" s="1"/>
  <c r="BW186" i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735" i="1" l="1"/>
  <c r="B736" i="1" s="1"/>
  <c r="B737" i="1" s="1"/>
  <c r="B738" i="1" s="1"/>
  <c r="B744" i="1" s="1"/>
  <c r="BW187" i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W189" i="1" l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N189" i="1" l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W191" i="1" l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W192" i="1" l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N192" i="1" l="1"/>
  <c r="AX192" i="1"/>
  <c r="BW193" i="1"/>
  <c r="BP177" i="1"/>
  <c r="BR176" i="1"/>
  <c r="AE157" i="1"/>
  <c r="AA158" i="1"/>
  <c r="AC126" i="1"/>
  <c r="J127" i="1"/>
  <c r="H127" i="1"/>
  <c r="O126" i="1"/>
  <c r="AV126" i="1"/>
  <c r="BW194" i="1" l="1"/>
  <c r="BN193" i="1"/>
  <c r="AX193" i="1"/>
  <c r="BR177" i="1"/>
  <c r="BP178" i="1"/>
  <c r="AA159" i="1"/>
  <c r="AE158" i="1"/>
  <c r="AV127" i="1"/>
  <c r="H128" i="1"/>
  <c r="J128" i="1"/>
  <c r="O127" i="1"/>
  <c r="AC127" i="1"/>
  <c r="BW195" i="1" l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W197" i="1" l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W198" i="1" l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W199" i="1" l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N199" i="1" l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AX200" i="1" l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AX201" i="1" l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N202" i="1" l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W204" i="1" l="1"/>
  <c r="BN203" i="1"/>
  <c r="AX203" i="1"/>
  <c r="BR189" i="1"/>
  <c r="BP190" i="1"/>
  <c r="AE170" i="1"/>
  <c r="AA171" i="1"/>
  <c r="O136" i="1"/>
  <c r="J137" i="1"/>
  <c r="H137" i="1"/>
  <c r="AV136" i="1"/>
  <c r="AC136" i="1"/>
  <c r="AX204" i="1" l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AX206" i="1" l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N207" i="1" l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W209" i="1" l="1"/>
  <c r="AX208" i="1"/>
  <c r="BN208" i="1"/>
  <c r="BR193" i="1"/>
  <c r="BP194" i="1"/>
  <c r="AA176" i="1"/>
  <c r="AE175" i="1"/>
  <c r="O140" i="1"/>
  <c r="H141" i="1"/>
  <c r="J141" i="1"/>
  <c r="AV140" i="1"/>
  <c r="AC140" i="1"/>
  <c r="BN209" i="1" l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780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833" i="1" s="1"/>
  <c r="O173" i="1"/>
  <c r="AV173" i="1"/>
  <c r="AC173" i="1"/>
  <c r="BE833" i="1" l="1"/>
  <c r="BA855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855" i="1" l="1"/>
  <c r="BP833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855" i="1" l="1"/>
  <c r="CA855" i="1" s="1"/>
  <c r="BC855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846" i="1" s="1"/>
  <c r="BA834" i="1" s="1"/>
  <c r="J235" i="1"/>
  <c r="O234" i="1"/>
  <c r="AC234" i="1"/>
  <c r="BE834" i="1" l="1"/>
  <c r="BA856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834" i="1" l="1"/>
  <c r="BE856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856" i="1" l="1"/>
  <c r="BC856" i="1"/>
  <c r="BC860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760" i="1"/>
  <c r="AV269" i="1"/>
  <c r="H761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848" i="1"/>
  <c r="BA835" i="1" s="1"/>
  <c r="BA839" i="1" s="1"/>
  <c r="BR843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841" i="1"/>
  <c r="AA403" i="1"/>
  <c r="AA404" i="1" s="1"/>
  <c r="AE402" i="1"/>
  <c r="BE835" i="1"/>
  <c r="BA857" i="1"/>
  <c r="BA858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842" i="1"/>
  <c r="AA405" i="1"/>
  <c r="AE404" i="1"/>
  <c r="AE403" i="1"/>
  <c r="BE839" i="1"/>
  <c r="BE857" i="1"/>
  <c r="BP835" i="1"/>
  <c r="AC329" i="1"/>
  <c r="J330" i="1"/>
  <c r="H330" i="1"/>
  <c r="AV329" i="1"/>
  <c r="O329" i="1"/>
  <c r="BE859" i="1" l="1"/>
  <c r="BA860" i="1"/>
  <c r="BE860" i="1" s="1"/>
  <c r="BR860" i="1" s="1"/>
  <c r="CL861" i="1" s="1"/>
  <c r="BE858" i="1"/>
  <c r="BC857" i="1"/>
  <c r="AX439" i="1"/>
  <c r="BW440" i="1"/>
  <c r="BW441" i="1" s="1"/>
  <c r="BN439" i="1"/>
  <c r="BR424" i="1"/>
  <c r="BP425" i="1"/>
  <c r="BP426" i="1" s="1"/>
  <c r="AE405" i="1"/>
  <c r="AA406" i="1"/>
  <c r="AA407" i="1" s="1"/>
  <c r="BR857" i="1"/>
  <c r="D839" i="1"/>
  <c r="AH580" i="1" s="1"/>
  <c r="BG839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858" i="1"/>
  <c r="BC858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839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743" i="1"/>
  <c r="BW744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859" i="1"/>
  <c r="CL875" i="1" s="1"/>
  <c r="CL877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863" i="1"/>
  <c r="BC863" i="1" s="1"/>
  <c r="CL863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W724" i="1" s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4" i="1" l="1"/>
  <c r="AX724" i="1"/>
  <c r="BW725" i="1"/>
  <c r="BN723" i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N725" i="1" l="1"/>
  <c r="BW726" i="1"/>
  <c r="AX725" i="1"/>
  <c r="BR700" i="1"/>
  <c r="BP701" i="1"/>
  <c r="BP702" i="1" s="1"/>
  <c r="BP703" i="1" s="1"/>
  <c r="AA688" i="1"/>
  <c r="AE687" i="1"/>
  <c r="AE686" i="1"/>
  <c r="AV545" i="1"/>
  <c r="J546" i="1"/>
  <c r="H546" i="1"/>
  <c r="O545" i="1"/>
  <c r="AC545" i="1"/>
  <c r="BN726" i="1" l="1"/>
  <c r="BW727" i="1"/>
  <c r="AX726" i="1"/>
  <c r="BR703" i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N727" i="1" l="1"/>
  <c r="BW728" i="1"/>
  <c r="BW729" i="1" s="1"/>
  <c r="AX727" i="1"/>
  <c r="BR706" i="1"/>
  <c r="BP707" i="1"/>
  <c r="BR705" i="1"/>
  <c r="BR704" i="1"/>
  <c r="AE689" i="1"/>
  <c r="AA690" i="1"/>
  <c r="AA691" i="1" s="1"/>
  <c r="AV547" i="1"/>
  <c r="J548" i="1"/>
  <c r="H548" i="1"/>
  <c r="O547" i="1"/>
  <c r="AC547" i="1"/>
  <c r="BN729" i="1" l="1"/>
  <c r="BW730" i="1"/>
  <c r="AX729" i="1"/>
  <c r="BN728" i="1"/>
  <c r="AX728" i="1"/>
  <c r="BR707" i="1"/>
  <c r="BP708" i="1"/>
  <c r="AE691" i="1"/>
  <c r="AA692" i="1"/>
  <c r="AE690" i="1"/>
  <c r="J549" i="1"/>
  <c r="H549" i="1"/>
  <c r="AV548" i="1"/>
  <c r="O548" i="1"/>
  <c r="AC548" i="1"/>
  <c r="BN730" i="1" l="1"/>
  <c r="BW731" i="1"/>
  <c r="AX730" i="1"/>
  <c r="BR708" i="1"/>
  <c r="BP709" i="1"/>
  <c r="AE692" i="1"/>
  <c r="AA693" i="1"/>
  <c r="AA694" i="1" s="1"/>
  <c r="AV549" i="1"/>
  <c r="J550" i="1"/>
  <c r="H550" i="1"/>
  <c r="O549" i="1"/>
  <c r="AC549" i="1"/>
  <c r="BN731" i="1" l="1"/>
  <c r="BW732" i="1"/>
  <c r="BW733" i="1" s="1"/>
  <c r="AX731" i="1"/>
  <c r="BR709" i="1"/>
  <c r="BP710" i="1"/>
  <c r="BP711" i="1" s="1"/>
  <c r="AE694" i="1"/>
  <c r="AA695" i="1"/>
  <c r="AE693" i="1"/>
  <c r="AV550" i="1"/>
  <c r="J551" i="1"/>
  <c r="H551" i="1"/>
  <c r="O550" i="1"/>
  <c r="AC550" i="1"/>
  <c r="BN733" i="1" l="1"/>
  <c r="BW734" i="1"/>
  <c r="BW735" i="1" s="1"/>
  <c r="AX733" i="1"/>
  <c r="BN732" i="1"/>
  <c r="AX732" i="1"/>
  <c r="BR711" i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N735" i="1" l="1"/>
  <c r="BW736" i="1"/>
  <c r="AX735" i="1"/>
  <c r="BN734" i="1"/>
  <c r="AX734" i="1"/>
  <c r="BR712" i="1"/>
  <c r="BP713" i="1"/>
  <c r="BP714" i="1" s="1"/>
  <c r="AE696" i="1"/>
  <c r="AA697" i="1"/>
  <c r="O552" i="1"/>
  <c r="J553" i="1"/>
  <c r="H553" i="1"/>
  <c r="AV552" i="1"/>
  <c r="AC552" i="1"/>
  <c r="BN736" i="1" l="1"/>
  <c r="BW737" i="1"/>
  <c r="AX736" i="1"/>
  <c r="BR714" i="1"/>
  <c r="BP715" i="1"/>
  <c r="BR713" i="1"/>
  <c r="AE697" i="1"/>
  <c r="AA698" i="1"/>
  <c r="AA699" i="1" s="1"/>
  <c r="AV553" i="1"/>
  <c r="H554" i="1"/>
  <c r="O553" i="1"/>
  <c r="J554" i="1"/>
  <c r="AC553" i="1"/>
  <c r="BN737" i="1" l="1"/>
  <c r="BW738" i="1"/>
  <c r="AX737" i="1"/>
  <c r="BR715" i="1"/>
  <c r="BP716" i="1"/>
  <c r="AE699" i="1"/>
  <c r="AA700" i="1"/>
  <c r="AE698" i="1"/>
  <c r="H555" i="1"/>
  <c r="J555" i="1"/>
  <c r="AV554" i="1"/>
  <c r="O554" i="1"/>
  <c r="AC554" i="1"/>
  <c r="BN738" i="1" l="1"/>
  <c r="AX738" i="1"/>
  <c r="BR716" i="1"/>
  <c r="BP717" i="1"/>
  <c r="AE700" i="1"/>
  <c r="AA701" i="1"/>
  <c r="AA702" i="1" s="1"/>
  <c r="AA703" i="1" s="1"/>
  <c r="AV555" i="1"/>
  <c r="J556" i="1"/>
  <c r="H556" i="1"/>
  <c r="O555" i="1"/>
  <c r="AC555" i="1"/>
  <c r="BR717" i="1" l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R718" i="1" l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R720" i="1" l="1"/>
  <c r="BP721" i="1"/>
  <c r="BR719" i="1"/>
  <c r="AE707" i="1"/>
  <c r="AA708" i="1"/>
  <c r="AV558" i="1"/>
  <c r="H559" i="1"/>
  <c r="J559" i="1"/>
  <c r="O558" i="1"/>
  <c r="AC558" i="1"/>
  <c r="BR721" i="1" l="1"/>
  <c r="BP722" i="1"/>
  <c r="AE708" i="1"/>
  <c r="AA709" i="1"/>
  <c r="J560" i="1"/>
  <c r="H560" i="1"/>
  <c r="O559" i="1"/>
  <c r="AV559" i="1"/>
  <c r="AC559" i="1"/>
  <c r="BR722" i="1" l="1"/>
  <c r="BP723" i="1"/>
  <c r="BP724" i="1" s="1"/>
  <c r="AE709" i="1"/>
  <c r="AA710" i="1"/>
  <c r="AA711" i="1" s="1"/>
  <c r="AV560" i="1"/>
  <c r="H561" i="1"/>
  <c r="J561" i="1"/>
  <c r="O560" i="1"/>
  <c r="AC560" i="1"/>
  <c r="BR724" i="1" l="1"/>
  <c r="BP725" i="1"/>
  <c r="BR723" i="1"/>
  <c r="AE711" i="1"/>
  <c r="AA712" i="1"/>
  <c r="AE710" i="1"/>
  <c r="O561" i="1"/>
  <c r="H562" i="1"/>
  <c r="J562" i="1"/>
  <c r="AV561" i="1"/>
  <c r="AC561" i="1"/>
  <c r="AA517" i="3"/>
  <c r="AA518" i="3"/>
  <c r="AA513" i="3"/>
  <c r="BR725" i="1" l="1"/>
  <c r="BP726" i="1"/>
  <c r="AE712" i="1"/>
  <c r="AA713" i="1"/>
  <c r="AA714" i="1" s="1"/>
  <c r="AV562" i="1"/>
  <c r="J563" i="1"/>
  <c r="H563" i="1"/>
  <c r="O562" i="1"/>
  <c r="AC562" i="1"/>
  <c r="BR726" i="1" l="1"/>
  <c r="BP727" i="1"/>
  <c r="AE714" i="1"/>
  <c r="AA715" i="1"/>
  <c r="AE713" i="1"/>
  <c r="AV563" i="1"/>
  <c r="J564" i="1"/>
  <c r="H564" i="1"/>
  <c r="O563" i="1"/>
  <c r="AC563" i="1"/>
  <c r="BR727" i="1" l="1"/>
  <c r="BP728" i="1"/>
  <c r="BP729" i="1" s="1"/>
  <c r="AE715" i="1"/>
  <c r="AA716" i="1"/>
  <c r="H565" i="1"/>
  <c r="J565" i="1"/>
  <c r="AV564" i="1"/>
  <c r="O564" i="1"/>
  <c r="AC564" i="1"/>
  <c r="BR729" i="1" l="1"/>
  <c r="BP730" i="1"/>
  <c r="BR728" i="1"/>
  <c r="AE716" i="1"/>
  <c r="AA717" i="1"/>
  <c r="O565" i="1"/>
  <c r="J566" i="1"/>
  <c r="H566" i="1"/>
  <c r="AV565" i="1"/>
  <c r="AC565" i="1"/>
  <c r="BR730" i="1" l="1"/>
  <c r="BP731" i="1"/>
  <c r="AA718" i="1"/>
  <c r="AE717" i="1"/>
  <c r="O566" i="1"/>
  <c r="H567" i="1"/>
  <c r="J567" i="1"/>
  <c r="AV566" i="1"/>
  <c r="AC566" i="1"/>
  <c r="BR731" i="1" l="1"/>
  <c r="BP732" i="1"/>
  <c r="BP733" i="1" s="1"/>
  <c r="AE718" i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BR733" i="1" l="1"/>
  <c r="BP734" i="1"/>
  <c r="BP735" i="1" s="1"/>
  <c r="BR732" i="1"/>
  <c r="AA721" i="1"/>
  <c r="AE720" i="1"/>
  <c r="AE719" i="1"/>
  <c r="AV568" i="1"/>
  <c r="J569" i="1"/>
  <c r="H569" i="1"/>
  <c r="O568" i="1"/>
  <c r="AC568" i="1"/>
  <c r="BR735" i="1" l="1"/>
  <c r="BP736" i="1"/>
  <c r="BR734" i="1"/>
  <c r="AE721" i="1"/>
  <c r="AA722" i="1"/>
  <c r="H570" i="1"/>
  <c r="J570" i="1"/>
  <c r="AV569" i="1"/>
  <c r="O569" i="1"/>
  <c r="AC569" i="1"/>
  <c r="BR736" i="1" l="1"/>
  <c r="BP737" i="1"/>
  <c r="AE722" i="1"/>
  <c r="AA723" i="1"/>
  <c r="AA724" i="1" s="1"/>
  <c r="J571" i="1"/>
  <c r="H571" i="1"/>
  <c r="AV570" i="1"/>
  <c r="O570" i="1"/>
  <c r="AC570" i="1"/>
  <c r="BR737" i="1" l="1"/>
  <c r="BP738" i="1"/>
  <c r="AE724" i="1"/>
  <c r="AA725" i="1"/>
  <c r="AE723" i="1"/>
  <c r="AV571" i="1"/>
  <c r="H572" i="1"/>
  <c r="J572" i="1"/>
  <c r="O571" i="1"/>
  <c r="AC571" i="1"/>
  <c r="BR738" i="1" l="1"/>
  <c r="AE725" i="1"/>
  <c r="AA726" i="1"/>
  <c r="H573" i="1"/>
  <c r="J573" i="1"/>
  <c r="AV572" i="1"/>
  <c r="O572" i="1"/>
  <c r="AC572" i="1"/>
  <c r="AA527" i="3"/>
  <c r="AA525" i="3"/>
  <c r="AA526" i="3"/>
  <c r="AA524" i="3"/>
  <c r="AE726" i="1" l="1"/>
  <c r="AA727" i="1"/>
  <c r="AV573" i="1"/>
  <c r="J574" i="1"/>
  <c r="H574" i="1"/>
  <c r="O573" i="1"/>
  <c r="AC573" i="1"/>
  <c r="AE727" i="1" l="1"/>
  <c r="AA728" i="1"/>
  <c r="AA729" i="1" s="1"/>
  <c r="AV574" i="1"/>
  <c r="H575" i="1"/>
  <c r="J575" i="1"/>
  <c r="O574" i="1"/>
  <c r="AC574" i="1"/>
  <c r="AE729" i="1" l="1"/>
  <c r="AA730" i="1"/>
  <c r="AE728" i="1"/>
  <c r="AV575" i="1"/>
  <c r="J576" i="1"/>
  <c r="H576" i="1"/>
  <c r="O575" i="1"/>
  <c r="AC575" i="1"/>
  <c r="AA533" i="3"/>
  <c r="AA531" i="3"/>
  <c r="AA532" i="3"/>
  <c r="AA529" i="3"/>
  <c r="AA530" i="3"/>
  <c r="AA528" i="3"/>
  <c r="AA731" i="1" l="1"/>
  <c r="AE730" i="1"/>
  <c r="AV576" i="1"/>
  <c r="J577" i="1"/>
  <c r="H577" i="1"/>
  <c r="O576" i="1"/>
  <c r="AC576" i="1"/>
  <c r="AA732" i="1" l="1"/>
  <c r="AA733" i="1" s="1"/>
  <c r="AE731" i="1"/>
  <c r="AV577" i="1"/>
  <c r="J578" i="1"/>
  <c r="H578" i="1"/>
  <c r="O577" i="1"/>
  <c r="AC577" i="1"/>
  <c r="AE733" i="1" l="1"/>
  <c r="AA734" i="1"/>
  <c r="AA735" i="1" s="1"/>
  <c r="AE732" i="1"/>
  <c r="AV578" i="1"/>
  <c r="J579" i="1"/>
  <c r="H579" i="1"/>
  <c r="O578" i="1"/>
  <c r="AC578" i="1"/>
  <c r="AE735" i="1" l="1"/>
  <c r="AA736" i="1"/>
  <c r="AE734" i="1"/>
  <c r="J580" i="1"/>
  <c r="H580" i="1"/>
  <c r="AV579" i="1"/>
  <c r="O579" i="1"/>
  <c r="AC579" i="1"/>
  <c r="AA737" i="1" l="1"/>
  <c r="AE736" i="1"/>
  <c r="O580" i="1"/>
  <c r="H581" i="1"/>
  <c r="J581" i="1"/>
  <c r="AV580" i="1"/>
  <c r="AC580" i="1"/>
  <c r="AA738" i="1" l="1"/>
  <c r="AE737" i="1"/>
  <c r="J582" i="1"/>
  <c r="H582" i="1"/>
  <c r="AV581" i="1"/>
  <c r="O581" i="1"/>
  <c r="AC581" i="1"/>
  <c r="AA535" i="3"/>
  <c r="AA536" i="3"/>
  <c r="AA534" i="3"/>
  <c r="AE738" i="1" l="1"/>
  <c r="H583" i="1"/>
  <c r="J583" i="1"/>
  <c r="O582" i="1"/>
  <c r="AV582" i="1"/>
  <c r="AC582" i="1"/>
  <c r="AD49" i="2" l="1"/>
  <c r="AD51" i="2" s="1"/>
  <c r="AD53" i="2" s="1"/>
  <c r="AD55" i="2" s="1"/>
  <c r="AD57" i="2" s="1"/>
  <c r="AJ21" i="2"/>
  <c r="I21" i="3"/>
  <c r="I35" i="3" s="1"/>
  <c r="O583" i="1"/>
  <c r="J584" i="1"/>
  <c r="H584" i="1"/>
  <c r="AV583" i="1"/>
  <c r="AC583" i="1"/>
  <c r="AV584" i="1" l="1"/>
  <c r="H585" i="1"/>
  <c r="J585" i="1"/>
  <c r="O584" i="1"/>
  <c r="AC584" i="1"/>
  <c r="O585" i="1" l="1"/>
  <c r="J586" i="1"/>
  <c r="H586" i="1"/>
  <c r="AV585" i="1"/>
  <c r="AC585" i="1"/>
  <c r="AA541" i="3"/>
  <c r="AA538" i="3"/>
  <c r="AA540" i="3"/>
  <c r="AA537" i="3"/>
  <c r="J587" i="1" l="1"/>
  <c r="H587" i="1"/>
  <c r="O586" i="1"/>
  <c r="AV586" i="1"/>
  <c r="AC586" i="1"/>
  <c r="O587" i="1" l="1"/>
  <c r="J588" i="1"/>
  <c r="H588" i="1"/>
  <c r="AV587" i="1"/>
  <c r="AC587" i="1"/>
  <c r="AV588" i="1" l="1"/>
  <c r="J589" i="1"/>
  <c r="H589" i="1"/>
  <c r="O588" i="1"/>
  <c r="AC588" i="1"/>
  <c r="J590" i="1" l="1"/>
  <c r="H590" i="1"/>
  <c r="O589" i="1"/>
  <c r="AV589" i="1"/>
  <c r="AC589" i="1"/>
  <c r="AA543" i="3"/>
  <c r="AA544" i="3"/>
  <c r="AA542" i="3"/>
  <c r="AV590" i="1" l="1"/>
  <c r="J591" i="1"/>
  <c r="H591" i="1"/>
  <c r="O590" i="1"/>
  <c r="AC590" i="1"/>
  <c r="O591" i="1" l="1"/>
  <c r="H592" i="1"/>
  <c r="J592" i="1"/>
  <c r="AV591" i="1"/>
  <c r="AC591" i="1"/>
  <c r="O592" i="1" l="1"/>
  <c r="J593" i="1"/>
  <c r="H593" i="1"/>
  <c r="AV592" i="1"/>
  <c r="AC592" i="1"/>
  <c r="AA548" i="3"/>
  <c r="AA546" i="3"/>
  <c r="AA547" i="3"/>
  <c r="AA545" i="3"/>
  <c r="J594" i="1" l="1"/>
  <c r="H594" i="1"/>
  <c r="O593" i="1"/>
  <c r="AV593" i="1"/>
  <c r="AC593" i="1"/>
  <c r="O594" i="1" l="1"/>
  <c r="J595" i="1"/>
  <c r="H595" i="1"/>
  <c r="AV594" i="1"/>
  <c r="AC594" i="1"/>
  <c r="O595" i="1" l="1"/>
  <c r="J596" i="1"/>
  <c r="H596" i="1"/>
  <c r="AV595" i="1"/>
  <c r="AC595" i="1"/>
  <c r="AV596" i="1" l="1"/>
  <c r="J597" i="1"/>
  <c r="H597" i="1"/>
  <c r="O596" i="1"/>
  <c r="AC596" i="1"/>
  <c r="AA553" i="3"/>
  <c r="AA554" i="3"/>
  <c r="AA551" i="3"/>
  <c r="AA552" i="3"/>
  <c r="AA550" i="3"/>
  <c r="AA549" i="3"/>
  <c r="O597" i="1" l="1"/>
  <c r="J598" i="1"/>
  <c r="AV597" i="1"/>
  <c r="H598" i="1"/>
  <c r="AC597" i="1"/>
  <c r="AV598" i="1" l="1"/>
  <c r="J599" i="1"/>
  <c r="H599" i="1"/>
  <c r="O598" i="1"/>
  <c r="AC598" i="1"/>
  <c r="AV599" i="1" l="1"/>
  <c r="H600" i="1"/>
  <c r="J600" i="1"/>
  <c r="O599" i="1"/>
  <c r="AC599" i="1"/>
  <c r="H601" i="1" l="1"/>
  <c r="J601" i="1"/>
  <c r="O600" i="1"/>
  <c r="AV600" i="1"/>
  <c r="AC600" i="1"/>
  <c r="O601" i="1" l="1"/>
  <c r="J602" i="1"/>
  <c r="H602" i="1"/>
  <c r="AV601" i="1"/>
  <c r="AC601" i="1"/>
  <c r="J603" i="1" l="1"/>
  <c r="H603" i="1"/>
  <c r="O602" i="1"/>
  <c r="AV602" i="1"/>
  <c r="AC602" i="1"/>
  <c r="J604" i="1" l="1"/>
  <c r="H604" i="1"/>
  <c r="AV603" i="1"/>
  <c r="O603" i="1"/>
  <c r="AC603" i="1"/>
  <c r="AA557" i="3"/>
  <c r="AA558" i="3"/>
  <c r="AV604" i="1" l="1"/>
  <c r="J605" i="1"/>
  <c r="H605" i="1"/>
  <c r="O604" i="1"/>
  <c r="AC604" i="1"/>
  <c r="AA555" i="3"/>
  <c r="AA556" i="3"/>
  <c r="AV605" i="1" l="1"/>
  <c r="H606" i="1"/>
  <c r="J606" i="1"/>
  <c r="O605" i="1"/>
  <c r="AC605" i="1"/>
  <c r="AA561" i="3"/>
  <c r="AA559" i="3"/>
  <c r="AC606" i="1" l="1"/>
  <c r="J607" i="1"/>
  <c r="H607" i="1"/>
  <c r="O606" i="1"/>
  <c r="AV606" i="1"/>
  <c r="AA560" i="3"/>
  <c r="J608" i="1" l="1"/>
  <c r="H608" i="1"/>
  <c r="O607" i="1"/>
  <c r="AV607" i="1"/>
  <c r="AC607" i="1"/>
  <c r="O608" i="1" l="1"/>
  <c r="AV608" i="1"/>
  <c r="J609" i="1"/>
  <c r="H609" i="1"/>
  <c r="AC608" i="1"/>
  <c r="O609" i="1" l="1"/>
  <c r="H610" i="1"/>
  <c r="J610" i="1"/>
  <c r="AV609" i="1"/>
  <c r="AC609" i="1"/>
  <c r="O610" i="1" l="1"/>
  <c r="AV610" i="1"/>
  <c r="J611" i="1"/>
  <c r="H611" i="1"/>
  <c r="AC610" i="1"/>
  <c r="AA565" i="3"/>
  <c r="AA563" i="3"/>
  <c r="AA564" i="3"/>
  <c r="AA562" i="3"/>
  <c r="J612" i="1" l="1"/>
  <c r="H612" i="1"/>
  <c r="O611" i="1"/>
  <c r="AV611" i="1"/>
  <c r="AC611" i="1"/>
  <c r="O612" i="1" l="1"/>
  <c r="J613" i="1"/>
  <c r="H613" i="1"/>
  <c r="AV612" i="1"/>
  <c r="AC612" i="1"/>
  <c r="O613" i="1" l="1"/>
  <c r="J614" i="1"/>
  <c r="H614" i="1"/>
  <c r="AV613" i="1"/>
  <c r="AC613" i="1"/>
  <c r="J615" i="1" l="1"/>
  <c r="H615" i="1"/>
  <c r="O614" i="1"/>
  <c r="AV614" i="1"/>
  <c r="AC614" i="1"/>
  <c r="AA567" i="3"/>
  <c r="AA568" i="3"/>
  <c r="AA566" i="3"/>
  <c r="J616" i="1" l="1"/>
  <c r="H616" i="1"/>
  <c r="O615" i="1"/>
  <c r="AV615" i="1"/>
  <c r="AC615" i="1"/>
  <c r="O616" i="1" l="1"/>
  <c r="J617" i="1"/>
  <c r="H617" i="1"/>
  <c r="AV616" i="1"/>
  <c r="AC616" i="1"/>
  <c r="J618" i="1" l="1"/>
  <c r="H618" i="1"/>
  <c r="O617" i="1"/>
  <c r="AV617" i="1"/>
  <c r="AC617" i="1"/>
  <c r="AA572" i="3"/>
  <c r="AA570" i="3"/>
  <c r="AA571" i="3"/>
  <c r="AA569" i="3"/>
  <c r="O618" i="1" l="1"/>
  <c r="J619" i="1"/>
  <c r="H619" i="1"/>
  <c r="AV618" i="1"/>
  <c r="AC618" i="1"/>
  <c r="AV619" i="1" l="1"/>
  <c r="J620" i="1"/>
  <c r="H620" i="1"/>
  <c r="O619" i="1"/>
  <c r="AC619" i="1"/>
  <c r="O620" i="1" l="1"/>
  <c r="J621" i="1"/>
  <c r="H621" i="1"/>
  <c r="AV620" i="1"/>
  <c r="AC620" i="1"/>
  <c r="AA574" i="3"/>
  <c r="AA575" i="3"/>
  <c r="AA573" i="3"/>
  <c r="J622" i="1" l="1"/>
  <c r="H622" i="1"/>
  <c r="O621" i="1"/>
  <c r="AV621" i="1"/>
  <c r="AC621" i="1"/>
  <c r="O622" i="1" l="1"/>
  <c r="H623" i="1"/>
  <c r="J623" i="1"/>
  <c r="AV622" i="1"/>
  <c r="AC622" i="1"/>
  <c r="O623" i="1" l="1"/>
  <c r="H624" i="1"/>
  <c r="J624" i="1"/>
  <c r="AV623" i="1"/>
  <c r="AC623" i="1"/>
  <c r="AV624" i="1" l="1"/>
  <c r="H625" i="1"/>
  <c r="J625" i="1"/>
  <c r="O624" i="1"/>
  <c r="AC624" i="1"/>
  <c r="AA583" i="3"/>
  <c r="AA584" i="3"/>
  <c r="AA581" i="3"/>
  <c r="AA582" i="3"/>
  <c r="AA580" i="3"/>
  <c r="AA578" i="3"/>
  <c r="AA579" i="3"/>
  <c r="J626" i="1" l="1"/>
  <c r="H626" i="1"/>
  <c r="O625" i="1"/>
  <c r="AV625" i="1"/>
  <c r="AC625" i="1"/>
  <c r="AA577" i="3"/>
  <c r="AA576" i="3"/>
  <c r="AC626" i="1" l="1"/>
  <c r="J627" i="1"/>
  <c r="AV626" i="1"/>
  <c r="H627" i="1"/>
  <c r="O626" i="1"/>
  <c r="O627" i="1" l="1"/>
  <c r="H628" i="1"/>
  <c r="J628" i="1"/>
  <c r="AV627" i="1"/>
  <c r="AC627" i="1"/>
  <c r="AC628" i="1" l="1"/>
  <c r="H629" i="1"/>
  <c r="J629" i="1"/>
  <c r="O628" i="1"/>
  <c r="AV628" i="1"/>
  <c r="J630" i="1" l="1"/>
  <c r="H630" i="1"/>
  <c r="AV629" i="1"/>
  <c r="O629" i="1"/>
  <c r="AC629" i="1"/>
  <c r="H631" i="1" l="1"/>
  <c r="J631" i="1"/>
  <c r="AV630" i="1"/>
  <c r="O630" i="1"/>
  <c r="AC630" i="1"/>
  <c r="O631" i="1" l="1"/>
  <c r="J632" i="1"/>
  <c r="H632" i="1"/>
  <c r="AV631" i="1"/>
  <c r="AC631" i="1"/>
  <c r="AC632" i="1" l="1"/>
  <c r="J633" i="1"/>
  <c r="H633" i="1"/>
  <c r="AV632" i="1"/>
  <c r="O632" i="1"/>
  <c r="AA589" i="3"/>
  <c r="AA586" i="3"/>
  <c r="AA587" i="3"/>
  <c r="AA585" i="3"/>
  <c r="O633" i="1" l="1"/>
  <c r="J634" i="1"/>
  <c r="H634" i="1"/>
  <c r="AV633" i="1"/>
  <c r="AC633" i="1"/>
  <c r="AA588" i="3"/>
  <c r="H635" i="1" l="1"/>
  <c r="J635" i="1"/>
  <c r="O634" i="1"/>
  <c r="AV634" i="1"/>
  <c r="AC634" i="1"/>
  <c r="AV635" i="1" l="1"/>
  <c r="H636" i="1"/>
  <c r="J636" i="1"/>
  <c r="O635" i="1"/>
  <c r="AC635" i="1"/>
  <c r="J637" i="1" l="1"/>
  <c r="H637" i="1"/>
  <c r="O636" i="1"/>
  <c r="AV636" i="1"/>
  <c r="AC636" i="1"/>
  <c r="J638" i="1" l="1"/>
  <c r="O637" i="1"/>
  <c r="AV637" i="1"/>
  <c r="H638" i="1"/>
  <c r="AC637" i="1"/>
  <c r="AA591" i="3"/>
  <c r="AA590" i="3"/>
  <c r="AV638" i="1" l="1"/>
  <c r="J639" i="1"/>
  <c r="H639" i="1"/>
  <c r="O638" i="1"/>
  <c r="AC638" i="1"/>
  <c r="O639" i="1" l="1"/>
  <c r="AV639" i="1"/>
  <c r="H640" i="1"/>
  <c r="J640" i="1"/>
  <c r="AC639" i="1"/>
  <c r="AA595" i="3"/>
  <c r="AA596" i="3"/>
  <c r="AA593" i="3"/>
  <c r="AA594" i="3"/>
  <c r="AA592" i="3"/>
  <c r="H641" i="1" l="1"/>
  <c r="J641" i="1"/>
  <c r="O640" i="1"/>
  <c r="AV640" i="1"/>
  <c r="AC640" i="1"/>
  <c r="J642" i="1" l="1"/>
  <c r="H642" i="1"/>
  <c r="O641" i="1"/>
  <c r="AV641" i="1"/>
  <c r="AC641" i="1"/>
  <c r="J643" i="1" l="1"/>
  <c r="AV642" i="1"/>
  <c r="H643" i="1"/>
  <c r="O642" i="1"/>
  <c r="AC642" i="1"/>
  <c r="J644" i="1" l="1"/>
  <c r="H644" i="1"/>
  <c r="AV643" i="1"/>
  <c r="O643" i="1"/>
  <c r="AC643" i="1"/>
  <c r="AV644" i="1" l="1"/>
  <c r="J645" i="1"/>
  <c r="H645" i="1"/>
  <c r="O644" i="1"/>
  <c r="AC644" i="1"/>
  <c r="AA603" i="3"/>
  <c r="AA604" i="3"/>
  <c r="AA601" i="3"/>
  <c r="AA602" i="3"/>
  <c r="AA598" i="3"/>
  <c r="AA599" i="3"/>
  <c r="J646" i="1" l="1"/>
  <c r="H646" i="1"/>
  <c r="O645" i="1"/>
  <c r="AV645" i="1"/>
  <c r="AC645" i="1"/>
  <c r="O646" i="1" l="1"/>
  <c r="AV646" i="1"/>
  <c r="J647" i="1"/>
  <c r="H647" i="1"/>
  <c r="AC646" i="1"/>
  <c r="H648" i="1" l="1"/>
  <c r="J648" i="1"/>
  <c r="AV647" i="1"/>
  <c r="O647" i="1"/>
  <c r="AC647" i="1"/>
  <c r="AV648" i="1" l="1"/>
  <c r="J649" i="1"/>
  <c r="H649" i="1"/>
  <c r="O648" i="1"/>
  <c r="AC648" i="1"/>
  <c r="J650" i="1" l="1"/>
  <c r="H650" i="1"/>
  <c r="O649" i="1"/>
  <c r="AV649" i="1"/>
  <c r="AC649" i="1"/>
  <c r="O650" i="1" l="1"/>
  <c r="H651" i="1"/>
  <c r="J651" i="1"/>
  <c r="AV650" i="1"/>
  <c r="AC650" i="1"/>
  <c r="O651" i="1" l="1"/>
  <c r="H652" i="1"/>
  <c r="J652" i="1"/>
  <c r="AV651" i="1"/>
  <c r="AC651" i="1"/>
  <c r="J653" i="1" l="1"/>
  <c r="H653" i="1"/>
  <c r="O652" i="1"/>
  <c r="AV652" i="1"/>
  <c r="AC652" i="1"/>
  <c r="AA606" i="3"/>
  <c r="AA605" i="3"/>
  <c r="O653" i="1" l="1"/>
  <c r="H654" i="1"/>
  <c r="J654" i="1"/>
  <c r="AV653" i="1"/>
  <c r="AC653" i="1"/>
  <c r="AA607" i="3"/>
  <c r="O654" i="1" l="1"/>
  <c r="J655" i="1"/>
  <c r="H655" i="1"/>
  <c r="AV654" i="1"/>
  <c r="AC654" i="1"/>
  <c r="AV655" i="1" l="1"/>
  <c r="J656" i="1"/>
  <c r="H656" i="1"/>
  <c r="O655" i="1"/>
  <c r="AC655" i="1"/>
  <c r="AA611" i="3"/>
  <c r="AA609" i="3"/>
  <c r="AA610" i="3"/>
  <c r="AA608" i="3"/>
  <c r="AV656" i="1" l="1"/>
  <c r="J657" i="1"/>
  <c r="H657" i="1"/>
  <c r="O656" i="1"/>
  <c r="AC656" i="1"/>
  <c r="J658" i="1" l="1"/>
  <c r="H658" i="1"/>
  <c r="AV657" i="1"/>
  <c r="O657" i="1"/>
  <c r="AC657" i="1"/>
  <c r="O658" i="1" l="1"/>
  <c r="J659" i="1"/>
  <c r="AV658" i="1"/>
  <c r="H659" i="1"/>
  <c r="AC658" i="1"/>
  <c r="AV659" i="1" l="1"/>
  <c r="H660" i="1"/>
  <c r="J660" i="1"/>
  <c r="O659" i="1"/>
  <c r="AC659" i="1"/>
  <c r="AA615" i="3"/>
  <c r="AA616" i="3"/>
  <c r="AA613" i="3"/>
  <c r="AA614" i="3"/>
  <c r="AA612" i="3"/>
  <c r="AV660" i="1" l="1"/>
  <c r="H661" i="1"/>
  <c r="J661" i="1"/>
  <c r="O660" i="1"/>
  <c r="AC660" i="1"/>
  <c r="H662" i="1" l="1"/>
  <c r="J662" i="1"/>
  <c r="O661" i="1"/>
  <c r="AV661" i="1"/>
  <c r="AC661" i="1"/>
  <c r="O662" i="1" l="1"/>
  <c r="AV662" i="1"/>
  <c r="J663" i="1"/>
  <c r="H663" i="1"/>
  <c r="AC662" i="1"/>
  <c r="O663" i="1" l="1"/>
  <c r="J664" i="1"/>
  <c r="H664" i="1"/>
  <c r="AV663" i="1"/>
  <c r="AC663" i="1"/>
  <c r="H665" i="1" l="1"/>
  <c r="J665" i="1"/>
  <c r="O664" i="1"/>
  <c r="AV664" i="1"/>
  <c r="AC664" i="1"/>
  <c r="AA618" i="3"/>
  <c r="AA617" i="3"/>
  <c r="O665" i="1" l="1"/>
  <c r="J666" i="1"/>
  <c r="H666" i="1"/>
  <c r="AV665" i="1"/>
  <c r="AC665" i="1"/>
  <c r="AA619" i="3"/>
  <c r="AV666" i="1" l="1"/>
  <c r="H667" i="1"/>
  <c r="J667" i="1"/>
  <c r="O666" i="1"/>
  <c r="AC666" i="1"/>
  <c r="AV667" i="1" l="1"/>
  <c r="H668" i="1"/>
  <c r="J668" i="1"/>
  <c r="O667" i="1"/>
  <c r="AC667" i="1"/>
  <c r="AA621" i="3"/>
  <c r="AA622" i="3"/>
  <c r="AA620" i="3"/>
  <c r="J669" i="1" l="1"/>
  <c r="H669" i="1"/>
  <c r="O668" i="1"/>
  <c r="AV668" i="1"/>
  <c r="AC668" i="1"/>
  <c r="AV669" i="1" l="1"/>
  <c r="J670" i="1"/>
  <c r="H670" i="1"/>
  <c r="O669" i="1"/>
  <c r="AC669" i="1"/>
  <c r="O670" i="1" l="1"/>
  <c r="J671" i="1"/>
  <c r="H671" i="1"/>
  <c r="AV670" i="1"/>
  <c r="AC670" i="1"/>
  <c r="AV671" i="1" l="1"/>
  <c r="H672" i="1"/>
  <c r="J672" i="1"/>
  <c r="O671" i="1"/>
  <c r="AC671" i="1"/>
  <c r="AA625" i="3"/>
  <c r="AA626" i="3"/>
  <c r="AA623" i="3"/>
  <c r="J673" i="1" l="1"/>
  <c r="H673" i="1"/>
  <c r="O672" i="1"/>
  <c r="AV672" i="1"/>
  <c r="AC672" i="1"/>
  <c r="AA624" i="3"/>
  <c r="AV673" i="1" l="1"/>
  <c r="J674" i="1"/>
  <c r="H674" i="1"/>
  <c r="O673" i="1"/>
  <c r="AC673" i="1"/>
  <c r="H675" i="1" l="1"/>
  <c r="J675" i="1"/>
  <c r="O674" i="1"/>
  <c r="AV674" i="1"/>
  <c r="AC674" i="1"/>
  <c r="O675" i="1" l="1"/>
  <c r="AV675" i="1"/>
  <c r="J676" i="1"/>
  <c r="H676" i="1"/>
  <c r="AC675" i="1"/>
  <c r="AA628" i="3"/>
  <c r="AA627" i="3"/>
  <c r="O676" i="1" l="1"/>
  <c r="J677" i="1"/>
  <c r="H677" i="1"/>
  <c r="AV676" i="1"/>
  <c r="AC676" i="1"/>
  <c r="O677" i="1" l="1"/>
  <c r="H678" i="1"/>
  <c r="J678" i="1"/>
  <c r="AV677" i="1"/>
  <c r="AC677" i="1"/>
  <c r="AA632" i="3"/>
  <c r="AA633" i="3"/>
  <c r="AA630" i="3"/>
  <c r="AA631" i="3"/>
  <c r="AA629" i="3"/>
  <c r="AV678" i="1" l="1"/>
  <c r="J679" i="1"/>
  <c r="H679" i="1"/>
  <c r="O678" i="1"/>
  <c r="AC678" i="1"/>
  <c r="J680" i="1" l="1"/>
  <c r="H680" i="1"/>
  <c r="O679" i="1"/>
  <c r="AV679" i="1"/>
  <c r="AC679" i="1"/>
  <c r="AV680" i="1" l="1"/>
  <c r="J681" i="1"/>
  <c r="H681" i="1"/>
  <c r="O680" i="1"/>
  <c r="AC680" i="1"/>
  <c r="O681" i="1" l="1"/>
  <c r="J682" i="1"/>
  <c r="H682" i="1"/>
  <c r="AV681" i="1"/>
  <c r="AC681" i="1"/>
  <c r="AC682" i="1" l="1"/>
  <c r="H683" i="1"/>
  <c r="O682" i="1"/>
  <c r="J683" i="1"/>
  <c r="AV682" i="1"/>
  <c r="AA637" i="3"/>
  <c r="AA638" i="3"/>
  <c r="AA635" i="3"/>
  <c r="AA636" i="3"/>
  <c r="AA634" i="3"/>
  <c r="H684" i="1" l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J691" i="1" l="1"/>
  <c r="H691" i="1"/>
  <c r="AV690" i="1"/>
  <c r="O690" i="1"/>
  <c r="AC690" i="1"/>
  <c r="AA643" i="3"/>
  <c r="AA644" i="3"/>
  <c r="AV691" i="1" l="1"/>
  <c r="J692" i="1"/>
  <c r="H692" i="1"/>
  <c r="O691" i="1"/>
  <c r="AC691" i="1"/>
  <c r="AV692" i="1" l="1"/>
  <c r="J693" i="1"/>
  <c r="H693" i="1"/>
  <c r="O692" i="1"/>
  <c r="AC692" i="1"/>
  <c r="AA646" i="3"/>
  <c r="AA647" i="3"/>
  <c r="AA645" i="3"/>
  <c r="J694" i="1" l="1"/>
  <c r="H694" i="1"/>
  <c r="AV693" i="1"/>
  <c r="O693" i="1"/>
  <c r="AC693" i="1"/>
  <c r="O694" i="1" l="1"/>
  <c r="J695" i="1"/>
  <c r="H695" i="1"/>
  <c r="AV694" i="1"/>
  <c r="AC694" i="1"/>
  <c r="O695" i="1" l="1"/>
  <c r="J696" i="1"/>
  <c r="H696" i="1"/>
  <c r="AV695" i="1"/>
  <c r="AC695" i="1"/>
  <c r="AA653" i="3"/>
  <c r="AA651" i="3"/>
  <c r="AA652" i="3"/>
  <c r="AA649" i="3"/>
  <c r="AA650" i="3"/>
  <c r="AA648" i="3"/>
  <c r="O696" i="1" l="1"/>
  <c r="J697" i="1"/>
  <c r="H697" i="1"/>
  <c r="AV696" i="1"/>
  <c r="AC696" i="1"/>
  <c r="AV697" i="1" l="1"/>
  <c r="J698" i="1"/>
  <c r="H698" i="1"/>
  <c r="O697" i="1"/>
  <c r="AC697" i="1"/>
  <c r="J699" i="1" l="1"/>
  <c r="H699" i="1"/>
  <c r="O698" i="1"/>
  <c r="AV698" i="1"/>
  <c r="AC698" i="1"/>
  <c r="AV699" i="1" l="1"/>
  <c r="H700" i="1"/>
  <c r="J700" i="1"/>
  <c r="O699" i="1"/>
  <c r="AC699" i="1"/>
  <c r="O700" i="1" l="1"/>
  <c r="J701" i="1"/>
  <c r="H701" i="1"/>
  <c r="AV700" i="1"/>
  <c r="AC700" i="1"/>
  <c r="J702" i="1" l="1"/>
  <c r="H702" i="1"/>
  <c r="O701" i="1"/>
  <c r="AV701" i="1"/>
  <c r="AC701" i="1"/>
  <c r="AA655" i="3"/>
  <c r="AA654" i="3"/>
  <c r="J703" i="1" l="1"/>
  <c r="H703" i="1"/>
  <c r="AV702" i="1"/>
  <c r="O702" i="1"/>
  <c r="AC702" i="1"/>
  <c r="O703" i="1" l="1"/>
  <c r="J704" i="1"/>
  <c r="H704" i="1"/>
  <c r="AV703" i="1"/>
  <c r="AC703" i="1"/>
  <c r="AA656" i="3"/>
  <c r="J705" i="1" l="1"/>
  <c r="H705" i="1"/>
  <c r="O704" i="1"/>
  <c r="AV704" i="1"/>
  <c r="AC704" i="1"/>
  <c r="J706" i="1" l="1"/>
  <c r="H706" i="1"/>
  <c r="AV705" i="1"/>
  <c r="O705" i="1"/>
  <c r="AC705" i="1"/>
  <c r="AA658" i="3"/>
  <c r="AA659" i="3"/>
  <c r="AA657" i="3"/>
  <c r="O706" i="1" l="1"/>
  <c r="J707" i="1"/>
  <c r="H707" i="1"/>
  <c r="AV706" i="1"/>
  <c r="AC706" i="1"/>
  <c r="O707" i="1" l="1"/>
  <c r="J708" i="1"/>
  <c r="H708" i="1"/>
  <c r="AV707" i="1"/>
  <c r="AC707" i="1"/>
  <c r="AA663" i="3"/>
  <c r="AA664" i="3"/>
  <c r="AA661" i="3"/>
  <c r="AA662" i="3"/>
  <c r="AA660" i="3"/>
  <c r="O708" i="1" l="1"/>
  <c r="H709" i="1"/>
  <c r="J709" i="1"/>
  <c r="AV708" i="1"/>
  <c r="AC708" i="1"/>
  <c r="O709" i="1" l="1"/>
  <c r="J710" i="1"/>
  <c r="H710" i="1"/>
  <c r="AV709" i="1"/>
  <c r="AC709" i="1"/>
  <c r="H711" i="1" l="1"/>
  <c r="J711" i="1"/>
  <c r="O710" i="1"/>
  <c r="AV710" i="1"/>
  <c r="AC710" i="1"/>
  <c r="O711" i="1" l="1"/>
  <c r="J712" i="1"/>
  <c r="H712" i="1"/>
  <c r="AV711" i="1"/>
  <c r="AC711" i="1"/>
  <c r="AV712" i="1" l="1"/>
  <c r="J713" i="1"/>
  <c r="H713" i="1"/>
  <c r="O712" i="1"/>
  <c r="AC712" i="1"/>
  <c r="J714" i="1" l="1"/>
  <c r="H714" i="1"/>
  <c r="O713" i="1"/>
  <c r="AV713" i="1"/>
  <c r="AC713" i="1"/>
  <c r="AA666" i="3"/>
  <c r="AA667" i="3"/>
  <c r="AA665" i="3"/>
  <c r="AV714" i="1" l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AV719" i="1"/>
  <c r="O719" i="1"/>
  <c r="AC719" i="1"/>
  <c r="O720" i="1" l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J724" i="1" l="1"/>
  <c r="H724" i="1"/>
  <c r="O723" i="1"/>
  <c r="AV723" i="1"/>
  <c r="AC723" i="1"/>
  <c r="O724" i="1" l="1"/>
  <c r="AV724" i="1"/>
  <c r="J725" i="1"/>
  <c r="H725" i="1"/>
  <c r="AC724" i="1"/>
  <c r="O725" i="1" l="1"/>
  <c r="J726" i="1"/>
  <c r="H726" i="1"/>
  <c r="AV725" i="1"/>
  <c r="AC725" i="1"/>
  <c r="O726" i="1" l="1"/>
  <c r="J727" i="1"/>
  <c r="H727" i="1"/>
  <c r="AV726" i="1"/>
  <c r="AC726" i="1"/>
  <c r="AA680" i="3"/>
  <c r="AA681" i="3"/>
  <c r="AA679" i="3"/>
  <c r="O727" i="1" l="1"/>
  <c r="J728" i="1"/>
  <c r="H728" i="1"/>
  <c r="AV727" i="1"/>
  <c r="AC727" i="1"/>
  <c r="AA682" i="3"/>
  <c r="J729" i="1" l="1"/>
  <c r="H729" i="1"/>
  <c r="I23" i="3" s="1"/>
  <c r="I25" i="3" s="1"/>
  <c r="I27" i="3" s="1"/>
  <c r="O728" i="1"/>
  <c r="AV728" i="1"/>
  <c r="AC728" i="1"/>
  <c r="N27" i="3" l="1"/>
  <c r="N28" i="3" s="1"/>
  <c r="I34" i="3"/>
  <c r="O729" i="1"/>
  <c r="AV729" i="1"/>
  <c r="J730" i="1"/>
  <c r="H730" i="1"/>
  <c r="AC729" i="1"/>
  <c r="O730" i="1" l="1"/>
  <c r="J731" i="1"/>
  <c r="H731" i="1"/>
  <c r="AV730" i="1"/>
  <c r="AC730" i="1"/>
  <c r="O731" i="1" l="1"/>
  <c r="J732" i="1"/>
  <c r="H732" i="1"/>
  <c r="AV731" i="1"/>
  <c r="AC731" i="1"/>
  <c r="AA686" i="3"/>
  <c r="AA684" i="3"/>
  <c r="AA685" i="3"/>
  <c r="AA683" i="3"/>
  <c r="J733" i="1" l="1"/>
  <c r="H733" i="1"/>
  <c r="O732" i="1"/>
  <c r="AV732" i="1"/>
  <c r="AC732" i="1"/>
  <c r="AV733" i="1" l="1"/>
  <c r="J734" i="1"/>
  <c r="H734" i="1"/>
  <c r="O733" i="1"/>
  <c r="AC733" i="1"/>
  <c r="J735" i="1" l="1"/>
  <c r="H735" i="1"/>
  <c r="O734" i="1"/>
  <c r="AV734" i="1"/>
  <c r="AC734" i="1"/>
  <c r="AA688" i="3"/>
  <c r="AA689" i="3"/>
  <c r="AA687" i="3"/>
  <c r="AV735" i="1" l="1"/>
  <c r="H736" i="1"/>
  <c r="J736" i="1"/>
  <c r="O735" i="1"/>
  <c r="AC735" i="1"/>
  <c r="O736" i="1" l="1"/>
  <c r="J737" i="1"/>
  <c r="H737" i="1"/>
  <c r="AV736" i="1"/>
  <c r="AC736" i="1"/>
  <c r="O737" i="1" l="1"/>
  <c r="J738" i="1"/>
  <c r="H738" i="1"/>
  <c r="AV737" i="1"/>
  <c r="AC737" i="1"/>
  <c r="AA690" i="3"/>
  <c r="AV738" i="1" l="1"/>
  <c r="O738" i="1"/>
  <c r="AC738" i="1"/>
  <c r="AA692" i="3"/>
  <c r="AA693" i="3"/>
  <c r="AF21" i="2" l="1"/>
  <c r="I32" i="3"/>
  <c r="I36" i="3" l="1"/>
  <c r="W695" i="3" s="1"/>
  <c r="AA695" i="3" s="1"/>
  <c r="L35" i="3"/>
  <c r="I28" i="3"/>
  <c r="L32" i="3"/>
  <c r="L34" i="3"/>
  <c r="AA694" i="3" l="1"/>
  <c r="L36" i="3"/>
  <c r="Y350" i="3" l="1"/>
  <c r="Y12" i="3"/>
  <c r="Y244" i="3"/>
  <c r="Y121" i="3"/>
  <c r="Y214" i="3"/>
</calcChain>
</file>

<file path=xl/sharedStrings.xml><?xml version="1.0" encoding="utf-8"?>
<sst xmlns="http://schemas.openxmlformats.org/spreadsheetml/2006/main" count="395" uniqueCount="190">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</sst>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0" fillId="12" borderId="0" xfId="0" applyFont="1" applyFill="1" applyAlignment="1">
      <alignment horizontal="left"/>
    </xf>
    <xf numFmtId="164" fontId="2" fillId="12" borderId="1" xfId="0" applyNumberFormat="1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2" fillId="12" borderId="0" xfId="0" applyFont="1" applyFill="1" applyAlignment="1">
      <alignment horizontal="center" wrapText="1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Table'!$BA$850:$BA$854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Table'!$AS$855:$AT$860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Table'!$BA$855:$BA$860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Table'!$BC$850:$BC$854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Table'!$AS$855:$AT$860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Table'!$BC$855:$BC$860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Table'!$BJ$850:$BJ$854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Table'!$AS$855:$AT$860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Table'!$BJ$855:$BJ$859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Table'!$BK$850:$BK$854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Table'!$AS$855:$AT$860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Table'!$BK$855:$BK$859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Table'!$BL$850:$BL$854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Table'!$AS$855:$AT$860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Table'!$BL$855:$BL$859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Table'!$BM$850:$BM$854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Table'!$AS$855:$AT$860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Table'!$BM$855:$BM$859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Table'!$BP$850:$BP$854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Table'!$AS$855:$AT$860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Table'!$BP$855:$BP$860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Table'!$AU$850:$AU$854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Table'!$AU$855:$AU$860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Table'!$AV$850:$AV$854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Table'!$AV$855:$AV$859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Table'!$AW$850:$AW$854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Table'!$AW$855:$AW$859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Table'!$AX$850:$AX$854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Table'!$AX$855:$AX$859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Table'!$AY$850:$AY$854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Table'!$AY$855:$AY$859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Table'!$AZ$850:$AZ$854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Table'!$AZ$855:$AZ$859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Table'!$BB$850:$BB$854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Table'!$BB$855:$BB$859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Table'!$BD$850:$BD$854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Table'!$BD$855:$BD$859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Table'!$BE$850:$BE$854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Table'!$BE$855:$BE$859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Table'!$BF$850:$BF$854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Table'!$BF$855:$BF$859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Table'!$BG$850:$BG$854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Table'!$BG$855:$BG$859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Table'!$BH$850:$BH$854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Table'!$BH$855:$BH$859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Table'!$BI$850:$BI$854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Table'!$BI$855:$BI$859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Table'!$BN$850:$BN$854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Table'!$BN$855:$BN$859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Table'!$BO$850:$BO$854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Table'!$BO$855:$BO$859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Table'!$BQ$850:$BQ$854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Table'!$BQ$855:$BQ$859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Table'!$BR$850:$BR$854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Table'!$BR$855:$BR$859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Table'!$BS$850:$BS$854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Table'!$BS$855:$BS$859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Table'!$BT$850:$BT$854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Table'!$BR$855:$BR$860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Table'!$BU$850:$BU$854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Table'!$BU$855:$BU$859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Table'!$BV$850:$BV$854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Table'!$AS$855:$AT$860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Table'!$BV$855:$BV$859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759</xdr:row>
      <xdr:rowOff>99060</xdr:rowOff>
    </xdr:from>
    <xdr:to>
      <xdr:col>22</xdr:col>
      <xdr:colOff>312420</xdr:colOff>
      <xdr:row>760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759</xdr:row>
      <xdr:rowOff>129540</xdr:rowOff>
    </xdr:from>
    <xdr:to>
      <xdr:col>23</xdr:col>
      <xdr:colOff>68580</xdr:colOff>
      <xdr:row>760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777</xdr:row>
      <xdr:rowOff>125730</xdr:rowOff>
    </xdr:from>
    <xdr:to>
      <xdr:col>54</xdr:col>
      <xdr:colOff>213360</xdr:colOff>
      <xdr:row>792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867</xdr:row>
      <xdr:rowOff>91440</xdr:rowOff>
    </xdr:from>
    <xdr:to>
      <xdr:col>76</xdr:col>
      <xdr:colOff>472440</xdr:colOff>
      <xdr:row>890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871</xdr:row>
      <xdr:rowOff>60960</xdr:rowOff>
    </xdr:from>
    <xdr:to>
      <xdr:col>76</xdr:col>
      <xdr:colOff>60960</xdr:colOff>
      <xdr:row>871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726</xdr:row>
      <xdr:rowOff>0</xdr:rowOff>
    </xdr:from>
    <xdr:to>
      <xdr:col>64</xdr:col>
      <xdr:colOff>83820</xdr:colOff>
      <xdr:row>726</xdr:row>
      <xdr:rowOff>114300</xdr:rowOff>
    </xdr:to>
    <xdr:sp macro="" textlink="">
      <xdr:nvSpPr>
        <xdr:cNvPr id="5238" name="Arrow: Down 5237">
          <a:extLst>
            <a:ext uri="{FF2B5EF4-FFF2-40B4-BE49-F238E27FC236}">
              <a16:creationId xmlns:a16="http://schemas.microsoft.com/office/drawing/2014/main" id="{AC49F437-BE98-40C3-B018-4872EC4E7041}"/>
            </a:ext>
          </a:extLst>
        </xdr:cNvPr>
        <xdr:cNvSpPr/>
      </xdr:nvSpPr>
      <xdr:spPr>
        <a:xfrm rot="10800000">
          <a:off x="19347180" y="13268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726</xdr:row>
      <xdr:rowOff>0</xdr:rowOff>
    </xdr:from>
    <xdr:to>
      <xdr:col>45</xdr:col>
      <xdr:colOff>83820</xdr:colOff>
      <xdr:row>726</xdr:row>
      <xdr:rowOff>114300</xdr:rowOff>
    </xdr:to>
    <xdr:sp macro="" textlink="">
      <xdr:nvSpPr>
        <xdr:cNvPr id="5243" name="Arrow: Down 5242">
          <a:extLst>
            <a:ext uri="{FF2B5EF4-FFF2-40B4-BE49-F238E27FC236}">
              <a16:creationId xmlns:a16="http://schemas.microsoft.com/office/drawing/2014/main" id="{BB11A2D8-5996-40F0-AA73-EEF3B16DAA52}"/>
            </a:ext>
          </a:extLst>
        </xdr:cNvPr>
        <xdr:cNvSpPr/>
      </xdr:nvSpPr>
      <xdr:spPr>
        <a:xfrm rot="10800000">
          <a:off x="13403580" y="13268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726</xdr:row>
      <xdr:rowOff>0</xdr:rowOff>
    </xdr:from>
    <xdr:to>
      <xdr:col>71</xdr:col>
      <xdr:colOff>83820</xdr:colOff>
      <xdr:row>726</xdr:row>
      <xdr:rowOff>114300</xdr:rowOff>
    </xdr:to>
    <xdr:sp macro="" textlink="">
      <xdr:nvSpPr>
        <xdr:cNvPr id="5262" name="Arrow: Down 5261">
          <a:extLst>
            <a:ext uri="{FF2B5EF4-FFF2-40B4-BE49-F238E27FC236}">
              <a16:creationId xmlns:a16="http://schemas.microsoft.com/office/drawing/2014/main" id="{53F9EB9E-C364-4543-83E3-E56584DC8E10}"/>
            </a:ext>
          </a:extLst>
        </xdr:cNvPr>
        <xdr:cNvSpPr/>
      </xdr:nvSpPr>
      <xdr:spPr>
        <a:xfrm>
          <a:off x="2196084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726</xdr:row>
      <xdr:rowOff>0</xdr:rowOff>
    </xdr:from>
    <xdr:to>
      <xdr:col>60</xdr:col>
      <xdr:colOff>83820</xdr:colOff>
      <xdr:row>726</xdr:row>
      <xdr:rowOff>114300</xdr:rowOff>
    </xdr:to>
    <xdr:sp macro="" textlink="">
      <xdr:nvSpPr>
        <xdr:cNvPr id="5333" name="Arrow: Down 5332">
          <a:extLst>
            <a:ext uri="{FF2B5EF4-FFF2-40B4-BE49-F238E27FC236}">
              <a16:creationId xmlns:a16="http://schemas.microsoft.com/office/drawing/2014/main" id="{CE5B0EBC-4D2E-4F3B-9342-FBF848F47D7B}"/>
            </a:ext>
          </a:extLst>
        </xdr:cNvPr>
        <xdr:cNvSpPr/>
      </xdr:nvSpPr>
      <xdr:spPr>
        <a:xfrm>
          <a:off x="1908048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726</xdr:row>
      <xdr:rowOff>0</xdr:rowOff>
    </xdr:from>
    <xdr:to>
      <xdr:col>5</xdr:col>
      <xdr:colOff>83820</xdr:colOff>
      <xdr:row>726</xdr:row>
      <xdr:rowOff>114300</xdr:rowOff>
    </xdr:to>
    <xdr:sp macro="" textlink="">
      <xdr:nvSpPr>
        <xdr:cNvPr id="5339" name="Arrow: Down 5338">
          <a:extLst>
            <a:ext uri="{FF2B5EF4-FFF2-40B4-BE49-F238E27FC236}">
              <a16:creationId xmlns:a16="http://schemas.microsoft.com/office/drawing/2014/main" id="{00A5CF44-3EEC-4029-9E33-BBFF99BBC7BC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83820</xdr:colOff>
      <xdr:row>726</xdr:row>
      <xdr:rowOff>114300</xdr:rowOff>
    </xdr:to>
    <xdr:sp macro="" textlink="">
      <xdr:nvSpPr>
        <xdr:cNvPr id="5343" name="Arrow: Down 5342">
          <a:extLst>
            <a:ext uri="{FF2B5EF4-FFF2-40B4-BE49-F238E27FC236}">
              <a16:creationId xmlns:a16="http://schemas.microsoft.com/office/drawing/2014/main" id="{0436979E-3D3C-438D-9523-592692127978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726</xdr:row>
      <xdr:rowOff>0</xdr:rowOff>
    </xdr:from>
    <xdr:to>
      <xdr:col>24</xdr:col>
      <xdr:colOff>83820</xdr:colOff>
      <xdr:row>726</xdr:row>
      <xdr:rowOff>114300</xdr:rowOff>
    </xdr:to>
    <xdr:sp macro="" textlink="">
      <xdr:nvSpPr>
        <xdr:cNvPr id="5364" name="Arrow: Down 5363">
          <a:extLst>
            <a:ext uri="{FF2B5EF4-FFF2-40B4-BE49-F238E27FC236}">
              <a16:creationId xmlns:a16="http://schemas.microsoft.com/office/drawing/2014/main" id="{F1F7BAC4-245B-45C7-BB4C-F85705E0299E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726</xdr:row>
      <xdr:rowOff>0</xdr:rowOff>
    </xdr:from>
    <xdr:to>
      <xdr:col>39</xdr:col>
      <xdr:colOff>83820</xdr:colOff>
      <xdr:row>726</xdr:row>
      <xdr:rowOff>114300</xdr:rowOff>
    </xdr:to>
    <xdr:sp macro="" textlink="">
      <xdr:nvSpPr>
        <xdr:cNvPr id="5368" name="Arrow: Down 5367">
          <a:extLst>
            <a:ext uri="{FF2B5EF4-FFF2-40B4-BE49-F238E27FC236}">
              <a16:creationId xmlns:a16="http://schemas.microsoft.com/office/drawing/2014/main" id="{3EF17DB6-8A6F-4A98-AAAC-9FBFBE3E3EA1}"/>
            </a:ext>
          </a:extLst>
        </xdr:cNvPr>
        <xdr:cNvSpPr/>
      </xdr:nvSpPr>
      <xdr:spPr>
        <a:xfrm rot="10800000">
          <a:off x="1154430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727</xdr:row>
      <xdr:rowOff>0</xdr:rowOff>
    </xdr:from>
    <xdr:to>
      <xdr:col>64</xdr:col>
      <xdr:colOff>83820</xdr:colOff>
      <xdr:row>727</xdr:row>
      <xdr:rowOff>114300</xdr:rowOff>
    </xdr:to>
    <xdr:sp macro="" textlink="">
      <xdr:nvSpPr>
        <xdr:cNvPr id="5388" name="Arrow: Down 5387">
          <a:extLst>
            <a:ext uri="{FF2B5EF4-FFF2-40B4-BE49-F238E27FC236}">
              <a16:creationId xmlns:a16="http://schemas.microsoft.com/office/drawing/2014/main" id="{3A6A07DC-625B-4505-A871-C765372E9D31}"/>
            </a:ext>
          </a:extLst>
        </xdr:cNvPr>
        <xdr:cNvSpPr/>
      </xdr:nvSpPr>
      <xdr:spPr>
        <a:xfrm rot="10800000">
          <a:off x="19347180" y="132869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727</xdr:row>
      <xdr:rowOff>0</xdr:rowOff>
    </xdr:from>
    <xdr:to>
      <xdr:col>45</xdr:col>
      <xdr:colOff>83820</xdr:colOff>
      <xdr:row>727</xdr:row>
      <xdr:rowOff>114300</xdr:rowOff>
    </xdr:to>
    <xdr:sp macro="" textlink="">
      <xdr:nvSpPr>
        <xdr:cNvPr id="5392" name="Arrow: Down 5391">
          <a:extLst>
            <a:ext uri="{FF2B5EF4-FFF2-40B4-BE49-F238E27FC236}">
              <a16:creationId xmlns:a16="http://schemas.microsoft.com/office/drawing/2014/main" id="{2C5AD892-583B-4796-B1DC-BEE9E897B5A2}"/>
            </a:ext>
          </a:extLst>
        </xdr:cNvPr>
        <xdr:cNvSpPr/>
      </xdr:nvSpPr>
      <xdr:spPr>
        <a:xfrm rot="10800000">
          <a:off x="1340358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727</xdr:row>
      <xdr:rowOff>0</xdr:rowOff>
    </xdr:from>
    <xdr:to>
      <xdr:col>71</xdr:col>
      <xdr:colOff>83820</xdr:colOff>
      <xdr:row>727</xdr:row>
      <xdr:rowOff>114300</xdr:rowOff>
    </xdr:to>
    <xdr:sp macro="" textlink="">
      <xdr:nvSpPr>
        <xdr:cNvPr id="5393" name="Arrow: Down 5392">
          <a:extLst>
            <a:ext uri="{FF2B5EF4-FFF2-40B4-BE49-F238E27FC236}">
              <a16:creationId xmlns:a16="http://schemas.microsoft.com/office/drawing/2014/main" id="{813DB54F-3E45-43BC-8B69-F7DA718D415B}"/>
            </a:ext>
          </a:extLst>
        </xdr:cNvPr>
        <xdr:cNvSpPr/>
      </xdr:nvSpPr>
      <xdr:spPr>
        <a:xfrm>
          <a:off x="21960840" y="1328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727</xdr:row>
      <xdr:rowOff>0</xdr:rowOff>
    </xdr:from>
    <xdr:to>
      <xdr:col>5</xdr:col>
      <xdr:colOff>83820</xdr:colOff>
      <xdr:row>727</xdr:row>
      <xdr:rowOff>114300</xdr:rowOff>
    </xdr:to>
    <xdr:sp macro="" textlink="">
      <xdr:nvSpPr>
        <xdr:cNvPr id="5406" name="Arrow: Down 5405">
          <a:extLst>
            <a:ext uri="{FF2B5EF4-FFF2-40B4-BE49-F238E27FC236}">
              <a16:creationId xmlns:a16="http://schemas.microsoft.com/office/drawing/2014/main" id="{F58D00F0-3C02-47AC-B22B-CAFF95E4237B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83820</xdr:colOff>
      <xdr:row>727</xdr:row>
      <xdr:rowOff>114300</xdr:rowOff>
    </xdr:to>
    <xdr:sp macro="" textlink="">
      <xdr:nvSpPr>
        <xdr:cNvPr id="5408" name="Arrow: Down 5407">
          <a:extLst>
            <a:ext uri="{FF2B5EF4-FFF2-40B4-BE49-F238E27FC236}">
              <a16:creationId xmlns:a16="http://schemas.microsoft.com/office/drawing/2014/main" id="{17E4F157-D252-4B4E-96DD-61C73400E14D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727</xdr:row>
      <xdr:rowOff>0</xdr:rowOff>
    </xdr:from>
    <xdr:to>
      <xdr:col>24</xdr:col>
      <xdr:colOff>83820</xdr:colOff>
      <xdr:row>727</xdr:row>
      <xdr:rowOff>114300</xdr:rowOff>
    </xdr:to>
    <xdr:sp macro="" textlink="">
      <xdr:nvSpPr>
        <xdr:cNvPr id="5411" name="Arrow: Down 5410">
          <a:extLst>
            <a:ext uri="{FF2B5EF4-FFF2-40B4-BE49-F238E27FC236}">
              <a16:creationId xmlns:a16="http://schemas.microsoft.com/office/drawing/2014/main" id="{9A080D6C-B0AB-4C3C-AD87-0D74B81A484F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727</xdr:row>
      <xdr:rowOff>0</xdr:rowOff>
    </xdr:from>
    <xdr:to>
      <xdr:col>39</xdr:col>
      <xdr:colOff>83820</xdr:colOff>
      <xdr:row>727</xdr:row>
      <xdr:rowOff>114300</xdr:rowOff>
    </xdr:to>
    <xdr:sp macro="" textlink="">
      <xdr:nvSpPr>
        <xdr:cNvPr id="5421" name="Arrow: Down 5420">
          <a:extLst>
            <a:ext uri="{FF2B5EF4-FFF2-40B4-BE49-F238E27FC236}">
              <a16:creationId xmlns:a16="http://schemas.microsoft.com/office/drawing/2014/main" id="{2736B6A2-D6CF-4405-9F51-76D6170FC5BB}"/>
            </a:ext>
          </a:extLst>
        </xdr:cNvPr>
        <xdr:cNvSpPr/>
      </xdr:nvSpPr>
      <xdr:spPr>
        <a:xfrm rot="10800000">
          <a:off x="115443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727</xdr:row>
      <xdr:rowOff>0</xdr:rowOff>
    </xdr:from>
    <xdr:to>
      <xdr:col>60</xdr:col>
      <xdr:colOff>83820</xdr:colOff>
      <xdr:row>727</xdr:row>
      <xdr:rowOff>114300</xdr:rowOff>
    </xdr:to>
    <xdr:sp macro="" textlink="">
      <xdr:nvSpPr>
        <xdr:cNvPr id="5432" name="Arrow: Down 5431">
          <a:extLst>
            <a:ext uri="{FF2B5EF4-FFF2-40B4-BE49-F238E27FC236}">
              <a16:creationId xmlns:a16="http://schemas.microsoft.com/office/drawing/2014/main" id="{B96555C5-E3A2-45DD-AAC2-B9D80CB68974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728</xdr:row>
      <xdr:rowOff>0</xdr:rowOff>
    </xdr:from>
    <xdr:to>
      <xdr:col>64</xdr:col>
      <xdr:colOff>83820</xdr:colOff>
      <xdr:row>728</xdr:row>
      <xdr:rowOff>114300</xdr:rowOff>
    </xdr:to>
    <xdr:sp macro="" textlink="">
      <xdr:nvSpPr>
        <xdr:cNvPr id="5442" name="Arrow: Down 5441">
          <a:extLst>
            <a:ext uri="{FF2B5EF4-FFF2-40B4-BE49-F238E27FC236}">
              <a16:creationId xmlns:a16="http://schemas.microsoft.com/office/drawing/2014/main" id="{5488973B-22B3-4E26-8F12-B5F4855783FF}"/>
            </a:ext>
          </a:extLst>
        </xdr:cNvPr>
        <xdr:cNvSpPr/>
      </xdr:nvSpPr>
      <xdr:spPr>
        <a:xfrm rot="10800000">
          <a:off x="19347180" y="133052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728</xdr:row>
      <xdr:rowOff>0</xdr:rowOff>
    </xdr:from>
    <xdr:to>
      <xdr:col>45</xdr:col>
      <xdr:colOff>83820</xdr:colOff>
      <xdr:row>728</xdr:row>
      <xdr:rowOff>114300</xdr:rowOff>
    </xdr:to>
    <xdr:sp macro="" textlink="">
      <xdr:nvSpPr>
        <xdr:cNvPr id="5448" name="Arrow: Down 5447">
          <a:extLst>
            <a:ext uri="{FF2B5EF4-FFF2-40B4-BE49-F238E27FC236}">
              <a16:creationId xmlns:a16="http://schemas.microsoft.com/office/drawing/2014/main" id="{8334ECA0-E0EC-49D4-B0BD-C083B35D4E5B}"/>
            </a:ext>
          </a:extLst>
        </xdr:cNvPr>
        <xdr:cNvSpPr/>
      </xdr:nvSpPr>
      <xdr:spPr>
        <a:xfrm rot="10800000">
          <a:off x="13403580" y="133052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728</xdr:row>
      <xdr:rowOff>0</xdr:rowOff>
    </xdr:from>
    <xdr:to>
      <xdr:col>71</xdr:col>
      <xdr:colOff>83820</xdr:colOff>
      <xdr:row>728</xdr:row>
      <xdr:rowOff>114300</xdr:rowOff>
    </xdr:to>
    <xdr:sp macro="" textlink="">
      <xdr:nvSpPr>
        <xdr:cNvPr id="5450" name="Arrow: Down 5449">
          <a:extLst>
            <a:ext uri="{FF2B5EF4-FFF2-40B4-BE49-F238E27FC236}">
              <a16:creationId xmlns:a16="http://schemas.microsoft.com/office/drawing/2014/main" id="{86B69BAF-D978-4C47-AFBF-1845ED7C0BEB}"/>
            </a:ext>
          </a:extLst>
        </xdr:cNvPr>
        <xdr:cNvSpPr/>
      </xdr:nvSpPr>
      <xdr:spPr>
        <a:xfrm>
          <a:off x="21960840" y="1330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728</xdr:row>
      <xdr:rowOff>0</xdr:rowOff>
    </xdr:from>
    <xdr:to>
      <xdr:col>5</xdr:col>
      <xdr:colOff>83820</xdr:colOff>
      <xdr:row>728</xdr:row>
      <xdr:rowOff>114300</xdr:rowOff>
    </xdr:to>
    <xdr:sp macro="" textlink="">
      <xdr:nvSpPr>
        <xdr:cNvPr id="5452" name="Arrow: Down 5451">
          <a:extLst>
            <a:ext uri="{FF2B5EF4-FFF2-40B4-BE49-F238E27FC236}">
              <a16:creationId xmlns:a16="http://schemas.microsoft.com/office/drawing/2014/main" id="{E8AC3B03-1858-42F1-8AA9-7E1379CB41A1}"/>
            </a:ext>
          </a:extLst>
        </xdr:cNvPr>
        <xdr:cNvSpPr/>
      </xdr:nvSpPr>
      <xdr:spPr>
        <a:xfrm rot="10800000">
          <a:off x="192786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83820</xdr:colOff>
      <xdr:row>728</xdr:row>
      <xdr:rowOff>114300</xdr:rowOff>
    </xdr:to>
    <xdr:sp macro="" textlink="">
      <xdr:nvSpPr>
        <xdr:cNvPr id="5453" name="Arrow: Down 5452">
          <a:extLst>
            <a:ext uri="{FF2B5EF4-FFF2-40B4-BE49-F238E27FC236}">
              <a16:creationId xmlns:a16="http://schemas.microsoft.com/office/drawing/2014/main" id="{647376F1-F3C3-44CE-8ED3-87301B8731D3}"/>
            </a:ext>
          </a:extLst>
        </xdr:cNvPr>
        <xdr:cNvSpPr/>
      </xdr:nvSpPr>
      <xdr:spPr>
        <a:xfrm rot="10800000">
          <a:off x="36957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728</xdr:row>
      <xdr:rowOff>0</xdr:rowOff>
    </xdr:from>
    <xdr:to>
      <xdr:col>24</xdr:col>
      <xdr:colOff>83820</xdr:colOff>
      <xdr:row>728</xdr:row>
      <xdr:rowOff>114300</xdr:rowOff>
    </xdr:to>
    <xdr:sp macro="" textlink="">
      <xdr:nvSpPr>
        <xdr:cNvPr id="5454" name="Arrow: Down 5453">
          <a:extLst>
            <a:ext uri="{FF2B5EF4-FFF2-40B4-BE49-F238E27FC236}">
              <a16:creationId xmlns:a16="http://schemas.microsoft.com/office/drawing/2014/main" id="{F071735D-A629-40BD-837D-E6CB7C9755D0}"/>
            </a:ext>
          </a:extLst>
        </xdr:cNvPr>
        <xdr:cNvSpPr/>
      </xdr:nvSpPr>
      <xdr:spPr>
        <a:xfrm rot="10800000">
          <a:off x="83362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728</xdr:row>
      <xdr:rowOff>0</xdr:rowOff>
    </xdr:from>
    <xdr:to>
      <xdr:col>60</xdr:col>
      <xdr:colOff>83820</xdr:colOff>
      <xdr:row>728</xdr:row>
      <xdr:rowOff>114300</xdr:rowOff>
    </xdr:to>
    <xdr:sp macro="" textlink="">
      <xdr:nvSpPr>
        <xdr:cNvPr id="5456" name="Arrow: Down 5455">
          <a:extLst>
            <a:ext uri="{FF2B5EF4-FFF2-40B4-BE49-F238E27FC236}">
              <a16:creationId xmlns:a16="http://schemas.microsoft.com/office/drawing/2014/main" id="{F594E1FA-BE87-49A6-9658-C17EE3C6BBE2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728</xdr:row>
      <xdr:rowOff>0</xdr:rowOff>
    </xdr:from>
    <xdr:to>
      <xdr:col>39</xdr:col>
      <xdr:colOff>83820</xdr:colOff>
      <xdr:row>728</xdr:row>
      <xdr:rowOff>114300</xdr:rowOff>
    </xdr:to>
    <xdr:sp macro="" textlink="">
      <xdr:nvSpPr>
        <xdr:cNvPr id="5471" name="Arrow: Down 5470">
          <a:extLst>
            <a:ext uri="{FF2B5EF4-FFF2-40B4-BE49-F238E27FC236}">
              <a16:creationId xmlns:a16="http://schemas.microsoft.com/office/drawing/2014/main" id="{981EE3D8-C135-4EAB-8135-D7AA3156E59F}"/>
            </a:ext>
          </a:extLst>
        </xdr:cNvPr>
        <xdr:cNvSpPr/>
      </xdr:nvSpPr>
      <xdr:spPr>
        <a:xfrm rot="10800000">
          <a:off x="1154430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729</xdr:row>
      <xdr:rowOff>0</xdr:rowOff>
    </xdr:from>
    <xdr:to>
      <xdr:col>64</xdr:col>
      <xdr:colOff>83820</xdr:colOff>
      <xdr:row>729</xdr:row>
      <xdr:rowOff>114300</xdr:rowOff>
    </xdr:to>
    <xdr:sp macro="" textlink="">
      <xdr:nvSpPr>
        <xdr:cNvPr id="5332" name="Arrow: Down 5331">
          <a:extLst>
            <a:ext uri="{FF2B5EF4-FFF2-40B4-BE49-F238E27FC236}">
              <a16:creationId xmlns:a16="http://schemas.microsoft.com/office/drawing/2014/main" id="{7CB9EFC5-2E7E-4E82-8756-48F23C01565A}"/>
            </a:ext>
          </a:extLst>
        </xdr:cNvPr>
        <xdr:cNvSpPr/>
      </xdr:nvSpPr>
      <xdr:spPr>
        <a:xfrm rot="10800000">
          <a:off x="19347180" y="13323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729</xdr:row>
      <xdr:rowOff>0</xdr:rowOff>
    </xdr:from>
    <xdr:to>
      <xdr:col>45</xdr:col>
      <xdr:colOff>83820</xdr:colOff>
      <xdr:row>729</xdr:row>
      <xdr:rowOff>114300</xdr:rowOff>
    </xdr:to>
    <xdr:sp macro="" textlink="">
      <xdr:nvSpPr>
        <xdr:cNvPr id="5335" name="Arrow: Down 5334">
          <a:extLst>
            <a:ext uri="{FF2B5EF4-FFF2-40B4-BE49-F238E27FC236}">
              <a16:creationId xmlns:a16="http://schemas.microsoft.com/office/drawing/2014/main" id="{A27D2529-9D08-4588-A38D-9759E03A9DD7}"/>
            </a:ext>
          </a:extLst>
        </xdr:cNvPr>
        <xdr:cNvSpPr/>
      </xdr:nvSpPr>
      <xdr:spPr>
        <a:xfrm rot="10800000">
          <a:off x="1340358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729</xdr:row>
      <xdr:rowOff>0</xdr:rowOff>
    </xdr:from>
    <xdr:to>
      <xdr:col>71</xdr:col>
      <xdr:colOff>83820</xdr:colOff>
      <xdr:row>729</xdr:row>
      <xdr:rowOff>114300</xdr:rowOff>
    </xdr:to>
    <xdr:sp macro="" textlink="">
      <xdr:nvSpPr>
        <xdr:cNvPr id="5337" name="Arrow: Down 5336">
          <a:extLst>
            <a:ext uri="{FF2B5EF4-FFF2-40B4-BE49-F238E27FC236}">
              <a16:creationId xmlns:a16="http://schemas.microsoft.com/office/drawing/2014/main" id="{83E09672-FA6E-490F-9095-91D939AEC01A}"/>
            </a:ext>
          </a:extLst>
        </xdr:cNvPr>
        <xdr:cNvSpPr/>
      </xdr:nvSpPr>
      <xdr:spPr>
        <a:xfrm>
          <a:off x="21960840" y="1332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729</xdr:row>
      <xdr:rowOff>0</xdr:rowOff>
    </xdr:from>
    <xdr:to>
      <xdr:col>60</xdr:col>
      <xdr:colOff>83820</xdr:colOff>
      <xdr:row>729</xdr:row>
      <xdr:rowOff>114300</xdr:rowOff>
    </xdr:to>
    <xdr:sp macro="" textlink="">
      <xdr:nvSpPr>
        <xdr:cNvPr id="5369" name="Arrow: Down 5368">
          <a:extLst>
            <a:ext uri="{FF2B5EF4-FFF2-40B4-BE49-F238E27FC236}">
              <a16:creationId xmlns:a16="http://schemas.microsoft.com/office/drawing/2014/main" id="{50138F44-A1FE-4C7B-AC12-990860FADA1C}"/>
            </a:ext>
          </a:extLst>
        </xdr:cNvPr>
        <xdr:cNvSpPr/>
      </xdr:nvSpPr>
      <xdr:spPr>
        <a:xfrm rot="10800000">
          <a:off x="19080480" y="1332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729</xdr:row>
      <xdr:rowOff>0</xdr:rowOff>
    </xdr:from>
    <xdr:to>
      <xdr:col>39</xdr:col>
      <xdr:colOff>83820</xdr:colOff>
      <xdr:row>729</xdr:row>
      <xdr:rowOff>114300</xdr:rowOff>
    </xdr:to>
    <xdr:sp macro="" textlink="">
      <xdr:nvSpPr>
        <xdr:cNvPr id="5377" name="Arrow: Down 5376">
          <a:extLst>
            <a:ext uri="{FF2B5EF4-FFF2-40B4-BE49-F238E27FC236}">
              <a16:creationId xmlns:a16="http://schemas.microsoft.com/office/drawing/2014/main" id="{B77B8212-7F1C-4892-A551-4E562BC3BDCA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729</xdr:row>
      <xdr:rowOff>0</xdr:rowOff>
    </xdr:from>
    <xdr:to>
      <xdr:col>24</xdr:col>
      <xdr:colOff>83820</xdr:colOff>
      <xdr:row>729</xdr:row>
      <xdr:rowOff>114300</xdr:rowOff>
    </xdr:to>
    <xdr:sp macro="" textlink="">
      <xdr:nvSpPr>
        <xdr:cNvPr id="5381" name="Arrow: Down 5380">
          <a:extLst>
            <a:ext uri="{FF2B5EF4-FFF2-40B4-BE49-F238E27FC236}">
              <a16:creationId xmlns:a16="http://schemas.microsoft.com/office/drawing/2014/main" id="{89673673-34DE-4D2A-8C2F-CBDB8C82898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83820</xdr:colOff>
      <xdr:row>729</xdr:row>
      <xdr:rowOff>114300</xdr:rowOff>
    </xdr:to>
    <xdr:sp macro="" textlink="">
      <xdr:nvSpPr>
        <xdr:cNvPr id="5384" name="Arrow: Down 5383">
          <a:extLst>
            <a:ext uri="{FF2B5EF4-FFF2-40B4-BE49-F238E27FC236}">
              <a16:creationId xmlns:a16="http://schemas.microsoft.com/office/drawing/2014/main" id="{293176DB-3CAB-409B-B5D9-2785F95B6F46}"/>
            </a:ext>
          </a:extLst>
        </xdr:cNvPr>
        <xdr:cNvSpPr/>
      </xdr:nvSpPr>
      <xdr:spPr>
        <a:xfrm>
          <a:off x="369570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729</xdr:row>
      <xdr:rowOff>0</xdr:rowOff>
    </xdr:from>
    <xdr:to>
      <xdr:col>5</xdr:col>
      <xdr:colOff>83820</xdr:colOff>
      <xdr:row>729</xdr:row>
      <xdr:rowOff>114300</xdr:rowOff>
    </xdr:to>
    <xdr:sp macro="" textlink="">
      <xdr:nvSpPr>
        <xdr:cNvPr id="5418" name="Arrow: Down 5417">
          <a:extLst>
            <a:ext uri="{FF2B5EF4-FFF2-40B4-BE49-F238E27FC236}">
              <a16:creationId xmlns:a16="http://schemas.microsoft.com/office/drawing/2014/main" id="{E1625671-F6DD-4F61-B268-21FE96A4A917}"/>
            </a:ext>
          </a:extLst>
        </xdr:cNvPr>
        <xdr:cNvSpPr/>
      </xdr:nvSpPr>
      <xdr:spPr>
        <a:xfrm>
          <a:off x="192786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730</xdr:row>
      <xdr:rowOff>0</xdr:rowOff>
    </xdr:from>
    <xdr:to>
      <xdr:col>64</xdr:col>
      <xdr:colOff>83820</xdr:colOff>
      <xdr:row>730</xdr:row>
      <xdr:rowOff>114300</xdr:rowOff>
    </xdr:to>
    <xdr:sp macro="" textlink="">
      <xdr:nvSpPr>
        <xdr:cNvPr id="5491" name="Arrow: Down 5490">
          <a:extLst>
            <a:ext uri="{FF2B5EF4-FFF2-40B4-BE49-F238E27FC236}">
              <a16:creationId xmlns:a16="http://schemas.microsoft.com/office/drawing/2014/main" id="{941BFF56-6627-4598-AF20-ED0825F621C9}"/>
            </a:ext>
          </a:extLst>
        </xdr:cNvPr>
        <xdr:cNvSpPr/>
      </xdr:nvSpPr>
      <xdr:spPr>
        <a:xfrm rot="10800000">
          <a:off x="19347180" y="133418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730</xdr:row>
      <xdr:rowOff>0</xdr:rowOff>
    </xdr:from>
    <xdr:to>
      <xdr:col>45</xdr:col>
      <xdr:colOff>83820</xdr:colOff>
      <xdr:row>730</xdr:row>
      <xdr:rowOff>114300</xdr:rowOff>
    </xdr:to>
    <xdr:sp macro="" textlink="">
      <xdr:nvSpPr>
        <xdr:cNvPr id="5492" name="Arrow: Down 5491">
          <a:extLst>
            <a:ext uri="{FF2B5EF4-FFF2-40B4-BE49-F238E27FC236}">
              <a16:creationId xmlns:a16="http://schemas.microsoft.com/office/drawing/2014/main" id="{BD51C82E-7D64-4687-AAFA-AE791D873321}"/>
            </a:ext>
          </a:extLst>
        </xdr:cNvPr>
        <xdr:cNvSpPr/>
      </xdr:nvSpPr>
      <xdr:spPr>
        <a:xfrm rot="10800000">
          <a:off x="13403580" y="133418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730</xdr:row>
      <xdr:rowOff>0</xdr:rowOff>
    </xdr:from>
    <xdr:to>
      <xdr:col>71</xdr:col>
      <xdr:colOff>83820</xdr:colOff>
      <xdr:row>730</xdr:row>
      <xdr:rowOff>114300</xdr:rowOff>
    </xdr:to>
    <xdr:sp macro="" textlink="">
      <xdr:nvSpPr>
        <xdr:cNvPr id="5493" name="Arrow: Down 5492">
          <a:extLst>
            <a:ext uri="{FF2B5EF4-FFF2-40B4-BE49-F238E27FC236}">
              <a16:creationId xmlns:a16="http://schemas.microsoft.com/office/drawing/2014/main" id="{E106D58F-1029-4B08-BAF5-8236B3FA2707}"/>
            </a:ext>
          </a:extLst>
        </xdr:cNvPr>
        <xdr:cNvSpPr/>
      </xdr:nvSpPr>
      <xdr:spPr>
        <a:xfrm>
          <a:off x="2196084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730</xdr:row>
      <xdr:rowOff>0</xdr:rowOff>
    </xdr:from>
    <xdr:to>
      <xdr:col>60</xdr:col>
      <xdr:colOff>83820</xdr:colOff>
      <xdr:row>730</xdr:row>
      <xdr:rowOff>114300</xdr:rowOff>
    </xdr:to>
    <xdr:sp macro="" textlink="">
      <xdr:nvSpPr>
        <xdr:cNvPr id="5495" name="Arrow: Down 5494">
          <a:extLst>
            <a:ext uri="{FF2B5EF4-FFF2-40B4-BE49-F238E27FC236}">
              <a16:creationId xmlns:a16="http://schemas.microsoft.com/office/drawing/2014/main" id="{2FAC3A3D-FB78-430C-816F-718A6D1A4D74}"/>
            </a:ext>
          </a:extLst>
        </xdr:cNvPr>
        <xdr:cNvSpPr/>
      </xdr:nvSpPr>
      <xdr:spPr>
        <a:xfrm rot="10800000">
          <a:off x="1908048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730</xdr:row>
      <xdr:rowOff>0</xdr:rowOff>
    </xdr:from>
    <xdr:to>
      <xdr:col>39</xdr:col>
      <xdr:colOff>83820</xdr:colOff>
      <xdr:row>730</xdr:row>
      <xdr:rowOff>114300</xdr:rowOff>
    </xdr:to>
    <xdr:sp macro="" textlink="">
      <xdr:nvSpPr>
        <xdr:cNvPr id="5496" name="Arrow: Down 5495">
          <a:extLst>
            <a:ext uri="{FF2B5EF4-FFF2-40B4-BE49-F238E27FC236}">
              <a16:creationId xmlns:a16="http://schemas.microsoft.com/office/drawing/2014/main" id="{B6EB5826-F07F-4A30-B61E-1BBFA2D9572E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730</xdr:row>
      <xdr:rowOff>0</xdr:rowOff>
    </xdr:from>
    <xdr:to>
      <xdr:col>24</xdr:col>
      <xdr:colOff>83820</xdr:colOff>
      <xdr:row>730</xdr:row>
      <xdr:rowOff>114300</xdr:rowOff>
    </xdr:to>
    <xdr:sp macro="" textlink="">
      <xdr:nvSpPr>
        <xdr:cNvPr id="5497" name="Arrow: Down 5496">
          <a:extLst>
            <a:ext uri="{FF2B5EF4-FFF2-40B4-BE49-F238E27FC236}">
              <a16:creationId xmlns:a16="http://schemas.microsoft.com/office/drawing/2014/main" id="{203E7C14-8128-49D2-811C-B0B29758847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83820</xdr:colOff>
      <xdr:row>730</xdr:row>
      <xdr:rowOff>114300</xdr:rowOff>
    </xdr:to>
    <xdr:sp macro="" textlink="">
      <xdr:nvSpPr>
        <xdr:cNvPr id="5505" name="Arrow: Down 5504">
          <a:extLst>
            <a:ext uri="{FF2B5EF4-FFF2-40B4-BE49-F238E27FC236}">
              <a16:creationId xmlns:a16="http://schemas.microsoft.com/office/drawing/2014/main" id="{11739E24-119F-4CEB-B1EB-78D08B7E6A21}"/>
            </a:ext>
          </a:extLst>
        </xdr:cNvPr>
        <xdr:cNvSpPr/>
      </xdr:nvSpPr>
      <xdr:spPr>
        <a:xfrm rot="10800000">
          <a:off x="369570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730</xdr:row>
      <xdr:rowOff>0</xdr:rowOff>
    </xdr:from>
    <xdr:to>
      <xdr:col>5</xdr:col>
      <xdr:colOff>83820</xdr:colOff>
      <xdr:row>730</xdr:row>
      <xdr:rowOff>114300</xdr:rowOff>
    </xdr:to>
    <xdr:sp macro="" textlink="">
      <xdr:nvSpPr>
        <xdr:cNvPr id="5507" name="Arrow: Down 5506">
          <a:extLst>
            <a:ext uri="{FF2B5EF4-FFF2-40B4-BE49-F238E27FC236}">
              <a16:creationId xmlns:a16="http://schemas.microsoft.com/office/drawing/2014/main" id="{A50EE8BB-5B78-4B42-A9CC-351E8583E6C4}"/>
            </a:ext>
          </a:extLst>
        </xdr:cNvPr>
        <xdr:cNvSpPr/>
      </xdr:nvSpPr>
      <xdr:spPr>
        <a:xfrm rot="10800000">
          <a:off x="192786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731</xdr:row>
      <xdr:rowOff>0</xdr:rowOff>
    </xdr:from>
    <xdr:to>
      <xdr:col>64</xdr:col>
      <xdr:colOff>83820</xdr:colOff>
      <xdr:row>731</xdr:row>
      <xdr:rowOff>114300</xdr:rowOff>
    </xdr:to>
    <xdr:sp macro="" textlink="">
      <xdr:nvSpPr>
        <xdr:cNvPr id="5521" name="Arrow: Down 5520">
          <a:extLst>
            <a:ext uri="{FF2B5EF4-FFF2-40B4-BE49-F238E27FC236}">
              <a16:creationId xmlns:a16="http://schemas.microsoft.com/office/drawing/2014/main" id="{B810A6B9-3F95-405B-9ADC-8FB4F9B08895}"/>
            </a:ext>
          </a:extLst>
        </xdr:cNvPr>
        <xdr:cNvSpPr/>
      </xdr:nvSpPr>
      <xdr:spPr>
        <a:xfrm rot="10800000">
          <a:off x="19347180" y="133601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731</xdr:row>
      <xdr:rowOff>0</xdr:rowOff>
    </xdr:from>
    <xdr:to>
      <xdr:col>45</xdr:col>
      <xdr:colOff>83820</xdr:colOff>
      <xdr:row>731</xdr:row>
      <xdr:rowOff>114300</xdr:rowOff>
    </xdr:to>
    <xdr:sp macro="" textlink="">
      <xdr:nvSpPr>
        <xdr:cNvPr id="5523" name="Arrow: Down 5522">
          <a:extLst>
            <a:ext uri="{FF2B5EF4-FFF2-40B4-BE49-F238E27FC236}">
              <a16:creationId xmlns:a16="http://schemas.microsoft.com/office/drawing/2014/main" id="{5DA145BD-FD7C-4FC2-B8F6-B4FBCC38F74E}"/>
            </a:ext>
          </a:extLst>
        </xdr:cNvPr>
        <xdr:cNvSpPr/>
      </xdr:nvSpPr>
      <xdr:spPr>
        <a:xfrm rot="10800000">
          <a:off x="13403580" y="133601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731</xdr:row>
      <xdr:rowOff>0</xdr:rowOff>
    </xdr:from>
    <xdr:to>
      <xdr:col>71</xdr:col>
      <xdr:colOff>83820</xdr:colOff>
      <xdr:row>731</xdr:row>
      <xdr:rowOff>114300</xdr:rowOff>
    </xdr:to>
    <xdr:sp macro="" textlink="">
      <xdr:nvSpPr>
        <xdr:cNvPr id="5526" name="Arrow: Down 5525">
          <a:extLst>
            <a:ext uri="{FF2B5EF4-FFF2-40B4-BE49-F238E27FC236}">
              <a16:creationId xmlns:a16="http://schemas.microsoft.com/office/drawing/2014/main" id="{097D8F61-F5D9-466D-9747-DC3C35356248}"/>
            </a:ext>
          </a:extLst>
        </xdr:cNvPr>
        <xdr:cNvSpPr/>
      </xdr:nvSpPr>
      <xdr:spPr>
        <a:xfrm>
          <a:off x="2196084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731</xdr:row>
      <xdr:rowOff>0</xdr:rowOff>
    </xdr:from>
    <xdr:to>
      <xdr:col>60</xdr:col>
      <xdr:colOff>83820</xdr:colOff>
      <xdr:row>731</xdr:row>
      <xdr:rowOff>114300</xdr:rowOff>
    </xdr:to>
    <xdr:sp macro="" textlink="">
      <xdr:nvSpPr>
        <xdr:cNvPr id="5527" name="Arrow: Down 5526">
          <a:extLst>
            <a:ext uri="{FF2B5EF4-FFF2-40B4-BE49-F238E27FC236}">
              <a16:creationId xmlns:a16="http://schemas.microsoft.com/office/drawing/2014/main" id="{EF5BEBFF-EB37-44FB-8314-4BB21219FE8C}"/>
            </a:ext>
          </a:extLst>
        </xdr:cNvPr>
        <xdr:cNvSpPr/>
      </xdr:nvSpPr>
      <xdr:spPr>
        <a:xfrm rot="10800000">
          <a:off x="1908048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731</xdr:row>
      <xdr:rowOff>0</xdr:rowOff>
    </xdr:from>
    <xdr:to>
      <xdr:col>24</xdr:col>
      <xdr:colOff>83820</xdr:colOff>
      <xdr:row>731</xdr:row>
      <xdr:rowOff>114300</xdr:rowOff>
    </xdr:to>
    <xdr:sp macro="" textlink="">
      <xdr:nvSpPr>
        <xdr:cNvPr id="5529" name="Arrow: Down 5528">
          <a:extLst>
            <a:ext uri="{FF2B5EF4-FFF2-40B4-BE49-F238E27FC236}">
              <a16:creationId xmlns:a16="http://schemas.microsoft.com/office/drawing/2014/main" id="{204B7C7D-D2F3-476E-8B0E-06189C8DE12A}"/>
            </a:ext>
          </a:extLst>
        </xdr:cNvPr>
        <xdr:cNvSpPr/>
      </xdr:nvSpPr>
      <xdr:spPr>
        <a:xfrm>
          <a:off x="833628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731</xdr:row>
      <xdr:rowOff>0</xdr:rowOff>
    </xdr:from>
    <xdr:to>
      <xdr:col>39</xdr:col>
      <xdr:colOff>83820</xdr:colOff>
      <xdr:row>731</xdr:row>
      <xdr:rowOff>114300</xdr:rowOff>
    </xdr:to>
    <xdr:sp macro="" textlink="">
      <xdr:nvSpPr>
        <xdr:cNvPr id="5533" name="Arrow: Down 5532">
          <a:extLst>
            <a:ext uri="{FF2B5EF4-FFF2-40B4-BE49-F238E27FC236}">
              <a16:creationId xmlns:a16="http://schemas.microsoft.com/office/drawing/2014/main" id="{07A23DB4-03BB-41CE-87C0-3B128FA051A5}"/>
            </a:ext>
          </a:extLst>
        </xdr:cNvPr>
        <xdr:cNvSpPr/>
      </xdr:nvSpPr>
      <xdr:spPr>
        <a:xfrm rot="10800000">
          <a:off x="1154430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731</xdr:row>
      <xdr:rowOff>0</xdr:rowOff>
    </xdr:from>
    <xdr:to>
      <xdr:col>5</xdr:col>
      <xdr:colOff>83820</xdr:colOff>
      <xdr:row>731</xdr:row>
      <xdr:rowOff>114300</xdr:rowOff>
    </xdr:to>
    <xdr:sp macro="" textlink="">
      <xdr:nvSpPr>
        <xdr:cNvPr id="5535" name="Arrow: Down 5534">
          <a:extLst>
            <a:ext uri="{FF2B5EF4-FFF2-40B4-BE49-F238E27FC236}">
              <a16:creationId xmlns:a16="http://schemas.microsoft.com/office/drawing/2014/main" id="{B0CBA4DE-BC5D-489C-A9AF-AB4042ABC547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83820</xdr:colOff>
      <xdr:row>731</xdr:row>
      <xdr:rowOff>114300</xdr:rowOff>
    </xdr:to>
    <xdr:sp macro="" textlink="">
      <xdr:nvSpPr>
        <xdr:cNvPr id="5537" name="Arrow: Down 5536">
          <a:extLst>
            <a:ext uri="{FF2B5EF4-FFF2-40B4-BE49-F238E27FC236}">
              <a16:creationId xmlns:a16="http://schemas.microsoft.com/office/drawing/2014/main" id="{B303D572-11FC-41D3-AB33-A8CEA197BD66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732</xdr:row>
      <xdr:rowOff>0</xdr:rowOff>
    </xdr:from>
    <xdr:to>
      <xdr:col>64</xdr:col>
      <xdr:colOff>83820</xdr:colOff>
      <xdr:row>732</xdr:row>
      <xdr:rowOff>114300</xdr:rowOff>
    </xdr:to>
    <xdr:sp macro="" textlink="">
      <xdr:nvSpPr>
        <xdr:cNvPr id="5551" name="Arrow: Down 5550">
          <a:extLst>
            <a:ext uri="{FF2B5EF4-FFF2-40B4-BE49-F238E27FC236}">
              <a16:creationId xmlns:a16="http://schemas.microsoft.com/office/drawing/2014/main" id="{7DCB7A09-4FB7-4A5E-9A53-5253508A7601}"/>
            </a:ext>
          </a:extLst>
        </xdr:cNvPr>
        <xdr:cNvSpPr/>
      </xdr:nvSpPr>
      <xdr:spPr>
        <a:xfrm rot="10800000">
          <a:off x="19347180" y="133784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732</xdr:row>
      <xdr:rowOff>0</xdr:rowOff>
    </xdr:from>
    <xdr:to>
      <xdr:col>45</xdr:col>
      <xdr:colOff>83820</xdr:colOff>
      <xdr:row>732</xdr:row>
      <xdr:rowOff>114300</xdr:rowOff>
    </xdr:to>
    <xdr:sp macro="" textlink="">
      <xdr:nvSpPr>
        <xdr:cNvPr id="5559" name="Arrow: Down 5558">
          <a:extLst>
            <a:ext uri="{FF2B5EF4-FFF2-40B4-BE49-F238E27FC236}">
              <a16:creationId xmlns:a16="http://schemas.microsoft.com/office/drawing/2014/main" id="{0AB1FC2D-A8CF-41C1-B05C-F8B9BE28C28D}"/>
            </a:ext>
          </a:extLst>
        </xdr:cNvPr>
        <xdr:cNvSpPr/>
      </xdr:nvSpPr>
      <xdr:spPr>
        <a:xfrm rot="10800000">
          <a:off x="1340358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732</xdr:row>
      <xdr:rowOff>0</xdr:rowOff>
    </xdr:from>
    <xdr:to>
      <xdr:col>71</xdr:col>
      <xdr:colOff>83820</xdr:colOff>
      <xdr:row>732</xdr:row>
      <xdr:rowOff>114300</xdr:rowOff>
    </xdr:to>
    <xdr:sp macro="" textlink="">
      <xdr:nvSpPr>
        <xdr:cNvPr id="5563" name="Arrow: Down 5562">
          <a:extLst>
            <a:ext uri="{FF2B5EF4-FFF2-40B4-BE49-F238E27FC236}">
              <a16:creationId xmlns:a16="http://schemas.microsoft.com/office/drawing/2014/main" id="{2DC08E0C-268E-4FC0-9D68-40D786705E6D}"/>
            </a:ext>
          </a:extLst>
        </xdr:cNvPr>
        <xdr:cNvSpPr/>
      </xdr:nvSpPr>
      <xdr:spPr>
        <a:xfrm>
          <a:off x="2196084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732</xdr:row>
      <xdr:rowOff>0</xdr:rowOff>
    </xdr:from>
    <xdr:to>
      <xdr:col>24</xdr:col>
      <xdr:colOff>83820</xdr:colOff>
      <xdr:row>732</xdr:row>
      <xdr:rowOff>114300</xdr:rowOff>
    </xdr:to>
    <xdr:sp macro="" textlink="">
      <xdr:nvSpPr>
        <xdr:cNvPr id="5566" name="Arrow: Down 5565">
          <a:extLst>
            <a:ext uri="{FF2B5EF4-FFF2-40B4-BE49-F238E27FC236}">
              <a16:creationId xmlns:a16="http://schemas.microsoft.com/office/drawing/2014/main" id="{7F767A92-4C57-4687-9F48-B61065608AC6}"/>
            </a:ext>
          </a:extLst>
        </xdr:cNvPr>
        <xdr:cNvSpPr/>
      </xdr:nvSpPr>
      <xdr:spPr>
        <a:xfrm>
          <a:off x="833628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732</xdr:row>
      <xdr:rowOff>0</xdr:rowOff>
    </xdr:from>
    <xdr:to>
      <xdr:col>5</xdr:col>
      <xdr:colOff>83820</xdr:colOff>
      <xdr:row>732</xdr:row>
      <xdr:rowOff>114300</xdr:rowOff>
    </xdr:to>
    <xdr:sp macro="" textlink="">
      <xdr:nvSpPr>
        <xdr:cNvPr id="5568" name="Arrow: Down 5567">
          <a:extLst>
            <a:ext uri="{FF2B5EF4-FFF2-40B4-BE49-F238E27FC236}">
              <a16:creationId xmlns:a16="http://schemas.microsoft.com/office/drawing/2014/main" id="{318F356A-A3EC-4936-A6C3-E49550B733DD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83820</xdr:colOff>
      <xdr:row>732</xdr:row>
      <xdr:rowOff>114300</xdr:rowOff>
    </xdr:to>
    <xdr:sp macro="" textlink="">
      <xdr:nvSpPr>
        <xdr:cNvPr id="5569" name="Arrow: Down 5568">
          <a:extLst>
            <a:ext uri="{FF2B5EF4-FFF2-40B4-BE49-F238E27FC236}">
              <a16:creationId xmlns:a16="http://schemas.microsoft.com/office/drawing/2014/main" id="{F67D6089-DDBF-4B87-9865-8834602F3C91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732</xdr:row>
      <xdr:rowOff>0</xdr:rowOff>
    </xdr:from>
    <xdr:to>
      <xdr:col>60</xdr:col>
      <xdr:colOff>83820</xdr:colOff>
      <xdr:row>732</xdr:row>
      <xdr:rowOff>114300</xdr:rowOff>
    </xdr:to>
    <xdr:sp macro="" textlink="">
      <xdr:nvSpPr>
        <xdr:cNvPr id="5571" name="Arrow: Down 5570">
          <a:extLst>
            <a:ext uri="{FF2B5EF4-FFF2-40B4-BE49-F238E27FC236}">
              <a16:creationId xmlns:a16="http://schemas.microsoft.com/office/drawing/2014/main" id="{D21E66F2-C26B-4F19-9D27-01B2B6BCA625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732</xdr:row>
      <xdr:rowOff>0</xdr:rowOff>
    </xdr:from>
    <xdr:to>
      <xdr:col>39</xdr:col>
      <xdr:colOff>83820</xdr:colOff>
      <xdr:row>732</xdr:row>
      <xdr:rowOff>114300</xdr:rowOff>
    </xdr:to>
    <xdr:sp macro="" textlink="">
      <xdr:nvSpPr>
        <xdr:cNvPr id="5573" name="Arrow: Down 5572">
          <a:extLst>
            <a:ext uri="{FF2B5EF4-FFF2-40B4-BE49-F238E27FC236}">
              <a16:creationId xmlns:a16="http://schemas.microsoft.com/office/drawing/2014/main" id="{0B0900FF-F512-47E5-B7B8-794F515C4CBA}"/>
            </a:ext>
          </a:extLst>
        </xdr:cNvPr>
        <xdr:cNvSpPr/>
      </xdr:nvSpPr>
      <xdr:spPr>
        <a:xfrm rot="10800000">
          <a:off x="11544300" y="1339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733</xdr:row>
      <xdr:rowOff>0</xdr:rowOff>
    </xdr:from>
    <xdr:to>
      <xdr:col>64</xdr:col>
      <xdr:colOff>83820</xdr:colOff>
      <xdr:row>733</xdr:row>
      <xdr:rowOff>114300</xdr:rowOff>
    </xdr:to>
    <xdr:sp macro="" textlink="">
      <xdr:nvSpPr>
        <xdr:cNvPr id="5582" name="Arrow: Down 5581">
          <a:extLst>
            <a:ext uri="{FF2B5EF4-FFF2-40B4-BE49-F238E27FC236}">
              <a16:creationId xmlns:a16="http://schemas.microsoft.com/office/drawing/2014/main" id="{D923CA0B-A8A3-4E0A-A130-AF03D25CDA4C}"/>
            </a:ext>
          </a:extLst>
        </xdr:cNvPr>
        <xdr:cNvSpPr/>
      </xdr:nvSpPr>
      <xdr:spPr>
        <a:xfrm rot="10800000">
          <a:off x="19347180" y="133967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733</xdr:row>
      <xdr:rowOff>0</xdr:rowOff>
    </xdr:from>
    <xdr:to>
      <xdr:col>45</xdr:col>
      <xdr:colOff>83820</xdr:colOff>
      <xdr:row>733</xdr:row>
      <xdr:rowOff>114300</xdr:rowOff>
    </xdr:to>
    <xdr:sp macro="" textlink="">
      <xdr:nvSpPr>
        <xdr:cNvPr id="5583" name="Arrow: Down 5582">
          <a:extLst>
            <a:ext uri="{FF2B5EF4-FFF2-40B4-BE49-F238E27FC236}">
              <a16:creationId xmlns:a16="http://schemas.microsoft.com/office/drawing/2014/main" id="{01361005-CEBE-4234-B805-DCEEA2579DD1}"/>
            </a:ext>
          </a:extLst>
        </xdr:cNvPr>
        <xdr:cNvSpPr/>
      </xdr:nvSpPr>
      <xdr:spPr>
        <a:xfrm rot="10800000">
          <a:off x="13403580" y="133967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733</xdr:row>
      <xdr:rowOff>0</xdr:rowOff>
    </xdr:from>
    <xdr:to>
      <xdr:col>71</xdr:col>
      <xdr:colOff>83820</xdr:colOff>
      <xdr:row>733</xdr:row>
      <xdr:rowOff>114300</xdr:rowOff>
    </xdr:to>
    <xdr:sp macro="" textlink="">
      <xdr:nvSpPr>
        <xdr:cNvPr id="5584" name="Arrow: Down 5583">
          <a:extLst>
            <a:ext uri="{FF2B5EF4-FFF2-40B4-BE49-F238E27FC236}">
              <a16:creationId xmlns:a16="http://schemas.microsoft.com/office/drawing/2014/main" id="{B584145A-C28D-4636-B841-45C922084B1D}"/>
            </a:ext>
          </a:extLst>
        </xdr:cNvPr>
        <xdr:cNvSpPr/>
      </xdr:nvSpPr>
      <xdr:spPr>
        <a:xfrm>
          <a:off x="2196084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733</xdr:row>
      <xdr:rowOff>0</xdr:rowOff>
    </xdr:from>
    <xdr:to>
      <xdr:col>60</xdr:col>
      <xdr:colOff>83820</xdr:colOff>
      <xdr:row>733</xdr:row>
      <xdr:rowOff>114300</xdr:rowOff>
    </xdr:to>
    <xdr:sp macro="" textlink="">
      <xdr:nvSpPr>
        <xdr:cNvPr id="5588" name="Arrow: Down 5587">
          <a:extLst>
            <a:ext uri="{FF2B5EF4-FFF2-40B4-BE49-F238E27FC236}">
              <a16:creationId xmlns:a16="http://schemas.microsoft.com/office/drawing/2014/main" id="{7A30D585-57DC-4D23-A30C-2D19202BEB33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733</xdr:row>
      <xdr:rowOff>0</xdr:rowOff>
    </xdr:from>
    <xdr:to>
      <xdr:col>24</xdr:col>
      <xdr:colOff>83820</xdr:colOff>
      <xdr:row>733</xdr:row>
      <xdr:rowOff>114300</xdr:rowOff>
    </xdr:to>
    <xdr:sp macro="" textlink="">
      <xdr:nvSpPr>
        <xdr:cNvPr id="5591" name="Arrow: Down 5590">
          <a:extLst>
            <a:ext uri="{FF2B5EF4-FFF2-40B4-BE49-F238E27FC236}">
              <a16:creationId xmlns:a16="http://schemas.microsoft.com/office/drawing/2014/main" id="{C37D1FF0-4938-4C2E-BEFA-AB626696E033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733</xdr:row>
      <xdr:rowOff>0</xdr:rowOff>
    </xdr:from>
    <xdr:to>
      <xdr:col>39</xdr:col>
      <xdr:colOff>83820</xdr:colOff>
      <xdr:row>733</xdr:row>
      <xdr:rowOff>114300</xdr:rowOff>
    </xdr:to>
    <xdr:sp macro="" textlink="">
      <xdr:nvSpPr>
        <xdr:cNvPr id="5593" name="Arrow: Down 5592">
          <a:extLst>
            <a:ext uri="{FF2B5EF4-FFF2-40B4-BE49-F238E27FC236}">
              <a16:creationId xmlns:a16="http://schemas.microsoft.com/office/drawing/2014/main" id="{B68CB494-87E3-4AA2-9A6B-CC96E5A654F9}"/>
            </a:ext>
          </a:extLst>
        </xdr:cNvPr>
        <xdr:cNvSpPr/>
      </xdr:nvSpPr>
      <xdr:spPr>
        <a:xfrm rot="10800000">
          <a:off x="1154430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734</xdr:row>
      <xdr:rowOff>0</xdr:rowOff>
    </xdr:from>
    <xdr:to>
      <xdr:col>64</xdr:col>
      <xdr:colOff>83820</xdr:colOff>
      <xdr:row>734</xdr:row>
      <xdr:rowOff>114300</xdr:rowOff>
    </xdr:to>
    <xdr:sp macro="" textlink="">
      <xdr:nvSpPr>
        <xdr:cNvPr id="5234" name="Arrow: Down 5233">
          <a:extLst>
            <a:ext uri="{FF2B5EF4-FFF2-40B4-BE49-F238E27FC236}">
              <a16:creationId xmlns:a16="http://schemas.microsoft.com/office/drawing/2014/main" id="{689FF027-5BEB-4376-9500-63A399F2ADCE}"/>
            </a:ext>
          </a:extLst>
        </xdr:cNvPr>
        <xdr:cNvSpPr/>
      </xdr:nvSpPr>
      <xdr:spPr>
        <a:xfrm rot="10800000">
          <a:off x="19347180" y="134150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734</xdr:row>
      <xdr:rowOff>0</xdr:rowOff>
    </xdr:from>
    <xdr:to>
      <xdr:col>45</xdr:col>
      <xdr:colOff>83820</xdr:colOff>
      <xdr:row>734</xdr:row>
      <xdr:rowOff>114300</xdr:rowOff>
    </xdr:to>
    <xdr:sp macro="" textlink="">
      <xdr:nvSpPr>
        <xdr:cNvPr id="5275" name="Arrow: Down 5274">
          <a:extLst>
            <a:ext uri="{FF2B5EF4-FFF2-40B4-BE49-F238E27FC236}">
              <a16:creationId xmlns:a16="http://schemas.microsoft.com/office/drawing/2014/main" id="{D323F68F-B35E-4C73-8873-F2DE15F7BF19}"/>
            </a:ext>
          </a:extLst>
        </xdr:cNvPr>
        <xdr:cNvSpPr/>
      </xdr:nvSpPr>
      <xdr:spPr>
        <a:xfrm rot="10800000">
          <a:off x="1340358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734</xdr:row>
      <xdr:rowOff>0</xdr:rowOff>
    </xdr:from>
    <xdr:to>
      <xdr:col>71</xdr:col>
      <xdr:colOff>83820</xdr:colOff>
      <xdr:row>734</xdr:row>
      <xdr:rowOff>114300</xdr:rowOff>
    </xdr:to>
    <xdr:sp macro="" textlink="">
      <xdr:nvSpPr>
        <xdr:cNvPr id="5331" name="Arrow: Down 5330">
          <a:extLst>
            <a:ext uri="{FF2B5EF4-FFF2-40B4-BE49-F238E27FC236}">
              <a16:creationId xmlns:a16="http://schemas.microsoft.com/office/drawing/2014/main" id="{8EF6B6FB-D8FD-4A4F-B4AD-4D94E5D7C631}"/>
            </a:ext>
          </a:extLst>
        </xdr:cNvPr>
        <xdr:cNvSpPr/>
      </xdr:nvSpPr>
      <xdr:spPr>
        <a:xfrm>
          <a:off x="21960840" y="1341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734</xdr:row>
      <xdr:rowOff>0</xdr:rowOff>
    </xdr:from>
    <xdr:to>
      <xdr:col>24</xdr:col>
      <xdr:colOff>83820</xdr:colOff>
      <xdr:row>734</xdr:row>
      <xdr:rowOff>114300</xdr:rowOff>
    </xdr:to>
    <xdr:sp macro="" textlink="">
      <xdr:nvSpPr>
        <xdr:cNvPr id="5371" name="Arrow: Down 5370">
          <a:extLst>
            <a:ext uri="{FF2B5EF4-FFF2-40B4-BE49-F238E27FC236}">
              <a16:creationId xmlns:a16="http://schemas.microsoft.com/office/drawing/2014/main" id="{49C483DC-11E5-4DF4-BFD5-947D07B65A55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733</xdr:row>
      <xdr:rowOff>0</xdr:rowOff>
    </xdr:from>
    <xdr:to>
      <xdr:col>5</xdr:col>
      <xdr:colOff>83820</xdr:colOff>
      <xdr:row>733</xdr:row>
      <xdr:rowOff>114300</xdr:rowOff>
    </xdr:to>
    <xdr:sp macro="" textlink="">
      <xdr:nvSpPr>
        <xdr:cNvPr id="5382" name="Arrow: Down 5381">
          <a:extLst>
            <a:ext uri="{FF2B5EF4-FFF2-40B4-BE49-F238E27FC236}">
              <a16:creationId xmlns:a16="http://schemas.microsoft.com/office/drawing/2014/main" id="{FCCD949A-DC73-42C2-AADE-5A951385E651}"/>
            </a:ext>
          </a:extLst>
        </xdr:cNvPr>
        <xdr:cNvSpPr/>
      </xdr:nvSpPr>
      <xdr:spPr>
        <a:xfrm rot="10800000">
          <a:off x="192786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733</xdr:row>
      <xdr:rowOff>0</xdr:rowOff>
    </xdr:from>
    <xdr:to>
      <xdr:col>11</xdr:col>
      <xdr:colOff>83820</xdr:colOff>
      <xdr:row>733</xdr:row>
      <xdr:rowOff>114300</xdr:rowOff>
    </xdr:to>
    <xdr:sp macro="" textlink="">
      <xdr:nvSpPr>
        <xdr:cNvPr id="5394" name="Arrow: Down 5393">
          <a:extLst>
            <a:ext uri="{FF2B5EF4-FFF2-40B4-BE49-F238E27FC236}">
              <a16:creationId xmlns:a16="http://schemas.microsoft.com/office/drawing/2014/main" id="{6EA73E40-4979-4712-AB55-7BC39936EBE1}"/>
            </a:ext>
          </a:extLst>
        </xdr:cNvPr>
        <xdr:cNvSpPr/>
      </xdr:nvSpPr>
      <xdr:spPr>
        <a:xfrm rot="10800000">
          <a:off x="369570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734</xdr:row>
      <xdr:rowOff>0</xdr:rowOff>
    </xdr:from>
    <xdr:to>
      <xdr:col>5</xdr:col>
      <xdr:colOff>83820</xdr:colOff>
      <xdr:row>734</xdr:row>
      <xdr:rowOff>114300</xdr:rowOff>
    </xdr:to>
    <xdr:sp macro="" textlink="">
      <xdr:nvSpPr>
        <xdr:cNvPr id="5413" name="Arrow: Down 5412">
          <a:extLst>
            <a:ext uri="{FF2B5EF4-FFF2-40B4-BE49-F238E27FC236}">
              <a16:creationId xmlns:a16="http://schemas.microsoft.com/office/drawing/2014/main" id="{884E5847-DAFE-443B-B015-BC010398CB38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83820</xdr:colOff>
      <xdr:row>734</xdr:row>
      <xdr:rowOff>114300</xdr:rowOff>
    </xdr:to>
    <xdr:sp macro="" textlink="">
      <xdr:nvSpPr>
        <xdr:cNvPr id="5455" name="Arrow: Down 5454">
          <a:extLst>
            <a:ext uri="{FF2B5EF4-FFF2-40B4-BE49-F238E27FC236}">
              <a16:creationId xmlns:a16="http://schemas.microsoft.com/office/drawing/2014/main" id="{B47A6507-6B93-488C-8300-C8DBBFA48AD6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734</xdr:row>
      <xdr:rowOff>0</xdr:rowOff>
    </xdr:from>
    <xdr:to>
      <xdr:col>39</xdr:col>
      <xdr:colOff>83820</xdr:colOff>
      <xdr:row>734</xdr:row>
      <xdr:rowOff>114300</xdr:rowOff>
    </xdr:to>
    <xdr:sp macro="" textlink="">
      <xdr:nvSpPr>
        <xdr:cNvPr id="5475" name="Arrow: Down 5474">
          <a:extLst>
            <a:ext uri="{FF2B5EF4-FFF2-40B4-BE49-F238E27FC236}">
              <a16:creationId xmlns:a16="http://schemas.microsoft.com/office/drawing/2014/main" id="{19877B4F-B17B-409F-AB96-3DBC313D6244}"/>
            </a:ext>
          </a:extLst>
        </xdr:cNvPr>
        <xdr:cNvSpPr/>
      </xdr:nvSpPr>
      <xdr:spPr>
        <a:xfrm rot="10800000">
          <a:off x="115443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734</xdr:row>
      <xdr:rowOff>0</xdr:rowOff>
    </xdr:from>
    <xdr:to>
      <xdr:col>60</xdr:col>
      <xdr:colOff>83820</xdr:colOff>
      <xdr:row>734</xdr:row>
      <xdr:rowOff>114300</xdr:rowOff>
    </xdr:to>
    <xdr:sp macro="" textlink="">
      <xdr:nvSpPr>
        <xdr:cNvPr id="5480" name="Arrow: Down 5479">
          <a:extLst>
            <a:ext uri="{FF2B5EF4-FFF2-40B4-BE49-F238E27FC236}">
              <a16:creationId xmlns:a16="http://schemas.microsoft.com/office/drawing/2014/main" id="{76D2C906-3CD9-46C1-AB76-5117111D85AE}"/>
            </a:ext>
          </a:extLst>
        </xdr:cNvPr>
        <xdr:cNvSpPr/>
      </xdr:nvSpPr>
      <xdr:spPr>
        <a:xfrm rot="10800000">
          <a:off x="190804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735</xdr:row>
      <xdr:rowOff>0</xdr:rowOff>
    </xdr:from>
    <xdr:to>
      <xdr:col>64</xdr:col>
      <xdr:colOff>83820</xdr:colOff>
      <xdr:row>735</xdr:row>
      <xdr:rowOff>114300</xdr:rowOff>
    </xdr:to>
    <xdr:sp macro="" textlink="">
      <xdr:nvSpPr>
        <xdr:cNvPr id="5510" name="Arrow: Down 5509">
          <a:extLst>
            <a:ext uri="{FF2B5EF4-FFF2-40B4-BE49-F238E27FC236}">
              <a16:creationId xmlns:a16="http://schemas.microsoft.com/office/drawing/2014/main" id="{F3D59C94-DF4A-4E3B-A11F-BCA7A3D75A0B}"/>
            </a:ext>
          </a:extLst>
        </xdr:cNvPr>
        <xdr:cNvSpPr/>
      </xdr:nvSpPr>
      <xdr:spPr>
        <a:xfrm rot="10800000">
          <a:off x="19347180" y="134332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735</xdr:row>
      <xdr:rowOff>0</xdr:rowOff>
    </xdr:from>
    <xdr:to>
      <xdr:col>45</xdr:col>
      <xdr:colOff>83820</xdr:colOff>
      <xdr:row>735</xdr:row>
      <xdr:rowOff>114300</xdr:rowOff>
    </xdr:to>
    <xdr:sp macro="" textlink="">
      <xdr:nvSpPr>
        <xdr:cNvPr id="5511" name="Arrow: Down 5510">
          <a:extLst>
            <a:ext uri="{FF2B5EF4-FFF2-40B4-BE49-F238E27FC236}">
              <a16:creationId xmlns:a16="http://schemas.microsoft.com/office/drawing/2014/main" id="{AC10710C-D056-4676-8845-8F1A266EEDDC}"/>
            </a:ext>
          </a:extLst>
        </xdr:cNvPr>
        <xdr:cNvSpPr/>
      </xdr:nvSpPr>
      <xdr:spPr>
        <a:xfrm rot="10800000">
          <a:off x="13403580" y="134332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735</xdr:row>
      <xdr:rowOff>0</xdr:rowOff>
    </xdr:from>
    <xdr:to>
      <xdr:col>71</xdr:col>
      <xdr:colOff>83820</xdr:colOff>
      <xdr:row>735</xdr:row>
      <xdr:rowOff>114300</xdr:rowOff>
    </xdr:to>
    <xdr:sp macro="" textlink="">
      <xdr:nvSpPr>
        <xdr:cNvPr id="5512" name="Arrow: Down 5511">
          <a:extLst>
            <a:ext uri="{FF2B5EF4-FFF2-40B4-BE49-F238E27FC236}">
              <a16:creationId xmlns:a16="http://schemas.microsoft.com/office/drawing/2014/main" id="{159FB969-AA5A-433F-A470-3C9A9CC8F356}"/>
            </a:ext>
          </a:extLst>
        </xdr:cNvPr>
        <xdr:cNvSpPr/>
      </xdr:nvSpPr>
      <xdr:spPr>
        <a:xfrm>
          <a:off x="21960840" y="13433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735</xdr:row>
      <xdr:rowOff>0</xdr:rowOff>
    </xdr:from>
    <xdr:to>
      <xdr:col>24</xdr:col>
      <xdr:colOff>83820</xdr:colOff>
      <xdr:row>735</xdr:row>
      <xdr:rowOff>114300</xdr:rowOff>
    </xdr:to>
    <xdr:sp macro="" textlink="">
      <xdr:nvSpPr>
        <xdr:cNvPr id="5518" name="Arrow: Down 5517">
          <a:extLst>
            <a:ext uri="{FF2B5EF4-FFF2-40B4-BE49-F238E27FC236}">
              <a16:creationId xmlns:a16="http://schemas.microsoft.com/office/drawing/2014/main" id="{6016CD70-A674-4139-9AD0-949EBBD98AC8}"/>
            </a:ext>
          </a:extLst>
        </xdr:cNvPr>
        <xdr:cNvSpPr/>
      </xdr:nvSpPr>
      <xdr:spPr>
        <a:xfrm rot="10800000">
          <a:off x="83362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735</xdr:row>
      <xdr:rowOff>0</xdr:rowOff>
    </xdr:from>
    <xdr:to>
      <xdr:col>5</xdr:col>
      <xdr:colOff>83820</xdr:colOff>
      <xdr:row>735</xdr:row>
      <xdr:rowOff>114300</xdr:rowOff>
    </xdr:to>
    <xdr:sp macro="" textlink="">
      <xdr:nvSpPr>
        <xdr:cNvPr id="5519" name="Arrow: Down 5518">
          <a:extLst>
            <a:ext uri="{FF2B5EF4-FFF2-40B4-BE49-F238E27FC236}">
              <a16:creationId xmlns:a16="http://schemas.microsoft.com/office/drawing/2014/main" id="{991B80D6-8609-4C5F-9E78-45631BFA7BF6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735</xdr:row>
      <xdr:rowOff>0</xdr:rowOff>
    </xdr:from>
    <xdr:to>
      <xdr:col>11</xdr:col>
      <xdr:colOff>83820</xdr:colOff>
      <xdr:row>735</xdr:row>
      <xdr:rowOff>114300</xdr:rowOff>
    </xdr:to>
    <xdr:sp macro="" textlink="">
      <xdr:nvSpPr>
        <xdr:cNvPr id="5520" name="Arrow: Down 5519">
          <a:extLst>
            <a:ext uri="{FF2B5EF4-FFF2-40B4-BE49-F238E27FC236}">
              <a16:creationId xmlns:a16="http://schemas.microsoft.com/office/drawing/2014/main" id="{A03A8E2C-7D16-4C67-9623-755EC8780EE4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735</xdr:row>
      <xdr:rowOff>0</xdr:rowOff>
    </xdr:from>
    <xdr:to>
      <xdr:col>60</xdr:col>
      <xdr:colOff>83820</xdr:colOff>
      <xdr:row>735</xdr:row>
      <xdr:rowOff>114300</xdr:rowOff>
    </xdr:to>
    <xdr:sp macro="" textlink="">
      <xdr:nvSpPr>
        <xdr:cNvPr id="5532" name="Arrow: Down 5531">
          <a:extLst>
            <a:ext uri="{FF2B5EF4-FFF2-40B4-BE49-F238E27FC236}">
              <a16:creationId xmlns:a16="http://schemas.microsoft.com/office/drawing/2014/main" id="{59C1F02B-1D60-48A3-80C7-4C86297E020D}"/>
            </a:ext>
          </a:extLst>
        </xdr:cNvPr>
        <xdr:cNvSpPr/>
      </xdr:nvSpPr>
      <xdr:spPr>
        <a:xfrm>
          <a:off x="1908048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735</xdr:row>
      <xdr:rowOff>0</xdr:rowOff>
    </xdr:from>
    <xdr:to>
      <xdr:col>39</xdr:col>
      <xdr:colOff>83820</xdr:colOff>
      <xdr:row>735</xdr:row>
      <xdr:rowOff>114300</xdr:rowOff>
    </xdr:to>
    <xdr:sp macro="" textlink="">
      <xdr:nvSpPr>
        <xdr:cNvPr id="5534" name="Arrow: Down 5533">
          <a:extLst>
            <a:ext uri="{FF2B5EF4-FFF2-40B4-BE49-F238E27FC236}">
              <a16:creationId xmlns:a16="http://schemas.microsoft.com/office/drawing/2014/main" id="{FAAC069F-C58B-4A3F-8A43-E3A242215E96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736</xdr:row>
      <xdr:rowOff>0</xdr:rowOff>
    </xdr:from>
    <xdr:to>
      <xdr:col>64</xdr:col>
      <xdr:colOff>83820</xdr:colOff>
      <xdr:row>736</xdr:row>
      <xdr:rowOff>114300</xdr:rowOff>
    </xdr:to>
    <xdr:sp macro="" textlink="">
      <xdr:nvSpPr>
        <xdr:cNvPr id="5549" name="Arrow: Down 5548">
          <a:extLst>
            <a:ext uri="{FF2B5EF4-FFF2-40B4-BE49-F238E27FC236}">
              <a16:creationId xmlns:a16="http://schemas.microsoft.com/office/drawing/2014/main" id="{700F0AE7-3568-4E92-B674-29E496F08189}"/>
            </a:ext>
          </a:extLst>
        </xdr:cNvPr>
        <xdr:cNvSpPr/>
      </xdr:nvSpPr>
      <xdr:spPr>
        <a:xfrm rot="10800000">
          <a:off x="19347180" y="134515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736</xdr:row>
      <xdr:rowOff>0</xdr:rowOff>
    </xdr:from>
    <xdr:to>
      <xdr:col>45</xdr:col>
      <xdr:colOff>83820</xdr:colOff>
      <xdr:row>736</xdr:row>
      <xdr:rowOff>114300</xdr:rowOff>
    </xdr:to>
    <xdr:sp macro="" textlink="">
      <xdr:nvSpPr>
        <xdr:cNvPr id="5565" name="Arrow: Down 5564">
          <a:extLst>
            <a:ext uri="{FF2B5EF4-FFF2-40B4-BE49-F238E27FC236}">
              <a16:creationId xmlns:a16="http://schemas.microsoft.com/office/drawing/2014/main" id="{0830E453-7203-47C4-8807-B3C4A6650397}"/>
            </a:ext>
          </a:extLst>
        </xdr:cNvPr>
        <xdr:cNvSpPr/>
      </xdr:nvSpPr>
      <xdr:spPr>
        <a:xfrm rot="10800000">
          <a:off x="1340358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736</xdr:row>
      <xdr:rowOff>0</xdr:rowOff>
    </xdr:from>
    <xdr:to>
      <xdr:col>71</xdr:col>
      <xdr:colOff>83820</xdr:colOff>
      <xdr:row>736</xdr:row>
      <xdr:rowOff>114300</xdr:rowOff>
    </xdr:to>
    <xdr:sp macro="" textlink="">
      <xdr:nvSpPr>
        <xdr:cNvPr id="5567" name="Arrow: Down 5566">
          <a:extLst>
            <a:ext uri="{FF2B5EF4-FFF2-40B4-BE49-F238E27FC236}">
              <a16:creationId xmlns:a16="http://schemas.microsoft.com/office/drawing/2014/main" id="{3C78535F-78DF-4ACB-ADF9-758876B8325E}"/>
            </a:ext>
          </a:extLst>
        </xdr:cNvPr>
        <xdr:cNvSpPr/>
      </xdr:nvSpPr>
      <xdr:spPr>
        <a:xfrm>
          <a:off x="2196084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736</xdr:row>
      <xdr:rowOff>0</xdr:rowOff>
    </xdr:from>
    <xdr:to>
      <xdr:col>5</xdr:col>
      <xdr:colOff>83820</xdr:colOff>
      <xdr:row>736</xdr:row>
      <xdr:rowOff>114300</xdr:rowOff>
    </xdr:to>
    <xdr:sp macro="" textlink="">
      <xdr:nvSpPr>
        <xdr:cNvPr id="5572" name="Arrow: Down 5571">
          <a:extLst>
            <a:ext uri="{FF2B5EF4-FFF2-40B4-BE49-F238E27FC236}">
              <a16:creationId xmlns:a16="http://schemas.microsoft.com/office/drawing/2014/main" id="{472D55BF-EAA1-44D1-9E98-1D61E8D94A72}"/>
            </a:ext>
          </a:extLst>
        </xdr:cNvPr>
        <xdr:cNvSpPr/>
      </xdr:nvSpPr>
      <xdr:spPr>
        <a:xfrm rot="10800000">
          <a:off x="192786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736</xdr:row>
      <xdr:rowOff>0</xdr:rowOff>
    </xdr:from>
    <xdr:to>
      <xdr:col>11</xdr:col>
      <xdr:colOff>83820</xdr:colOff>
      <xdr:row>736</xdr:row>
      <xdr:rowOff>114300</xdr:rowOff>
    </xdr:to>
    <xdr:sp macro="" textlink="">
      <xdr:nvSpPr>
        <xdr:cNvPr id="5574" name="Arrow: Down 5573">
          <a:extLst>
            <a:ext uri="{FF2B5EF4-FFF2-40B4-BE49-F238E27FC236}">
              <a16:creationId xmlns:a16="http://schemas.microsoft.com/office/drawing/2014/main" id="{8692479D-6063-4BAE-924E-E81EA866405C}"/>
            </a:ext>
          </a:extLst>
        </xdr:cNvPr>
        <xdr:cNvSpPr/>
      </xdr:nvSpPr>
      <xdr:spPr>
        <a:xfrm rot="10800000">
          <a:off x="369570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736</xdr:row>
      <xdr:rowOff>0</xdr:rowOff>
    </xdr:from>
    <xdr:to>
      <xdr:col>39</xdr:col>
      <xdr:colOff>83820</xdr:colOff>
      <xdr:row>736</xdr:row>
      <xdr:rowOff>114300</xdr:rowOff>
    </xdr:to>
    <xdr:sp macro="" textlink="">
      <xdr:nvSpPr>
        <xdr:cNvPr id="5576" name="Arrow: Down 5575">
          <a:extLst>
            <a:ext uri="{FF2B5EF4-FFF2-40B4-BE49-F238E27FC236}">
              <a16:creationId xmlns:a16="http://schemas.microsoft.com/office/drawing/2014/main" id="{18573266-7A7D-472D-9E36-B96C5234D377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736</xdr:row>
      <xdr:rowOff>0</xdr:rowOff>
    </xdr:from>
    <xdr:to>
      <xdr:col>60</xdr:col>
      <xdr:colOff>83820</xdr:colOff>
      <xdr:row>736</xdr:row>
      <xdr:rowOff>114300</xdr:rowOff>
    </xdr:to>
    <xdr:sp macro="" textlink="">
      <xdr:nvSpPr>
        <xdr:cNvPr id="5578" name="Arrow: Down 5577">
          <a:extLst>
            <a:ext uri="{FF2B5EF4-FFF2-40B4-BE49-F238E27FC236}">
              <a16:creationId xmlns:a16="http://schemas.microsoft.com/office/drawing/2014/main" id="{7BBEBE66-9363-4F8C-BED9-377D0A197DAE}"/>
            </a:ext>
          </a:extLst>
        </xdr:cNvPr>
        <xdr:cNvSpPr/>
      </xdr:nvSpPr>
      <xdr:spPr>
        <a:xfrm rot="10800000">
          <a:off x="19080480" y="1346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736</xdr:row>
      <xdr:rowOff>0</xdr:rowOff>
    </xdr:from>
    <xdr:to>
      <xdr:col>24</xdr:col>
      <xdr:colOff>83820</xdr:colOff>
      <xdr:row>736</xdr:row>
      <xdr:rowOff>114300</xdr:rowOff>
    </xdr:to>
    <xdr:sp macro="" textlink="">
      <xdr:nvSpPr>
        <xdr:cNvPr id="5580" name="Arrow: Down 5579">
          <a:extLst>
            <a:ext uri="{FF2B5EF4-FFF2-40B4-BE49-F238E27FC236}">
              <a16:creationId xmlns:a16="http://schemas.microsoft.com/office/drawing/2014/main" id="{AAFDAACF-1C29-48D7-B776-7A2A96529F97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737</xdr:row>
      <xdr:rowOff>0</xdr:rowOff>
    </xdr:from>
    <xdr:to>
      <xdr:col>64</xdr:col>
      <xdr:colOff>83820</xdr:colOff>
      <xdr:row>737</xdr:row>
      <xdr:rowOff>114300</xdr:rowOff>
    </xdr:to>
    <xdr:sp macro="" textlink="">
      <xdr:nvSpPr>
        <xdr:cNvPr id="5597" name="Arrow: Down 5596">
          <a:extLst>
            <a:ext uri="{FF2B5EF4-FFF2-40B4-BE49-F238E27FC236}">
              <a16:creationId xmlns:a16="http://schemas.microsoft.com/office/drawing/2014/main" id="{3783F1E9-021E-4413-A147-C31CB1FE244F}"/>
            </a:ext>
          </a:extLst>
        </xdr:cNvPr>
        <xdr:cNvSpPr/>
      </xdr:nvSpPr>
      <xdr:spPr>
        <a:xfrm rot="10800000">
          <a:off x="19347180" y="134698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737</xdr:row>
      <xdr:rowOff>0</xdr:rowOff>
    </xdr:from>
    <xdr:to>
      <xdr:col>45</xdr:col>
      <xdr:colOff>83820</xdr:colOff>
      <xdr:row>737</xdr:row>
      <xdr:rowOff>114300</xdr:rowOff>
    </xdr:to>
    <xdr:sp macro="" textlink="">
      <xdr:nvSpPr>
        <xdr:cNvPr id="5598" name="Arrow: Down 5597">
          <a:extLst>
            <a:ext uri="{FF2B5EF4-FFF2-40B4-BE49-F238E27FC236}">
              <a16:creationId xmlns:a16="http://schemas.microsoft.com/office/drawing/2014/main" id="{F3C830C1-FFA0-4733-BDAC-1899911F67EC}"/>
            </a:ext>
          </a:extLst>
        </xdr:cNvPr>
        <xdr:cNvSpPr/>
      </xdr:nvSpPr>
      <xdr:spPr>
        <a:xfrm rot="10800000">
          <a:off x="13403580" y="134698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737</xdr:row>
      <xdr:rowOff>0</xdr:rowOff>
    </xdr:from>
    <xdr:to>
      <xdr:col>71</xdr:col>
      <xdr:colOff>83820</xdr:colOff>
      <xdr:row>737</xdr:row>
      <xdr:rowOff>114300</xdr:rowOff>
    </xdr:to>
    <xdr:sp macro="" textlink="">
      <xdr:nvSpPr>
        <xdr:cNvPr id="5599" name="Arrow: Down 5598">
          <a:extLst>
            <a:ext uri="{FF2B5EF4-FFF2-40B4-BE49-F238E27FC236}">
              <a16:creationId xmlns:a16="http://schemas.microsoft.com/office/drawing/2014/main" id="{70544FD6-ECE1-45EB-BB3F-A619295E9607}"/>
            </a:ext>
          </a:extLst>
        </xdr:cNvPr>
        <xdr:cNvSpPr/>
      </xdr:nvSpPr>
      <xdr:spPr>
        <a:xfrm>
          <a:off x="2196084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737</xdr:row>
      <xdr:rowOff>0</xdr:rowOff>
    </xdr:from>
    <xdr:to>
      <xdr:col>24</xdr:col>
      <xdr:colOff>83820</xdr:colOff>
      <xdr:row>737</xdr:row>
      <xdr:rowOff>114300</xdr:rowOff>
    </xdr:to>
    <xdr:sp macro="" textlink="">
      <xdr:nvSpPr>
        <xdr:cNvPr id="5604" name="Arrow: Down 5603">
          <a:extLst>
            <a:ext uri="{FF2B5EF4-FFF2-40B4-BE49-F238E27FC236}">
              <a16:creationId xmlns:a16="http://schemas.microsoft.com/office/drawing/2014/main" id="{CDA2A54F-38A3-4006-AEC4-8CAB17ED2A5C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737</xdr:row>
      <xdr:rowOff>0</xdr:rowOff>
    </xdr:from>
    <xdr:to>
      <xdr:col>60</xdr:col>
      <xdr:colOff>83820</xdr:colOff>
      <xdr:row>737</xdr:row>
      <xdr:rowOff>114300</xdr:rowOff>
    </xdr:to>
    <xdr:sp macro="" textlink="">
      <xdr:nvSpPr>
        <xdr:cNvPr id="5606" name="Arrow: Down 5605">
          <a:extLst>
            <a:ext uri="{FF2B5EF4-FFF2-40B4-BE49-F238E27FC236}">
              <a16:creationId xmlns:a16="http://schemas.microsoft.com/office/drawing/2014/main" id="{840CC653-EECF-4390-9991-26BB630A02F6}"/>
            </a:ext>
          </a:extLst>
        </xdr:cNvPr>
        <xdr:cNvSpPr/>
      </xdr:nvSpPr>
      <xdr:spPr>
        <a:xfrm>
          <a:off x="190804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737</xdr:row>
      <xdr:rowOff>0</xdr:rowOff>
    </xdr:from>
    <xdr:to>
      <xdr:col>39</xdr:col>
      <xdr:colOff>83820</xdr:colOff>
      <xdr:row>737</xdr:row>
      <xdr:rowOff>114300</xdr:rowOff>
    </xdr:to>
    <xdr:sp macro="" textlink="">
      <xdr:nvSpPr>
        <xdr:cNvPr id="5608" name="Arrow: Down 5607">
          <a:extLst>
            <a:ext uri="{FF2B5EF4-FFF2-40B4-BE49-F238E27FC236}">
              <a16:creationId xmlns:a16="http://schemas.microsoft.com/office/drawing/2014/main" id="{EA43AB54-784B-4515-895D-88DDE27BA0B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737</xdr:row>
      <xdr:rowOff>0</xdr:rowOff>
    </xdr:from>
    <xdr:to>
      <xdr:col>5</xdr:col>
      <xdr:colOff>83820</xdr:colOff>
      <xdr:row>737</xdr:row>
      <xdr:rowOff>114300</xdr:rowOff>
    </xdr:to>
    <xdr:sp macro="" textlink="">
      <xdr:nvSpPr>
        <xdr:cNvPr id="5610" name="Arrow: Down 5609">
          <a:extLst>
            <a:ext uri="{FF2B5EF4-FFF2-40B4-BE49-F238E27FC236}">
              <a16:creationId xmlns:a16="http://schemas.microsoft.com/office/drawing/2014/main" id="{54B66182-06A1-4BC1-A889-8AE3B4DE61BC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737</xdr:row>
      <xdr:rowOff>0</xdr:rowOff>
    </xdr:from>
    <xdr:to>
      <xdr:col>11</xdr:col>
      <xdr:colOff>83820</xdr:colOff>
      <xdr:row>737</xdr:row>
      <xdr:rowOff>114300</xdr:rowOff>
    </xdr:to>
    <xdr:sp macro="" textlink="">
      <xdr:nvSpPr>
        <xdr:cNvPr id="5612" name="Arrow: Down 5611">
          <a:extLst>
            <a:ext uri="{FF2B5EF4-FFF2-40B4-BE49-F238E27FC236}">
              <a16:creationId xmlns:a16="http://schemas.microsoft.com/office/drawing/2014/main" id="{B2457671-F375-4872-903D-0A31A236E805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738</xdr:row>
      <xdr:rowOff>0</xdr:rowOff>
    </xdr:from>
    <xdr:to>
      <xdr:col>64</xdr:col>
      <xdr:colOff>83820</xdr:colOff>
      <xdr:row>738</xdr:row>
      <xdr:rowOff>114300</xdr:rowOff>
    </xdr:to>
    <xdr:sp macro="" textlink="">
      <xdr:nvSpPr>
        <xdr:cNvPr id="5613" name="Arrow: Down 5612">
          <a:extLst>
            <a:ext uri="{FF2B5EF4-FFF2-40B4-BE49-F238E27FC236}">
              <a16:creationId xmlns:a16="http://schemas.microsoft.com/office/drawing/2014/main" id="{B425D4FD-541F-4644-BAE0-24971ECFDB80}"/>
            </a:ext>
          </a:extLst>
        </xdr:cNvPr>
        <xdr:cNvSpPr/>
      </xdr:nvSpPr>
      <xdr:spPr>
        <a:xfrm rot="10800000">
          <a:off x="19347180" y="134881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738</xdr:row>
      <xdr:rowOff>0</xdr:rowOff>
    </xdr:from>
    <xdr:to>
      <xdr:col>45</xdr:col>
      <xdr:colOff>83820</xdr:colOff>
      <xdr:row>738</xdr:row>
      <xdr:rowOff>114300</xdr:rowOff>
    </xdr:to>
    <xdr:sp macro="" textlink="">
      <xdr:nvSpPr>
        <xdr:cNvPr id="5614" name="Arrow: Down 5613">
          <a:extLst>
            <a:ext uri="{FF2B5EF4-FFF2-40B4-BE49-F238E27FC236}">
              <a16:creationId xmlns:a16="http://schemas.microsoft.com/office/drawing/2014/main" id="{8A42336E-FA91-4ADB-B883-EFCC3072826A}"/>
            </a:ext>
          </a:extLst>
        </xdr:cNvPr>
        <xdr:cNvSpPr/>
      </xdr:nvSpPr>
      <xdr:spPr>
        <a:xfrm rot="10800000">
          <a:off x="13403580" y="1348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738</xdr:row>
      <xdr:rowOff>0</xdr:rowOff>
    </xdr:from>
    <xdr:to>
      <xdr:col>71</xdr:col>
      <xdr:colOff>83820</xdr:colOff>
      <xdr:row>738</xdr:row>
      <xdr:rowOff>114300</xdr:rowOff>
    </xdr:to>
    <xdr:sp macro="" textlink="">
      <xdr:nvSpPr>
        <xdr:cNvPr id="5615" name="Arrow: Down 5614">
          <a:extLst>
            <a:ext uri="{FF2B5EF4-FFF2-40B4-BE49-F238E27FC236}">
              <a16:creationId xmlns:a16="http://schemas.microsoft.com/office/drawing/2014/main" id="{5DB01923-16C8-49D5-8968-F63A751BD698}"/>
            </a:ext>
          </a:extLst>
        </xdr:cNvPr>
        <xdr:cNvSpPr/>
      </xdr:nvSpPr>
      <xdr:spPr>
        <a:xfrm>
          <a:off x="2196084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738</xdr:row>
      <xdr:rowOff>0</xdr:rowOff>
    </xdr:from>
    <xdr:to>
      <xdr:col>24</xdr:col>
      <xdr:colOff>83820</xdr:colOff>
      <xdr:row>738</xdr:row>
      <xdr:rowOff>114300</xdr:rowOff>
    </xdr:to>
    <xdr:sp macro="" textlink="">
      <xdr:nvSpPr>
        <xdr:cNvPr id="5616" name="Arrow: Down 5615">
          <a:extLst>
            <a:ext uri="{FF2B5EF4-FFF2-40B4-BE49-F238E27FC236}">
              <a16:creationId xmlns:a16="http://schemas.microsoft.com/office/drawing/2014/main" id="{8F7978F0-13FA-4B65-89FD-4643D847BA53}"/>
            </a:ext>
          </a:extLst>
        </xdr:cNvPr>
        <xdr:cNvSpPr/>
      </xdr:nvSpPr>
      <xdr:spPr>
        <a:xfrm>
          <a:off x="83362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738</xdr:row>
      <xdr:rowOff>0</xdr:rowOff>
    </xdr:from>
    <xdr:to>
      <xdr:col>39</xdr:col>
      <xdr:colOff>83820</xdr:colOff>
      <xdr:row>738</xdr:row>
      <xdr:rowOff>114300</xdr:rowOff>
    </xdr:to>
    <xdr:sp macro="" textlink="">
      <xdr:nvSpPr>
        <xdr:cNvPr id="5618" name="Arrow: Down 5617">
          <a:extLst>
            <a:ext uri="{FF2B5EF4-FFF2-40B4-BE49-F238E27FC236}">
              <a16:creationId xmlns:a16="http://schemas.microsoft.com/office/drawing/2014/main" id="{AB02AAB5-3154-4D80-98FE-26FFD6C7A3E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738</xdr:row>
      <xdr:rowOff>0</xdr:rowOff>
    </xdr:from>
    <xdr:to>
      <xdr:col>5</xdr:col>
      <xdr:colOff>83820</xdr:colOff>
      <xdr:row>738</xdr:row>
      <xdr:rowOff>114300</xdr:rowOff>
    </xdr:to>
    <xdr:sp macro="" textlink="">
      <xdr:nvSpPr>
        <xdr:cNvPr id="5619" name="Arrow: Down 5618">
          <a:extLst>
            <a:ext uri="{FF2B5EF4-FFF2-40B4-BE49-F238E27FC236}">
              <a16:creationId xmlns:a16="http://schemas.microsoft.com/office/drawing/2014/main" id="{9F65C826-22F6-4C46-8182-5E1A71B69A97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738</xdr:row>
      <xdr:rowOff>0</xdr:rowOff>
    </xdr:from>
    <xdr:to>
      <xdr:col>11</xdr:col>
      <xdr:colOff>83820</xdr:colOff>
      <xdr:row>738</xdr:row>
      <xdr:rowOff>114300</xdr:rowOff>
    </xdr:to>
    <xdr:sp macro="" textlink="">
      <xdr:nvSpPr>
        <xdr:cNvPr id="5620" name="Arrow: Down 5619">
          <a:extLst>
            <a:ext uri="{FF2B5EF4-FFF2-40B4-BE49-F238E27FC236}">
              <a16:creationId xmlns:a16="http://schemas.microsoft.com/office/drawing/2014/main" id="{78FA293B-31CC-42D1-BAD1-93A338865B88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738</xdr:row>
      <xdr:rowOff>0</xdr:rowOff>
    </xdr:from>
    <xdr:to>
      <xdr:col>60</xdr:col>
      <xdr:colOff>83820</xdr:colOff>
      <xdr:row>738</xdr:row>
      <xdr:rowOff>114300</xdr:rowOff>
    </xdr:to>
    <xdr:sp macro="" textlink="">
      <xdr:nvSpPr>
        <xdr:cNvPr id="5622" name="Arrow: Down 5621">
          <a:extLst>
            <a:ext uri="{FF2B5EF4-FFF2-40B4-BE49-F238E27FC236}">
              <a16:creationId xmlns:a16="http://schemas.microsoft.com/office/drawing/2014/main" id="{6CB38226-384D-4BB0-9957-F0BEA612242F}"/>
            </a:ext>
          </a:extLst>
        </xdr:cNvPr>
        <xdr:cNvSpPr/>
      </xdr:nvSpPr>
      <xdr:spPr>
        <a:xfrm rot="10800000">
          <a:off x="19080480" y="1350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739</xdr:row>
      <xdr:rowOff>0</xdr:rowOff>
    </xdr:from>
    <xdr:to>
      <xdr:col>64</xdr:col>
      <xdr:colOff>83820</xdr:colOff>
      <xdr:row>739</xdr:row>
      <xdr:rowOff>114300</xdr:rowOff>
    </xdr:to>
    <xdr:sp macro="" textlink="">
      <xdr:nvSpPr>
        <xdr:cNvPr id="5631" name="Arrow: Down 5630">
          <a:extLst>
            <a:ext uri="{FF2B5EF4-FFF2-40B4-BE49-F238E27FC236}">
              <a16:creationId xmlns:a16="http://schemas.microsoft.com/office/drawing/2014/main" id="{ED6E3443-51BD-4C2F-AC50-D6A1000F195F}"/>
            </a:ext>
          </a:extLst>
        </xdr:cNvPr>
        <xdr:cNvSpPr/>
      </xdr:nvSpPr>
      <xdr:spPr>
        <a:xfrm rot="10800000">
          <a:off x="19347180" y="135064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739</xdr:row>
      <xdr:rowOff>0</xdr:rowOff>
    </xdr:from>
    <xdr:to>
      <xdr:col>45</xdr:col>
      <xdr:colOff>83820</xdr:colOff>
      <xdr:row>739</xdr:row>
      <xdr:rowOff>114300</xdr:rowOff>
    </xdr:to>
    <xdr:sp macro="" textlink="">
      <xdr:nvSpPr>
        <xdr:cNvPr id="5632" name="Arrow: Down 5631">
          <a:extLst>
            <a:ext uri="{FF2B5EF4-FFF2-40B4-BE49-F238E27FC236}">
              <a16:creationId xmlns:a16="http://schemas.microsoft.com/office/drawing/2014/main" id="{BAF4CB20-F44F-48BD-84B5-BDA7E6D8813B}"/>
            </a:ext>
          </a:extLst>
        </xdr:cNvPr>
        <xdr:cNvSpPr/>
      </xdr:nvSpPr>
      <xdr:spPr>
        <a:xfrm rot="10800000">
          <a:off x="13403580" y="1350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739</xdr:row>
      <xdr:rowOff>0</xdr:rowOff>
    </xdr:from>
    <xdr:to>
      <xdr:col>71</xdr:col>
      <xdr:colOff>83820</xdr:colOff>
      <xdr:row>739</xdr:row>
      <xdr:rowOff>114300</xdr:rowOff>
    </xdr:to>
    <xdr:sp macro="" textlink="">
      <xdr:nvSpPr>
        <xdr:cNvPr id="5633" name="Arrow: Down 5632">
          <a:extLst>
            <a:ext uri="{FF2B5EF4-FFF2-40B4-BE49-F238E27FC236}">
              <a16:creationId xmlns:a16="http://schemas.microsoft.com/office/drawing/2014/main" id="{6412431B-A6BC-49A2-B763-3BD3D04A1BF4}"/>
            </a:ext>
          </a:extLst>
        </xdr:cNvPr>
        <xdr:cNvSpPr/>
      </xdr:nvSpPr>
      <xdr:spPr>
        <a:xfrm>
          <a:off x="2196084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739</xdr:row>
      <xdr:rowOff>0</xdr:rowOff>
    </xdr:from>
    <xdr:to>
      <xdr:col>24</xdr:col>
      <xdr:colOff>83820</xdr:colOff>
      <xdr:row>739</xdr:row>
      <xdr:rowOff>114300</xdr:rowOff>
    </xdr:to>
    <xdr:sp macro="" textlink="">
      <xdr:nvSpPr>
        <xdr:cNvPr id="5634" name="Arrow: Down 5633">
          <a:extLst>
            <a:ext uri="{FF2B5EF4-FFF2-40B4-BE49-F238E27FC236}">
              <a16:creationId xmlns:a16="http://schemas.microsoft.com/office/drawing/2014/main" id="{135FAD61-A574-4ED3-9E97-6D176DF87AA2}"/>
            </a:ext>
          </a:extLst>
        </xdr:cNvPr>
        <xdr:cNvSpPr/>
      </xdr:nvSpPr>
      <xdr:spPr>
        <a:xfrm>
          <a:off x="833628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739</xdr:row>
      <xdr:rowOff>0</xdr:rowOff>
    </xdr:from>
    <xdr:to>
      <xdr:col>5</xdr:col>
      <xdr:colOff>83820</xdr:colOff>
      <xdr:row>739</xdr:row>
      <xdr:rowOff>114300</xdr:rowOff>
    </xdr:to>
    <xdr:sp macro="" textlink="">
      <xdr:nvSpPr>
        <xdr:cNvPr id="5636" name="Arrow: Down 5635">
          <a:extLst>
            <a:ext uri="{FF2B5EF4-FFF2-40B4-BE49-F238E27FC236}">
              <a16:creationId xmlns:a16="http://schemas.microsoft.com/office/drawing/2014/main" id="{6B056C72-6080-495B-A8B8-557671EE68C1}"/>
            </a:ext>
          </a:extLst>
        </xdr:cNvPr>
        <xdr:cNvSpPr/>
      </xdr:nvSpPr>
      <xdr:spPr>
        <a:xfrm>
          <a:off x="192786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739</xdr:row>
      <xdr:rowOff>0</xdr:rowOff>
    </xdr:from>
    <xdr:to>
      <xdr:col>11</xdr:col>
      <xdr:colOff>83820</xdr:colOff>
      <xdr:row>739</xdr:row>
      <xdr:rowOff>114300</xdr:rowOff>
    </xdr:to>
    <xdr:sp macro="" textlink="">
      <xdr:nvSpPr>
        <xdr:cNvPr id="5637" name="Arrow: Down 5636">
          <a:extLst>
            <a:ext uri="{FF2B5EF4-FFF2-40B4-BE49-F238E27FC236}">
              <a16:creationId xmlns:a16="http://schemas.microsoft.com/office/drawing/2014/main" id="{8BB2CC40-A844-4F73-B77B-1311E1BEB7A0}"/>
            </a:ext>
          </a:extLst>
        </xdr:cNvPr>
        <xdr:cNvSpPr/>
      </xdr:nvSpPr>
      <xdr:spPr>
        <a:xfrm>
          <a:off x="369570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739</xdr:row>
      <xdr:rowOff>0</xdr:rowOff>
    </xdr:from>
    <xdr:to>
      <xdr:col>39</xdr:col>
      <xdr:colOff>83820</xdr:colOff>
      <xdr:row>739</xdr:row>
      <xdr:rowOff>114300</xdr:rowOff>
    </xdr:to>
    <xdr:sp macro="" textlink="">
      <xdr:nvSpPr>
        <xdr:cNvPr id="5640" name="Arrow: Down 5639">
          <a:extLst>
            <a:ext uri="{FF2B5EF4-FFF2-40B4-BE49-F238E27FC236}">
              <a16:creationId xmlns:a16="http://schemas.microsoft.com/office/drawing/2014/main" id="{476AE52C-3CD4-4596-8BA6-CDF745680288}"/>
            </a:ext>
          </a:extLst>
        </xdr:cNvPr>
        <xdr:cNvSpPr/>
      </xdr:nvSpPr>
      <xdr:spPr>
        <a:xfrm rot="10800000">
          <a:off x="1154430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739</xdr:row>
      <xdr:rowOff>0</xdr:rowOff>
    </xdr:from>
    <xdr:to>
      <xdr:col>60</xdr:col>
      <xdr:colOff>83820</xdr:colOff>
      <xdr:row>739</xdr:row>
      <xdr:rowOff>114300</xdr:rowOff>
    </xdr:to>
    <xdr:sp macro="" textlink="">
      <xdr:nvSpPr>
        <xdr:cNvPr id="5642" name="Arrow: Down 5641">
          <a:extLst>
            <a:ext uri="{FF2B5EF4-FFF2-40B4-BE49-F238E27FC236}">
              <a16:creationId xmlns:a16="http://schemas.microsoft.com/office/drawing/2014/main" id="{2AF8F85B-5940-48EE-89C5-63183E21A5E2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728</xdr:row>
      <xdr:rowOff>0</xdr:rowOff>
    </xdr:from>
    <xdr:to>
      <xdr:col>14</xdr:col>
      <xdr:colOff>83820</xdr:colOff>
      <xdr:row>728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19E11998-4E8F-423B-B3A0-CA6301ACF344}"/>
            </a:ext>
          </a:extLst>
        </xdr:cNvPr>
        <xdr:cNvSpPr/>
      </xdr:nvSpPr>
      <xdr:spPr>
        <a:xfrm>
          <a:off x="5372100" y="10480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727</xdr:row>
      <xdr:rowOff>0</xdr:rowOff>
    </xdr:from>
    <xdr:to>
      <xdr:col>14</xdr:col>
      <xdr:colOff>83820</xdr:colOff>
      <xdr:row>727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19B9AA15-AE71-419D-8AA6-18B5F68B17A7}"/>
            </a:ext>
          </a:extLst>
        </xdr:cNvPr>
        <xdr:cNvSpPr/>
      </xdr:nvSpPr>
      <xdr:spPr>
        <a:xfrm rot="10800000">
          <a:off x="5372100" y="10480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729</xdr:row>
      <xdr:rowOff>0</xdr:rowOff>
    </xdr:from>
    <xdr:to>
      <xdr:col>14</xdr:col>
      <xdr:colOff>83820</xdr:colOff>
      <xdr:row>729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9DA0BFF6-277A-44D6-8996-D3EFBB33A35C}"/>
            </a:ext>
          </a:extLst>
        </xdr:cNvPr>
        <xdr:cNvSpPr/>
      </xdr:nvSpPr>
      <xdr:spPr>
        <a:xfrm>
          <a:off x="5372100" y="104988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732</xdr:row>
      <xdr:rowOff>0</xdr:rowOff>
    </xdr:from>
    <xdr:to>
      <xdr:col>14</xdr:col>
      <xdr:colOff>83820</xdr:colOff>
      <xdr:row>732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D316D3F8-4A29-4F83-BA30-DA1A0F54873B}"/>
            </a:ext>
          </a:extLst>
        </xdr:cNvPr>
        <xdr:cNvSpPr/>
      </xdr:nvSpPr>
      <xdr:spPr>
        <a:xfrm>
          <a:off x="5372100" y="10553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730</xdr:row>
      <xdr:rowOff>0</xdr:rowOff>
    </xdr:from>
    <xdr:to>
      <xdr:col>14</xdr:col>
      <xdr:colOff>83820</xdr:colOff>
      <xdr:row>730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A4489605-84C6-44FA-80AD-459827D5C661}"/>
            </a:ext>
          </a:extLst>
        </xdr:cNvPr>
        <xdr:cNvSpPr/>
      </xdr:nvSpPr>
      <xdr:spPr>
        <a:xfrm rot="10800000">
          <a:off x="5372100" y="10535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731</xdr:row>
      <xdr:rowOff>0</xdr:rowOff>
    </xdr:from>
    <xdr:to>
      <xdr:col>14</xdr:col>
      <xdr:colOff>83820</xdr:colOff>
      <xdr:row>731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F8EB9107-32F8-4BDD-BCB2-8973A1C9B613}"/>
            </a:ext>
          </a:extLst>
        </xdr:cNvPr>
        <xdr:cNvSpPr/>
      </xdr:nvSpPr>
      <xdr:spPr>
        <a:xfrm rot="10800000">
          <a:off x="5372100" y="105537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733</xdr:row>
      <xdr:rowOff>0</xdr:rowOff>
    </xdr:from>
    <xdr:to>
      <xdr:col>14</xdr:col>
      <xdr:colOff>83820</xdr:colOff>
      <xdr:row>733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4EB0F5B1-06F8-4702-86A3-F8B4052CF208}"/>
            </a:ext>
          </a:extLst>
        </xdr:cNvPr>
        <xdr:cNvSpPr/>
      </xdr:nvSpPr>
      <xdr:spPr>
        <a:xfrm>
          <a:off x="5372100" y="10571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734</xdr:row>
      <xdr:rowOff>0</xdr:rowOff>
    </xdr:from>
    <xdr:to>
      <xdr:col>14</xdr:col>
      <xdr:colOff>83820</xdr:colOff>
      <xdr:row>734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808A6AD4-CA92-40E4-92FA-6C29CA92BFAA}"/>
            </a:ext>
          </a:extLst>
        </xdr:cNvPr>
        <xdr:cNvSpPr/>
      </xdr:nvSpPr>
      <xdr:spPr>
        <a:xfrm rot="10800000">
          <a:off x="5372100" y="10608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735</xdr:row>
      <xdr:rowOff>0</xdr:rowOff>
    </xdr:from>
    <xdr:to>
      <xdr:col>14</xdr:col>
      <xdr:colOff>83820</xdr:colOff>
      <xdr:row>735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67E0129B-3099-4F54-9B24-C73814AE2C1E}"/>
            </a:ext>
          </a:extLst>
        </xdr:cNvPr>
        <xdr:cNvSpPr/>
      </xdr:nvSpPr>
      <xdr:spPr>
        <a:xfrm>
          <a:off x="5372100" y="10626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738</xdr:row>
      <xdr:rowOff>0</xdr:rowOff>
    </xdr:from>
    <xdr:to>
      <xdr:col>14</xdr:col>
      <xdr:colOff>83820</xdr:colOff>
      <xdr:row>738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0CB4E2F0-1F59-44D1-A561-CB54801796E0}"/>
            </a:ext>
          </a:extLst>
        </xdr:cNvPr>
        <xdr:cNvSpPr/>
      </xdr:nvSpPr>
      <xdr:spPr>
        <a:xfrm>
          <a:off x="5372100" y="10663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736</xdr:row>
      <xdr:rowOff>0</xdr:rowOff>
    </xdr:from>
    <xdr:to>
      <xdr:col>14</xdr:col>
      <xdr:colOff>83820</xdr:colOff>
      <xdr:row>736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97E6439F-2409-4F28-A128-D14DFA8A920E}"/>
            </a:ext>
          </a:extLst>
        </xdr:cNvPr>
        <xdr:cNvSpPr/>
      </xdr:nvSpPr>
      <xdr:spPr>
        <a:xfrm rot="10800000">
          <a:off x="5372100" y="10645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737</xdr:row>
      <xdr:rowOff>0</xdr:rowOff>
    </xdr:from>
    <xdr:to>
      <xdr:col>14</xdr:col>
      <xdr:colOff>83820</xdr:colOff>
      <xdr:row>737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8BAAF4B2-0A48-40F6-A58D-C65A36396CC6}"/>
            </a:ext>
          </a:extLst>
        </xdr:cNvPr>
        <xdr:cNvSpPr/>
      </xdr:nvSpPr>
      <xdr:spPr>
        <a:xfrm rot="10800000">
          <a:off x="5372100" y="10663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739</xdr:row>
      <xdr:rowOff>0</xdr:rowOff>
    </xdr:from>
    <xdr:to>
      <xdr:col>14</xdr:col>
      <xdr:colOff>83820</xdr:colOff>
      <xdr:row>739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61EB7440-2569-49C8-B8F2-19106F254722}"/>
            </a:ext>
          </a:extLst>
        </xdr:cNvPr>
        <xdr:cNvSpPr/>
      </xdr:nvSpPr>
      <xdr:spPr>
        <a:xfrm rot="10800000">
          <a:off x="5372100" y="10700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740</xdr:row>
      <xdr:rowOff>0</xdr:rowOff>
    </xdr:from>
    <xdr:to>
      <xdr:col>14</xdr:col>
      <xdr:colOff>83820</xdr:colOff>
      <xdr:row>740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3F7534DB-A094-40BA-9C55-C83996DBD30D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681</xdr:row>
      <xdr:rowOff>0</xdr:rowOff>
    </xdr:from>
    <xdr:to>
      <xdr:col>28</xdr:col>
      <xdr:colOff>83820</xdr:colOff>
      <xdr:row>681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53ACCE03-34E6-4B6A-B7C8-D5944D879B8D}"/>
            </a:ext>
          </a:extLst>
        </xdr:cNvPr>
        <xdr:cNvSpPr/>
      </xdr:nvSpPr>
      <xdr:spPr>
        <a:xfrm>
          <a:off x="11803380" y="10882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682</xdr:row>
      <xdr:rowOff>0</xdr:rowOff>
    </xdr:from>
    <xdr:to>
      <xdr:col>28</xdr:col>
      <xdr:colOff>83820</xdr:colOff>
      <xdr:row>682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390D0938-F76D-4449-8402-6D521105B66D}"/>
            </a:ext>
          </a:extLst>
        </xdr:cNvPr>
        <xdr:cNvSpPr/>
      </xdr:nvSpPr>
      <xdr:spPr>
        <a:xfrm>
          <a:off x="11803380" y="10900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683</xdr:row>
      <xdr:rowOff>0</xdr:rowOff>
    </xdr:from>
    <xdr:to>
      <xdr:col>28</xdr:col>
      <xdr:colOff>83820</xdr:colOff>
      <xdr:row>683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E7033E4B-9D6C-447D-BBC1-7FEBEE383611}"/>
            </a:ext>
          </a:extLst>
        </xdr:cNvPr>
        <xdr:cNvSpPr/>
      </xdr:nvSpPr>
      <xdr:spPr>
        <a:xfrm>
          <a:off x="11803380" y="10918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684</xdr:row>
      <xdr:rowOff>0</xdr:rowOff>
    </xdr:from>
    <xdr:to>
      <xdr:col>28</xdr:col>
      <xdr:colOff>83820</xdr:colOff>
      <xdr:row>684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44518D7-BD1A-475A-81B2-A769FFFDA53C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685</xdr:row>
      <xdr:rowOff>0</xdr:rowOff>
    </xdr:from>
    <xdr:to>
      <xdr:col>28</xdr:col>
      <xdr:colOff>83820</xdr:colOff>
      <xdr:row>685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976BE31D-D868-4A8E-BD0B-E8464E9C019D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686</xdr:row>
      <xdr:rowOff>0</xdr:rowOff>
    </xdr:from>
    <xdr:to>
      <xdr:col>28</xdr:col>
      <xdr:colOff>83820</xdr:colOff>
      <xdr:row>686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3769235E-9CED-4EF4-A221-FFD095752629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687</xdr:row>
      <xdr:rowOff>0</xdr:rowOff>
    </xdr:from>
    <xdr:to>
      <xdr:col>28</xdr:col>
      <xdr:colOff>83820</xdr:colOff>
      <xdr:row>687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DFA70FB2-0DF6-4E71-9434-D8C6E656E3A5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688</xdr:row>
      <xdr:rowOff>0</xdr:rowOff>
    </xdr:from>
    <xdr:to>
      <xdr:col>28</xdr:col>
      <xdr:colOff>83820</xdr:colOff>
      <xdr:row>688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B841A3A8-DE63-4A30-AFBC-C9DAD173AAD5}"/>
            </a:ext>
          </a:extLst>
        </xdr:cNvPr>
        <xdr:cNvSpPr/>
      </xdr:nvSpPr>
      <xdr:spPr>
        <a:xfrm>
          <a:off x="11803380" y="11010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689</xdr:row>
      <xdr:rowOff>0</xdr:rowOff>
    </xdr:from>
    <xdr:to>
      <xdr:col>28</xdr:col>
      <xdr:colOff>83820</xdr:colOff>
      <xdr:row>689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1DF6063D-E1E4-4DE0-ABE5-715EE94F270F}"/>
            </a:ext>
          </a:extLst>
        </xdr:cNvPr>
        <xdr:cNvSpPr/>
      </xdr:nvSpPr>
      <xdr:spPr>
        <a:xfrm>
          <a:off x="11803380" y="11028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23E2934B-6F57-41B4-97DD-0808FA94D0D1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0D77F79D-EB5D-4B23-A842-EA225167A683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27</xdr:col>
      <xdr:colOff>152400</xdr:colOff>
      <xdr:row>691</xdr:row>
      <xdr:rowOff>0</xdr:rowOff>
    </xdr:from>
    <xdr:to>
      <xdr:col>28</xdr:col>
      <xdr:colOff>76200</xdr:colOff>
      <xdr:row>691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5FBD6406-539C-4F34-A1F8-CA3D2A42F21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152400</xdr:colOff>
      <xdr:row>692</xdr:row>
      <xdr:rowOff>0</xdr:rowOff>
    </xdr:from>
    <xdr:to>
      <xdr:col>28</xdr:col>
      <xdr:colOff>76200</xdr:colOff>
      <xdr:row>692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F8F6D43F-B0B8-4D32-B7CD-AB61464B874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693</xdr:row>
      <xdr:rowOff>0</xdr:rowOff>
    </xdr:from>
    <xdr:to>
      <xdr:col>28</xdr:col>
      <xdr:colOff>83820</xdr:colOff>
      <xdr:row>693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119C6E4C-9234-4FAE-BE67-54CA2ECF8765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694</xdr:row>
      <xdr:rowOff>0</xdr:rowOff>
    </xdr:from>
    <xdr:to>
      <xdr:col>28</xdr:col>
      <xdr:colOff>83820</xdr:colOff>
      <xdr:row>694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C30BADAF-9E8E-485F-916E-49AEAD8DEE39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L891"/>
  <sheetViews>
    <sheetView tabSelected="1" topLeftCell="A711" zoomScaleNormal="100" workbookViewId="0">
      <selection activeCell="BI740" sqref="BI740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2.66406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11.66406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0.109375" bestFit="1" customWidth="1"/>
    <col min="78" max="78" width="2.109375" customWidth="1"/>
    <col min="79" max="79" width="11.44140625" customWidth="1"/>
    <col min="80" max="80" width="1.33203125" customWidth="1"/>
    <col min="81" max="81" width="11.44140625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11" t="s">
        <v>5</v>
      </c>
      <c r="C1" s="611"/>
      <c r="D1" s="611"/>
    </row>
    <row r="2" spans="2:90" ht="15.6" x14ac:dyDescent="0.3">
      <c r="B2" s="611" t="s">
        <v>6</v>
      </c>
      <c r="C2" s="611"/>
      <c r="D2" s="611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4" t="s">
        <v>13</v>
      </c>
      <c r="C3" s="614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12" t="s">
        <v>11</v>
      </c>
      <c r="K4" s="613"/>
      <c r="L4" s="613"/>
      <c r="M4" s="613"/>
      <c r="N4" s="613"/>
      <c r="O4" s="613"/>
      <c r="P4" s="613"/>
      <c r="Q4" s="613"/>
      <c r="R4" s="613"/>
      <c r="S4" s="613"/>
      <c r="T4" s="613"/>
      <c r="U4" s="613"/>
      <c r="V4" s="613"/>
      <c r="W4" s="613"/>
      <c r="X4" s="613"/>
      <c r="Y4" s="613"/>
      <c r="Z4" s="613"/>
      <c r="AA4" s="613"/>
      <c r="AB4" s="613"/>
      <c r="AC4" s="613"/>
      <c r="AD4" s="11"/>
      <c r="AE4" s="282"/>
      <c r="AF4" s="404"/>
      <c r="AG4" s="404"/>
      <c r="AH4" s="404"/>
      <c r="AI4" s="404"/>
      <c r="AJ4" s="12"/>
      <c r="AL4" s="591" t="s">
        <v>14</v>
      </c>
      <c r="AM4" s="592"/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  <c r="BK4" s="592"/>
      <c r="BL4" s="592"/>
      <c r="BM4" s="592"/>
      <c r="BN4" s="592"/>
      <c r="BO4" s="592"/>
      <c r="BP4" s="592"/>
      <c r="BQ4" s="592"/>
      <c r="BR4" s="592"/>
      <c r="BS4" s="592"/>
      <c r="BT4" s="592"/>
      <c r="BU4" s="593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5" t="s">
        <v>12</v>
      </c>
      <c r="G6" s="615"/>
      <c r="H6" s="615"/>
      <c r="I6" s="615"/>
      <c r="J6" s="615"/>
      <c r="K6" s="615"/>
      <c r="L6" s="615"/>
      <c r="M6" s="292"/>
      <c r="N6" s="499"/>
      <c r="O6" s="292"/>
      <c r="P6" s="293"/>
      <c r="Q6" s="621" t="s">
        <v>111</v>
      </c>
      <c r="R6" s="615"/>
      <c r="S6" s="615"/>
      <c r="T6" s="615"/>
      <c r="U6" s="622"/>
      <c r="V6" s="3"/>
      <c r="W6" s="8" t="s">
        <v>7</v>
      </c>
      <c r="X6" s="30"/>
      <c r="Y6" s="616">
        <v>1.2500000000000001E-2</v>
      </c>
      <c r="Z6" s="616"/>
      <c r="AA6" s="616"/>
      <c r="AB6" s="616"/>
      <c r="AC6" s="616"/>
      <c r="AD6" s="616"/>
      <c r="AE6" s="616"/>
      <c r="AF6" s="616"/>
      <c r="AG6" s="616"/>
      <c r="AH6" s="616"/>
      <c r="AI6" s="616"/>
      <c r="AJ6" s="617"/>
      <c r="AK6" s="3"/>
      <c r="AL6" s="600" t="s">
        <v>25</v>
      </c>
      <c r="AM6" s="601"/>
      <c r="AN6" s="601"/>
      <c r="AO6" s="601"/>
      <c r="AP6" s="601"/>
      <c r="AQ6" s="601"/>
      <c r="AR6" s="601"/>
      <c r="AS6" s="601"/>
      <c r="AT6" s="601"/>
      <c r="AU6" s="601"/>
      <c r="AV6" s="601"/>
      <c r="AW6" s="601"/>
      <c r="AX6" s="601"/>
      <c r="AY6" s="602"/>
      <c r="AZ6" s="3"/>
      <c r="BA6" s="603" t="s">
        <v>7</v>
      </c>
      <c r="BB6" s="595"/>
      <c r="BC6" s="595"/>
      <c r="BD6" s="85"/>
      <c r="BE6" s="594" t="s">
        <v>24</v>
      </c>
      <c r="BF6" s="594"/>
      <c r="BG6" s="594"/>
      <c r="BH6" s="594"/>
      <c r="BI6" s="594"/>
      <c r="BJ6" s="594"/>
      <c r="BK6" s="594"/>
      <c r="BL6" s="594"/>
      <c r="BM6" s="594"/>
      <c r="BN6" s="594"/>
      <c r="BO6" s="594"/>
      <c r="BP6" s="594"/>
      <c r="BQ6" s="594"/>
      <c r="BR6" s="595"/>
      <c r="BS6" s="595"/>
      <c r="BT6" s="595"/>
      <c r="BU6" s="596"/>
      <c r="BV6" s="3"/>
    </row>
    <row r="7" spans="2:90" ht="16.2" x14ac:dyDescent="0.3">
      <c r="D7" s="597" t="s">
        <v>20</v>
      </c>
      <c r="E7" s="598"/>
      <c r="F7" s="598"/>
      <c r="G7" s="598"/>
      <c r="H7" s="598"/>
      <c r="I7" s="598"/>
      <c r="J7" s="598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8" t="s">
        <v>33</v>
      </c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20"/>
      <c r="AK7" s="3"/>
      <c r="AL7" s="597" t="s">
        <v>68</v>
      </c>
      <c r="AM7" s="598"/>
      <c r="AN7" s="598"/>
      <c r="AO7" s="598"/>
      <c r="AP7" s="598"/>
      <c r="AQ7" s="598"/>
      <c r="AR7" s="598"/>
      <c r="AS7" s="598"/>
      <c r="AT7" s="598"/>
      <c r="AU7" s="598"/>
      <c r="AV7" s="598"/>
      <c r="AW7" s="598"/>
      <c r="AX7" s="598"/>
      <c r="AY7" s="599"/>
      <c r="BA7" s="597" t="s">
        <v>23</v>
      </c>
      <c r="BB7" s="598"/>
      <c r="BC7" s="598"/>
      <c r="BD7" s="598"/>
      <c r="BE7" s="598"/>
      <c r="BF7" s="598"/>
      <c r="BG7" s="598"/>
      <c r="BH7" s="598"/>
      <c r="BI7" s="598"/>
      <c r="BJ7" s="598"/>
      <c r="BK7" s="598"/>
      <c r="BL7" s="598"/>
      <c r="BM7" s="598"/>
      <c r="BN7" s="598"/>
      <c r="BO7" s="598"/>
      <c r="BP7" s="598"/>
      <c r="BQ7" s="598"/>
      <c r="BR7" s="598"/>
      <c r="BS7" s="598"/>
      <c r="BT7" s="598"/>
      <c r="BU7" s="599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589" t="s">
        <v>1</v>
      </c>
      <c r="BB8" s="590"/>
      <c r="BC8" s="590"/>
      <c r="BD8" s="63"/>
      <c r="BE8" s="590" t="s">
        <v>22</v>
      </c>
      <c r="BF8" s="590"/>
      <c r="BG8" s="590"/>
      <c r="BH8" s="590"/>
      <c r="BI8" s="604"/>
      <c r="BJ8" s="605" t="s">
        <v>111</v>
      </c>
      <c r="BK8" s="606"/>
      <c r="BL8" s="606"/>
      <c r="BM8" s="607"/>
      <c r="BN8" s="589" t="s">
        <v>22</v>
      </c>
      <c r="BO8" s="590"/>
      <c r="BP8" s="590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SUM(D102:D745)</f>
        <v>68574666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SUM(D109:D752)</f>
        <v>108522953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SUM(D116:D759)</f>
        <v>108974628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SUM(D123:D769)</f>
        <v>439579758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SUM(D124:D770)</f>
        <v>439518039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SUM(D125:D771)</f>
        <v>439459690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SUM(D126:D772)</f>
        <v>439394202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SUM(D127:D773)</f>
        <v>439328154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SUM(D128:D774)</f>
        <v>439256159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SUM(D129:D775)</f>
        <v>516182771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SUM(D130:D776)</f>
        <v>516107784.23262841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SUM(D131:D777)</f>
        <v>516044525.23262841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SUM(D132:D778)</f>
        <v>846979246.23262835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SUM(D133:D779)</f>
        <v>891270367.23262835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SUM(D134:D780)</f>
        <v>891202888.30462837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SUM(D135:D781)</f>
        <v>891130921.30462837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SUM(D136:D782)</f>
        <v>891061478.34662843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SUM(D137:D783)</f>
        <v>891984444.34662843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SUM(D138:D784)</f>
        <v>891917031.34662843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SUM(D139:D785)</f>
        <v>891860901.34662843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SUM(D140:D786)</f>
        <v>891799330.34662843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SUM(D141:D787)</f>
        <v>891734601.34662843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SUM(D142:D788)</f>
        <v>891667680.34662843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SUM(D143:D789)</f>
        <v>891599111.34662843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SUM(D144:D790)</f>
        <v>891528028.34662843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SUM(D145:D791)</f>
        <v>891469487.34662843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SUM(D146:D792)</f>
        <v>891420449.34662843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SUM(D147:D793)</f>
        <v>891371803.34662843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SUM(D148:D794)</f>
        <v>891317239.34662843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SUM(D149:D795)</f>
        <v>891262091.34662843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SUM(D150:D796)</f>
        <v>891203381.34662843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SUM(D151:D797)</f>
        <v>891140135.34662843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SUM(D152:D798)</f>
        <v>891085936.34662843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SUM(D153:D799)</f>
        <v>891038087.34662843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SUM(D154:D800)</f>
        <v>890988287.34662843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SUM(D155:D801)</f>
        <v>890933768.34662843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SUM(D156:D802)</f>
        <v>890879423.34662843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SUM(D157:D803)</f>
        <v>890824059.34662843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SUM(D158:D804)</f>
        <v>890763459.34662843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SUM(D159:D805)</f>
        <v>890709936.34662843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SUM(D160:D806)</f>
        <v>890673093.34662843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SUM(D161:D807)</f>
        <v>890632481.34662843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SUM(D162:D808)</f>
        <v>890588482.34662843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SUM(D163:D809)</f>
        <v>890543509.34662843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SUM(D164:D810)</f>
        <v>890498152.34662843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SUM(D165:D811)</f>
        <v>890447671.34662843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SUM(D166:D812)</f>
        <v>890403842.34662843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SUM(D167:D813)</f>
        <v>890371124.34662843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SUM(D168:D814)</f>
        <v>890329640.34662843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SUM(D169:D815)</f>
        <v>890289542.34662843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SUM(D170:D816)</f>
        <v>890244905.34662843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SUM(D171:D817)</f>
        <v>890198899.34662843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SUM(D172:D818)</f>
        <v>890149298.34662843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SUM(D173:D819)</f>
        <v>890106638.34662843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SUM(D174:D820)</f>
        <v>890072657.34662843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SUM(D175:D821)</f>
        <v>890034097.34662843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SUM(D176:D822)</f>
        <v>889992118.34662843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SUM(D177:D823)</f>
        <v>889950907.34662843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SUM(D178:D824)</f>
        <v>889905443.34662843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SUM(D179:D825)</f>
        <v>889852594.34662843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SUM(D180:D826)</f>
        <v>889810502.34662843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SUM(D181:D827)</f>
        <v>889779392.34662843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SUM(D182:D831)</f>
        <v>889753972.34662843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SUM(D183:D832)</f>
        <v>889725533.34662843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SUM(D184:D833)</f>
        <v>889690290.34662843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SUM(D185:D834)</f>
        <v>923365765.06091416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SUM(D186:D835)</f>
        <v>974176307.91805696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SUM(D187:D836)</f>
        <v>1042708454.4894855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SUM(D188:D838)</f>
        <v>1042676597.4894855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SUM(D189:D839)</f>
        <v>1220223801.060914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SUM(D190:D843)</f>
        <v>1220187354.060914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SUM(D191:D844)</f>
        <v>1220147200.060914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SUM(D192:D845)</f>
        <v>1220100905.060914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SUM(D193:D846)</f>
        <v>1220049560.060914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SUM(D194:D847)</f>
        <v>1220005947.060914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SUM(D195:D848)</f>
        <v>1219972561.060914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SUM(D196:D854)</f>
        <v>1219935757.060914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SUM(D197:D855)</f>
        <v>1219900061.060914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SUM(D198:D856)</f>
        <v>1219858445.060914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SUM(D199:D857)</f>
        <v>1219813090.060914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SUM(D200:D859)</f>
        <v>1219759461.060914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SUM(D201:D861)</f>
        <v>1219716255.060914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SUM(D202:D862)</f>
        <v>1219682473.060914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SUM(D203:D863)</f>
        <v>1219645055.060914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SUM(D204:D864)</f>
        <v>1219600828.060914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SUM(D205:D865)</f>
        <v>1219559899.060914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SUM(D206:D866)</f>
        <v>1219512510.060914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SUM(D207:D867)</f>
        <v>1219461107.060914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SUM(D208:D868)</f>
        <v>1219412182.060914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SUM(D209:D869)</f>
        <v>1219378116.060914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SUM(D210:D870)</f>
        <v>1219340399.060914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SUM(D211:D871)</f>
        <v>1219295731.060914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SUM(D212:D872)</f>
        <v>1219246373.060914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SUM(D213:D873)</f>
        <v>1219189055.060914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SUM(D214:D874)</f>
        <v>1219128072.060914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SUM(D215:D875)</f>
        <v>1219073837.060914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SUM(D216:D876)</f>
        <v>1219031902.060914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SUM(D217:D877)</f>
        <v>1218986111.060914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SUM(D218:D878)</f>
        <v>1218934577.060914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SUM(D219:D879)</f>
        <v>1218874884.060914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SUM(D220:D880)</f>
        <v>1218808755.060914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SUM(D221:D881)</f>
        <v>1218737068.060914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SUM(D222:D882)</f>
        <v>1218682836.060914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SUM(D223:D883)</f>
        <v>1218637895.060914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SUM(D224:D884)</f>
        <v>1218580568.060914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SUM(D225:D885)</f>
        <v>1218518496.060914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SUM(D226:D886)</f>
        <v>1218454833.060914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SUM(D227:D887)</f>
        <v>1218380532.060914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SUM(D228:D888)</f>
        <v>1218299118.060914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SUM(D229:D889)</f>
        <v>1218219669.060914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SUM(D230:D890)</f>
        <v>1218158780.060914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SUM(D231:D891)</f>
        <v>1218088939.060914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SUM(D232:D892)</f>
        <v>1218013867.060914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SUM(D233:D893)</f>
        <v>1217932286.060914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SUM(D234:D894)</f>
        <v>1217840756.060914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SUM(D235:D895)</f>
        <v>1217739295.060914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SUM(D236:D896)</f>
        <v>1217653002.060914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SUM(D237:D897)</f>
        <v>1217581681.060914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SUM(D238:D898)</f>
        <v>1217492776.060914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SUM(D239:D899)</f>
        <v>1217398309.060914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SUM(D240:D900)</f>
        <v>1217289920.060914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SUM(D241:D901)</f>
        <v>1217171601.060914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SUM(D242:D902)</f>
        <v>1217039060.060914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SUM(D243:D903)</f>
        <v>1216914670.060914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SUM(D244:D904)</f>
        <v>1216811944.060914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SUM(D245:D905)</f>
        <v>1216686255.060914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SUM(D246:D906)</f>
        <v>1216550602.060914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SUM(D247:D907)</f>
        <v>1216407696.060914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SUM(D248:D908)</f>
        <v>1216246155.060914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SUM(D249:D909)</f>
        <v>1216062628.060914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SUM(D250:D910)</f>
        <v>1215905375.060914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SUM(D251:D911)</f>
        <v>1215767126.060914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SUM(D252:D912)</f>
        <v>1215604977.060914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SUM(D253:D913)</f>
        <v>1215447716.060914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SUM(D254:D914)</f>
        <v>1215273948.060914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SUM(D255:D915)</f>
        <v>1215081762.060914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SUM(D256:D916)</f>
        <v>1214877583.060914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SUM(D257:D917)</f>
        <v>1214704744.060914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SUM(D258:D918)</f>
        <v>1214568117.060914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SUM(D259:D919)</f>
        <v>1214395817.060914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SUM(D260:D920)</f>
        <v>1214218735.060914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SUM(D261:D921)</f>
        <v>1214037832.060914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SUM(D262:D922)</f>
        <v>1213929769.060914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SUM(D263:D923)</f>
        <v>1213765757.060914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SUM(D264:D924)</f>
        <v>1213622384.060914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SUM(D265:D925)</f>
        <v>1213484196.060914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SUM(D266:D926)</f>
        <v>1213322628.060914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SUM(D267:D927)</f>
        <v>1213140352.060914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SUM(D268:D928)</f>
        <v>1212936615.060914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SUM(D269:D929)</f>
        <v>1212718039.060914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SUM(D270:D930)</f>
        <v>1212482767.060914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SUM(D271:D931)</f>
        <v>1212270284.060914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SUM(D272:D932)</f>
        <v>1212087505.060914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SUM(D273:D933)</f>
        <v>1211887420.060914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SUM(D274:D934)</f>
        <v>1211677664.060914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SUM(D275:D935)</f>
        <v>1211450711.060914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SUM(D276:D936)</f>
        <v>1211223397.060914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SUM(D277:D937)</f>
        <v>1210976636.060914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SUM(D278:D938)</f>
        <v>1210756338.060914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SUM(D279:D939)</f>
        <v>1210568437.060914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SUM(D280:D940)</f>
        <v>1210368705.060914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SUM(D281:D941)</f>
        <v>1210168670.060914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SUM(D282:D942)</f>
        <v>1209918497.060914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SUM(D283:D943)</f>
        <v>1209680625.060914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SUM(D284:D944)</f>
        <v>1209425945.060914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SUM(D285:D945)</f>
        <v>1209236295.060914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SUM(D286:D946)</f>
        <v>1209048015.060914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SUM(D287:D947)</f>
        <v>1208847906.060914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SUM(D288:D948)</f>
        <v>1208648826.060914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SUM(D289:D949)</f>
        <v>1208416484.060914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SUM(D290:D950)</f>
        <v>1208223454.060914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SUM(D291:D951)</f>
        <v>1208124614.060914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SUM(D292:D952)</f>
        <v>1207964010.060914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SUM(D293:D953)</f>
        <v>1207836270.060914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SUM(D294:D954)</f>
        <v>1207649879.060914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SUM(D295:D955)</f>
        <v>1207450257.060914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SUM(D296:D956)</f>
        <v>1207215482.060914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SUM(D297:D957)</f>
        <v>1206987069.060914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SUM(D298:D958)</f>
        <v>1206821025.060914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SUM(D299:D959)</f>
        <v>1206588798.060914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SUM(D300:D960)</f>
        <v>1206394461.060914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SUM(D301:D961)</f>
        <v>1206204299.060914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SUM(D302:D962)</f>
        <v>1205969588.060914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SUM(D303:D963)</f>
        <v>1205708615.060914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SUM(D304:D964)</f>
        <v>1205434425.060914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SUM(D305:D965)</f>
        <v>1205127976.060914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SUM(D306:D966)</f>
        <v>1204878282.060914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SUM(D307:D967)</f>
        <v>1204657455.060914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SUM(D308:D968)</f>
        <v>1204442772.060914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SUM(D309:D969)</f>
        <v>1204219144.060914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SUM(D310:D970)</f>
        <v>1203981071.060914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SUM(D311:D971)</f>
        <v>1203746652.060914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SUM(D312:D972)</f>
        <v>1203497846.060914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SUM(D313:D973)</f>
        <v>1203295079.060914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SUM(D314:D974)</f>
        <v>1203120519.060914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SUM(D315:D975)</f>
        <v>1202971191.060914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SUM(D316:D976)</f>
        <v>1202796813.060914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SUM(D317:D977)</f>
        <v>1202606732.060914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SUM(D318:D978)</f>
        <v>1202412974.060914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SUM(D319:D979)</f>
        <v>1202220909.060914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SUM(D320:D980)</f>
        <v>1202047842.060914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SUM(D321:D981)</f>
        <v>1201912660.060914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SUM(D322:D982)</f>
        <v>1201760416.060914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SUM(D323:D983)</f>
        <v>1201608689.060914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SUM(D324:D984)</f>
        <v>1201448658.060914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SUM(D325:D985)</f>
        <v>1201286025.060914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SUM(D326:D986)</f>
        <v>1201116992.060914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SUM(D327:D987)</f>
        <v>1200976260.060914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SUM(D328:D988)</f>
        <v>1200868444.060914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SUM(D329:D989)</f>
        <v>1200741992.060914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SUM(D330:D990)</f>
        <v>1200625765.060914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SUM(D331:D991)</f>
        <v>1200512306.060914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SUM(D332:D992)</f>
        <v>1200390569.060914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SUM(D333:D993)</f>
        <v>1200264444.060914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SUM(D334:D994)</f>
        <v>1200158461.060914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SUM(D335:D995)</f>
        <v>1200067205.060914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SUM(D336:D996)</f>
        <v>1199976859.060914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SUM(D337:D997)</f>
        <v>1199881317.060914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SUM(D338:D998)</f>
        <v>1199784511.060914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SUM(D339:D999)</f>
        <v>1199680267.060914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SUM(D340:D1000)</f>
        <v>1199579979.060914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SUM(D341:D1001)</f>
        <v>1199493495.060914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SUM(D342:D1002)</f>
        <v>1199429198.060914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SUM(D343:D1003)</f>
        <v>1199376413.060914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SUM(D344:D1004)</f>
        <v>1199313015.060914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SUM(D345:D1005)</f>
        <v>1199241375.060914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SUM(D346:D1006)</f>
        <v>1199172451.060914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SUM(D347:D1007)</f>
        <v>1199086912.060914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SUM(D348:D1008)</f>
        <v>1199017295.060914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SUM(D349:D1009)</f>
        <v>1198960070.060914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SUM(D350:D1010)</f>
        <v>1198889016.060914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SUM(D351:D1011)</f>
        <v>1198815312.060914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SUM(D352:D1012)</f>
        <v>1198740013.060914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SUM(D353:D1013)</f>
        <v>1198662636.060914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SUM(D354:D1014)</f>
        <v>1198582011.060914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SUM(D355:D1015)</f>
        <v>1198517691.060914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SUM(D356:D1016)</f>
        <v>1198468279.060914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SUM(D357:D1017)</f>
        <v>1198413098.060914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SUM(D358:D1018)</f>
        <v>1198356208.060914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SUM(D359:D1019)</f>
        <v>1198288983.060914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SUM(D360:D1020)</f>
        <v>1198220662.060914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SUM(D361:D1021)</f>
        <v>1198151422.060914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SUM(D362:D1022)</f>
        <v>1198093194.060914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SUM(D363:D1023)</f>
        <v>1198051227.060914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SUM(D364:D1024)</f>
        <v>1198005859.060914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SUM(D365:D1025)</f>
        <v>1197950176.060914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SUM(D366:D1026)</f>
        <v>1197888816.060914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SUM(D367:D1027)</f>
        <v>1197826043.060914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SUM(D368:D1028)</f>
        <v>1197759258.060914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SUM(D369:D1029)</f>
        <v>1197709540.060914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SUM(D370:D1030)</f>
        <v>1197672644.060914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SUM(D371:D1031)</f>
        <v>1197625877.060914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SUM(D372:D1032)</f>
        <v>1197572646.060914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SUM(D373:D1033)</f>
        <v>1197509151.060914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SUM(D374:D1034)</f>
        <v>1197446522.060914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SUM(D375:D1035)</f>
        <v>1197380109.060914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SUM(D376:D1036)</f>
        <v>1197324201.060914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SUM(D377:D1037)</f>
        <v>1197284696.060914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SUM(D378:D1038)</f>
        <v>1197238948.060914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SUM(D379:D1039)</f>
        <v>1197180243.060914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SUM(D380:D1040)</f>
        <v>1197113705.060914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SUM(D381:D1041)</f>
        <v>1197046659.060914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SUM(D382:D1042)</f>
        <v>1196969683.060914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SUM(D383:D1043)</f>
        <v>1196906024.060914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SUM(D384:D1044)</f>
        <v>1196861928.060914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SUM(D385:D1045)</f>
        <v>1196801730.060914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SUM(D386:D1046)</f>
        <v>1196739271.060914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SUM(D387:D1047)</f>
        <v>1196670515.060914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SUM(D388:D1048)</f>
        <v>1196626264.060914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SUM(D389:D1049)</f>
        <v>1196556240.060914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SUM(D390:D1050)</f>
        <v>1196490086.060914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SUM(D391:D1051)</f>
        <v>1196453103.060914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SUM(D392:D1052)</f>
        <v>1196395459.060914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SUM(D393:D1053)</f>
        <v>1196333176.060914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SUM(D394:D1054)</f>
        <v>1196257993.060914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SUM(D395:D1055)</f>
        <v>1196177832.060914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SUM(D396:D1056)</f>
        <v>1196092464.060914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SUM(D397:D1057)</f>
        <v>1196025684.060914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SUM(D398:D1058)</f>
        <v>1195977810.060914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SUM(D399:D1059)</f>
        <v>1195921288.060914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SUM(D400:D1060)</f>
        <v>1195843568.060914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SUM(D401:D1061)</f>
        <v>1195765129.060914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SUM(D402:D1062)</f>
        <v>1195690650.060914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SUM(D403:D1063)</f>
        <v>1195608877.060914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SUM(D404:D1064)</f>
        <v>1195545296.060914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SUM(D405:D1065)</f>
        <v>1195502115.060914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SUM(D406:D1066)</f>
        <v>1195450465.060914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SUM(D407:D1067)</f>
        <v>1195390148.060914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SUM(D408:D1068)</f>
        <v>1195325091.060914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SUM(D409:D1069)</f>
        <v>1195258021.060914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SUM(D410:D1070)</f>
        <v>1195191506.060914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SUM(D411:D1071)</f>
        <v>1195138226.060914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SUM(D412:D1072)</f>
        <v>1195103490.060914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SUM(D413:D1073)</f>
        <v>1195056034.060914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SUM(D414:D1074)</f>
        <v>1195003988.060914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SUM(D415:D1075)</f>
        <v>1194947384.060914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SUM(D416:D1076)</f>
        <v>1194888115.060914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SUM(D417:D1077)</f>
        <v>1194828209.060914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SUM(D418:D1078)</f>
        <v>1194786175.060914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SUM(D419:D1079)</f>
        <v>1194755474.060914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SUM(D420:D1080)</f>
        <v>1194715020.060914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SUM(D421:D1081)</f>
        <v>1194672666.060914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SUM(D422:D1082)</f>
        <v>1194626537.060914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SUM(D423:D1083)</f>
        <v>1194578718.060914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SUM(D424:D1084)</f>
        <v>1194529227.060914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SUM(D425:D1085)</f>
        <v>1194493472.060914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SUM(D426:D1086)</f>
        <v>1194471272.060914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SUM(D427:D1087)</f>
        <v>1194441120.060914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SUM(D428:D1088)</f>
        <v>1194406216.060914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SUM(D429:D1089)</f>
        <v>1194370400.060914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SUM(D430:D1090)</f>
        <v>1194330575.060914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SUM(D431:D1091)</f>
        <v>1194291480.060914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SUM(D432:D1092)</f>
        <v>1194265838.060914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SUM(D433:D1093)</f>
        <v>1194248004.060914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SUM(D434:D1094)</f>
        <v>1194222974.060914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SUM(D435:D1095)</f>
        <v>1194195468.060914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SUM(D436:D1096)</f>
        <v>1194166927.060914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SUM(D437:D1097)</f>
        <v>1194136713.060914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SUM(D438:D1098)</f>
        <v>1194107699.060914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SUM(D439:D1099)</f>
        <v>1194088060.060914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SUM(D440:D1100)</f>
        <v>1194074519.060914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SUM(D441:D1101)</f>
        <v>1194054153.060914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SUM(D442:D1102)</f>
        <v>1194031415.060914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725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SUM(D443:D1103)</f>
        <v>1194007915.060914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SUM(D444:D1104)</f>
        <v>1193983522.060914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SUM(D445:D1105)</f>
        <v>1193960709.060914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SUM(D446:D1106)</f>
        <v>1193948048.060914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SUM(D447:D1107)</f>
        <v>1193940298.060914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SUM(D448:D1108)</f>
        <v>1193935063.060914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SUM(D449:D1109)</f>
        <v>1193922087.060914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SUM(D450:D1110)</f>
        <v>1193905113.060914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SUM(D451:D1111)</f>
        <v>1193887292.060914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SUM(D452:D1112)</f>
        <v>1193870367.060914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SUM(D453:D1113)</f>
        <v>1193858764.060914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SUM(D454:D1114)</f>
        <v>1193852356.060914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SUM(D455:D1115)</f>
        <v>1193840073.060914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SUM(D456:D1116)</f>
        <v>1193826531.060914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SUM(D457:D1117)</f>
        <v>1193812330.060914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SUM(D458:D1118)</f>
        <v>1193795566.060914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SUM(D459:D1119)</f>
        <v>1193779421.060914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SUM(D460:D1120)</f>
        <v>1193769994.060914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SUM(D461:D1121)</f>
        <v>1193764709.060914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SUM(D462:D1122)</f>
        <v>1193753188.060914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SUM(D463:D1123)</f>
        <v>1193740608.060914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SUM(D464:D1124)</f>
        <v>1193726545.060914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SUM(D465:D1125)</f>
        <v>1193712812.060914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SUM(D466:D1126)</f>
        <v>1193699423.060914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SUM(D467:D1127)</f>
        <v>1193691641.060914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SUM(D468:D1128)</f>
        <v>1193687219.060914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SUM(D469:D1129)</f>
        <v>1193677464.060914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SUM(D470:D1130)</f>
        <v>1193664590.060914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SUM(D471:D1131)</f>
        <v>1193651225.060914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SUM(D472:D1132)</f>
        <v>1193635765.060914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SUM(D473:D1133)</f>
        <v>1193620228.060914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SUM(D474:D1134)</f>
        <v>1193613642.060914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SUM(D475:D1135)</f>
        <v>1193606336.060914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SUM(D476:D1136)</f>
        <v>1193594354.060914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SUM(D477:D1137)</f>
        <v>1193582927.060914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SUM(D478:D1138)</f>
        <v>1193568730.060914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SUM(D479:D1139)</f>
        <v>1193551781.060914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SUM(D480:D1140)</f>
        <v>1193533382.060914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SUM(D481:D1141)</f>
        <v>1193525404.060914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SUM(D482:D1142)</f>
        <v>1193519655.060914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SUM(D483:D1143)</f>
        <v>1193514523.060914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SUM(D484:D1144)</f>
        <v>1193502911.060914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SUM(D485:D1145)</f>
        <v>1193486099.060914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SUM(D486:D1146)</f>
        <v>1193466752.060914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SUM(D487:D1147)</f>
        <v>1193439515.060914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SUM(D488:D1148)</f>
        <v>1193424980.060914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SUM(D489:D1149)</f>
        <v>1193418338.060914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744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SUM(D490:D1150)</f>
        <v>1193398342.060914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SUM(D491:D1151)</f>
        <v>1193358588.060914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SUM(D492:D1152)</f>
        <v>1193323141.060914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SUM(D493:D1153)</f>
        <v>1193286467.060914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SUM(D494:D1154)</f>
        <v>1193245938.060914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SUM(D495:D1155)</f>
        <v>1193221857.060914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SUM(D496:D1156)</f>
        <v>1193199579.060914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SUM(D497:D1157)</f>
        <v>1193167003.060914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SUM(D498:D1158)</f>
        <v>1193122771.060914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SUM(D499:D1159)</f>
        <v>1193066246.060914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SUM(D500:D1160)</f>
        <v>1193004595.060914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SUM(D501:D1161)</f>
        <v>1192937110.060914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SUM(D502:D1162)</f>
        <v>1192900331.060914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SUM(D503:D1163)</f>
        <v>1192886513.060914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SUM(D504:D1164)</f>
        <v>1192850697.060914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SUM(D505:D1165)</f>
        <v>1192789116.060914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SUM(D506:D1166)</f>
        <v>1192704582.060914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SUM(D507:D1167)</f>
        <v>1192620069.060914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SUM(D508:D1168)</f>
        <v>1192518971.060914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SUM(D509:D1169)</f>
        <v>1192467073.060914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SUM(D510:D1170)</f>
        <v>1192445305.060914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SUM(D511:D1171)</f>
        <v>1192388936.060914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SUM(D512:D1172)</f>
        <v>1192284178.060914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SUM(D513:D1173)</f>
        <v>1192171899.060914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SUM(D514:D1174)</f>
        <v>1192050954.060914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SUM(D515:D1175)</f>
        <v>1191920248.060914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SUM(D516:D1176)</f>
        <v>1191851298.060914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SUM(D517:D1177)</f>
        <v>1191826908.060914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SUM(D518:D1178)</f>
        <v>1191724533.060914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SUM(D519:D1179)</f>
        <v>1191623279.060914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SUM(D520:D1180)</f>
        <v>1191478644.060914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SUM(D521:D1181)</f>
        <v>1191335107.060914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SUM(D522:D1182)</f>
        <v>1191179810.060914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SUM(D523:D1183)</f>
        <v>1191108675.060914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SUM(D524:D1184)</f>
        <v>1191077792.060914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SUM(D525:D1185)</f>
        <v>1190974095.060914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SUM(D526:D1186)</f>
        <v>1190829801.060914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SUM(D527:D1187)</f>
        <v>1190671674.060914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SUM(D528:D1188)</f>
        <v>1190516757.060914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SUM(D529:D1189)</f>
        <v>1190365649.060914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SUM(D530:D1190)</f>
        <v>1190220566.060914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SUM(D531:D1191)</f>
        <v>1190121383.060914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SUM(D532:D1192)</f>
        <v>1190010249.060914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SUM(D533:D1193)</f>
        <v>1189862630.060914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SUM(D534:D1194)</f>
        <v>1189690893.060914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SUM(D535:D1195)</f>
        <v>1189513687.060914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SUM(D536:D1196)</f>
        <v>1189323317.060914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SUM(D537:D1197)</f>
        <v>1189250532.060914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SUM(D538:D1198)</f>
        <v>1189213270.060914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SUM(D539:D1199)</f>
        <v>1189093628.060914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SUM(D540:D1200)</f>
        <v>1188934962.060914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SUM(D541:D1201)</f>
        <v>1188750542.060914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SUM(D542:D1202)</f>
        <v>1188572974.060914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SUM(D543:D1203)</f>
        <v>1188390381.060914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SUM(D544:D1204)</f>
        <v>1188331699.060914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SUM(D545:D1205)</f>
        <v>1188296113.060914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SUM(D546:D1206)</f>
        <v>1188256469.060914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SUM(D547:D1207)</f>
        <v>1188140693.060914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SUM(D548:D1208)</f>
        <v>1187982934.060914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SUM(D549:D1209)</f>
        <v>1187822186.060914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SUM(D550:D1210)</f>
        <v>1187651061.060914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SUM(D551:D1211)</f>
        <v>1187578973.060914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3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3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3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3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3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3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3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3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3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3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3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3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3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3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3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3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3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3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3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3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3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3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3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3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3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3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3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3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3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3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3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3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3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3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3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3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3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3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3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3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3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740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3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3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3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3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3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3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3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3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3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3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3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3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3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3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3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3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3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3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3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3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3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3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3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3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3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3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3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3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3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3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3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3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3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3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3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3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3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3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3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3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3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3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3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3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3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3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3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3">
      <c r="B698" s="347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3">
      <c r="B699" s="158">
        <f t="shared" si="537"/>
        <v>44599</v>
      </c>
      <c r="C699" s="61"/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36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13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993">+AL699/AP698</f>
        <v>7.2491003340321766E-3</v>
      </c>
      <c r="AS699" s="25"/>
      <c r="AT699" s="25"/>
      <c r="AU699" s="24"/>
      <c r="AV699" s="298">
        <f t="shared" ref="AV699" si="994">+AP699/H699</f>
        <v>0.69882279495207678</v>
      </c>
      <c r="AW699" s="298"/>
      <c r="AX699" s="24">
        <f t="shared" ref="AX699" si="995">+AP699/BW699</f>
        <v>70067.123188405792</v>
      </c>
      <c r="AY699" s="308"/>
      <c r="BA699" s="65">
        <f t="shared" ref="BA699" si="996">+BC699-BC698</f>
        <v>3894838</v>
      </c>
      <c r="BB699" s="66"/>
      <c r="BC699" s="66">
        <v>918292478</v>
      </c>
      <c r="BD699" s="66"/>
      <c r="BE699" s="66">
        <f t="shared" ref="BE699" si="997">+D699</f>
        <v>153801</v>
      </c>
      <c r="BF699" s="66"/>
      <c r="BG699" s="144">
        <f t="shared" ref="BG699" si="99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999">+BC699/BW699</f>
        <v>1330858.6637681159</v>
      </c>
      <c r="BO699" s="66"/>
      <c r="BP699" s="66">
        <f t="shared" ref="BP699" si="1000">+BP698+BE699</f>
        <v>68275532</v>
      </c>
      <c r="BQ699" s="66"/>
      <c r="BR699" s="435">
        <f t="shared" ref="BR699" si="1001">+BP699/BC699</f>
        <v>7.4350529527042478E-2</v>
      </c>
      <c r="BS699" s="66"/>
      <c r="BT699" s="75"/>
      <c r="BU699" s="170"/>
      <c r="BV699" s="1"/>
      <c r="BW699" s="61">
        <f t="shared" si="399"/>
        <v>690</v>
      </c>
    </row>
    <row r="700" spans="2:85" x14ac:dyDescent="0.3">
      <c r="B700" s="158">
        <f t="shared" ref="B700:B701" si="1002">1+B699</f>
        <v>44600</v>
      </c>
      <c r="C700" s="61"/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36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13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14">+AL700/AP699</f>
        <v>9.9700049528076758E-3</v>
      </c>
      <c r="AS700" s="25"/>
      <c r="AT700" s="25"/>
      <c r="AU700" s="24"/>
      <c r="AV700" s="298">
        <f t="shared" ref="AV700" si="1015">+AP700/H700</f>
        <v>0.70396692675216244</v>
      </c>
      <c r="AW700" s="298"/>
      <c r="AX700" s="24">
        <f t="shared" ref="AX700" si="1016">+AP700/BW700</f>
        <v>70663.282199710564</v>
      </c>
      <c r="AY700" s="308"/>
      <c r="BA700" s="65">
        <f t="shared" ref="BA700" si="1017">+BC700-BC699</f>
        <v>1754519</v>
      </c>
      <c r="BB700" s="66"/>
      <c r="BC700" s="66">
        <v>920046997</v>
      </c>
      <c r="BD700" s="66"/>
      <c r="BE700" s="66">
        <f t="shared" ref="BE700" si="1018">+D700</f>
        <v>179169</v>
      </c>
      <c r="BF700" s="66"/>
      <c r="BG700" s="144">
        <f t="shared" ref="BG700" si="101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20">+BC700/BW700</f>
        <v>1331471.7756874096</v>
      </c>
      <c r="BO700" s="66"/>
      <c r="BP700" s="66">
        <f t="shared" ref="BP700" si="1021">+BP699+BE700</f>
        <v>68454701</v>
      </c>
      <c r="BQ700" s="66"/>
      <c r="BR700" s="435">
        <f t="shared" ref="BR700" si="1022">+BP700/BC700</f>
        <v>7.4403482890776723E-2</v>
      </c>
      <c r="BS700" s="66"/>
      <c r="BT700" s="75"/>
      <c r="BU700" s="170"/>
      <c r="BV700" s="1"/>
      <c r="BW700" s="61">
        <f t="shared" si="399"/>
        <v>691</v>
      </c>
    </row>
    <row r="701" spans="2:85" x14ac:dyDescent="0.3">
      <c r="B701" s="158">
        <f t="shared" si="1002"/>
        <v>44601</v>
      </c>
      <c r="C701" s="61"/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36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13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34">+AL701/AP700</f>
        <v>7.9672193567635573E-3</v>
      </c>
      <c r="AS701" s="25"/>
      <c r="AT701" s="25"/>
      <c r="AU701" s="24"/>
      <c r="AV701" s="298">
        <f t="shared" ref="AV701" si="1035">+AP701/H701</f>
        <v>0.70725627765724408</v>
      </c>
      <c r="AW701" s="298"/>
      <c r="AX701" s="24">
        <f t="shared" ref="AX701" si="1036">+AP701/BW701</f>
        <v>71123.343930635834</v>
      </c>
      <c r="AY701" s="308"/>
      <c r="BA701" s="65">
        <f t="shared" ref="BA701" si="1037">+BC701-BC700</f>
        <v>2083737</v>
      </c>
      <c r="BB701" s="66"/>
      <c r="BC701" s="66">
        <v>922130734</v>
      </c>
      <c r="BD701" s="66"/>
      <c r="BE701" s="66">
        <f t="shared" ref="BE701" si="1038">+D701</f>
        <v>227458</v>
      </c>
      <c r="BF701" s="66"/>
      <c r="BG701" s="144">
        <f t="shared" ref="BG701" si="103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40">+BC701/BW701</f>
        <v>1332558.8641618497</v>
      </c>
      <c r="BO701" s="66"/>
      <c r="BP701" s="66">
        <f t="shared" ref="BP701" si="1041">+BP700+BE701</f>
        <v>68682159</v>
      </c>
      <c r="BQ701" s="66"/>
      <c r="BR701" s="435">
        <f t="shared" ref="BR701" si="1042">+BP701/BC701</f>
        <v>7.4482019162371835E-2</v>
      </c>
      <c r="BS701" s="66"/>
      <c r="BT701" s="75"/>
      <c r="BU701" s="170"/>
      <c r="BV701" s="1"/>
      <c r="BW701" s="61">
        <f t="shared" si="399"/>
        <v>692</v>
      </c>
    </row>
    <row r="702" spans="2:85" x14ac:dyDescent="0.3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36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13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54">+AL702/AP701</f>
        <v>4.4330704978573212E-3</v>
      </c>
      <c r="AS702" s="25"/>
      <c r="AT702" s="25"/>
      <c r="AU702" s="24"/>
      <c r="AV702" s="298">
        <f t="shared" ref="AV702" si="1055">+AP702/H702</f>
        <v>0.70856657774481024</v>
      </c>
      <c r="AW702" s="298"/>
      <c r="AX702" s="24">
        <f t="shared" ref="AX702" si="1056">+AP702/BW702</f>
        <v>71335.552669552664</v>
      </c>
      <c r="AY702" s="308"/>
      <c r="BA702" s="65">
        <f t="shared" ref="BA702" si="1057">+BC702-BC701</f>
        <v>1860219</v>
      </c>
      <c r="BB702" s="66"/>
      <c r="BC702" s="66">
        <v>923990953</v>
      </c>
      <c r="BD702" s="66"/>
      <c r="BE702" s="66">
        <f t="shared" ref="BE702" si="1058">+D702</f>
        <v>179237</v>
      </c>
      <c r="BF702" s="66"/>
      <c r="BG702" s="144">
        <f t="shared" ref="BG702" si="105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60">+BC702/BW702</f>
        <v>1333320.2784992785</v>
      </c>
      <c r="BO702" s="66"/>
      <c r="BP702" s="66">
        <f t="shared" ref="BP702" si="1061">+BP701+BE702</f>
        <v>68861396</v>
      </c>
      <c r="BQ702" s="66"/>
      <c r="BR702" s="435">
        <f t="shared" ref="BR702" si="1062">+BP702/BC702</f>
        <v>7.4526050040232369E-2</v>
      </c>
      <c r="BS702" s="66"/>
      <c r="BT702" s="75"/>
      <c r="BU702" s="170"/>
      <c r="BV702" s="1"/>
      <c r="BW702" s="61">
        <f t="shared" si="399"/>
        <v>693</v>
      </c>
      <c r="BZ702" s="1"/>
      <c r="CA702" s="61"/>
    </row>
    <row r="703" spans="2:85" x14ac:dyDescent="0.3">
      <c r="B703" s="158">
        <f t="shared" ref="B703:B743" si="1063">1+B702</f>
        <v>44603</v>
      </c>
      <c r="C703" s="61"/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36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13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75">+AL703/AP702</f>
        <v>3.8649523749493733E-3</v>
      </c>
      <c r="AS703" s="25"/>
      <c r="AT703" s="25"/>
      <c r="AU703" s="24"/>
      <c r="AV703" s="298">
        <f t="shared" ref="AV703" si="1076">+AP703/H703</f>
        <v>0.70978607245788372</v>
      </c>
      <c r="AW703" s="298"/>
      <c r="AX703" s="24">
        <f t="shared" ref="AX703" si="1077">+AP703/BW703</f>
        <v>71508.074927953887</v>
      </c>
      <c r="AY703" s="308"/>
      <c r="BA703" s="65">
        <f t="shared" ref="BA703" si="1078">+BC703-BC702</f>
        <v>1711680</v>
      </c>
      <c r="BB703" s="66"/>
      <c r="BC703" s="66">
        <v>925702633</v>
      </c>
      <c r="BD703" s="66"/>
      <c r="BE703" s="66">
        <f t="shared" ref="BE703" si="1079">+D703</f>
        <v>149318</v>
      </c>
      <c r="BF703" s="66"/>
      <c r="BG703" s="144">
        <f t="shared" ref="BG703" si="108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81">+BC703/BW703</f>
        <v>1333865.4654178675</v>
      </c>
      <c r="BO703" s="66"/>
      <c r="BP703" s="66">
        <f t="shared" ref="BP703" si="1082">+BP702+BE703</f>
        <v>69010714</v>
      </c>
      <c r="BQ703" s="66"/>
      <c r="BR703" s="435">
        <f t="shared" ref="BR703" si="1083">+BP703/BC703</f>
        <v>7.4549549217929043E-2</v>
      </c>
      <c r="BS703" s="66"/>
      <c r="BT703" s="75"/>
      <c r="BU703" s="170"/>
      <c r="BV703" s="1"/>
      <c r="BW703" s="61">
        <f t="shared" si="399"/>
        <v>694</v>
      </c>
      <c r="BZ703" s="1"/>
      <c r="CA703" s="61"/>
    </row>
    <row r="704" spans="2:85" x14ac:dyDescent="0.3">
      <c r="B704" s="158">
        <f t="shared" si="1063"/>
        <v>44604</v>
      </c>
      <c r="C704" s="61"/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36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13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095">+AL704/AP703</f>
        <v>2.6757825298704702E-3</v>
      </c>
      <c r="AS704" s="25"/>
      <c r="AT704" s="25"/>
      <c r="AU704" s="24"/>
      <c r="AV704" s="298">
        <f t="shared" ref="AV704" si="1096">+AP704/H704</f>
        <v>0.7110793731867594</v>
      </c>
      <c r="AW704" s="298"/>
      <c r="AX704" s="24">
        <f t="shared" ref="AX704" si="1097">+AP704/BW704</f>
        <v>71596.250359712227</v>
      </c>
      <c r="AY704" s="308"/>
      <c r="BA704" s="65">
        <f t="shared" ref="BA704" si="1098">+BC704-BC703</f>
        <v>535429</v>
      </c>
      <c r="BB704" s="66"/>
      <c r="BC704" s="66">
        <v>926238062</v>
      </c>
      <c r="BD704" s="66"/>
      <c r="BE704" s="66">
        <f t="shared" ref="BE704" si="1099">+D704</f>
        <v>59579</v>
      </c>
      <c r="BF704" s="66"/>
      <c r="BG704" s="144">
        <f t="shared" ref="BG704" si="110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01">+BC704/BW704</f>
        <v>1332716.635971223</v>
      </c>
      <c r="BO704" s="66"/>
      <c r="BP704" s="66">
        <f t="shared" ref="BP704" si="1102">+BP703+BE704</f>
        <v>69070293</v>
      </c>
      <c r="BQ704" s="66"/>
      <c r="BR704" s="435">
        <f t="shared" ref="BR704" si="1103">+BP704/BC704</f>
        <v>7.4570778111685929E-2</v>
      </c>
      <c r="BS704" s="66"/>
      <c r="BT704" s="75"/>
      <c r="BU704" s="170"/>
      <c r="BV704" s="1"/>
      <c r="BW704" s="61">
        <f t="shared" si="399"/>
        <v>695</v>
      </c>
      <c r="BZ704" s="1"/>
      <c r="CA704" s="61"/>
    </row>
    <row r="705" spans="2:79" x14ac:dyDescent="0.3">
      <c r="B705" s="347">
        <f t="shared" si="1063"/>
        <v>44605</v>
      </c>
      <c r="C705" s="61"/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36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13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15">+AL705/AP704</f>
        <v>1.5574747554200519E-3</v>
      </c>
      <c r="AS705" s="25"/>
      <c r="AT705" s="25"/>
      <c r="AU705" s="24"/>
      <c r="AV705" s="298">
        <f t="shared" ref="AV705" si="1116">+AP705/H705</f>
        <v>0.7118648718535493</v>
      </c>
      <c r="AW705" s="298"/>
      <c r="AX705" s="24">
        <f t="shared" ref="AX705" si="1117">+AP705/BW705</f>
        <v>71604.731321839077</v>
      </c>
      <c r="AY705" s="308"/>
      <c r="BA705" s="65">
        <f t="shared" ref="BA705" si="1118">+BC705-BC704</f>
        <v>407001</v>
      </c>
      <c r="BB705" s="66"/>
      <c r="BC705" s="66">
        <v>926645063</v>
      </c>
      <c r="BD705" s="66"/>
      <c r="BE705" s="66">
        <f t="shared" ref="BE705" si="1119">+D705</f>
        <v>31652</v>
      </c>
      <c r="BF705" s="66"/>
      <c r="BG705" s="144">
        <f t="shared" ref="BG705" si="112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21">+BC705/BW705</f>
        <v>1331386.5847701149</v>
      </c>
      <c r="BO705" s="66"/>
      <c r="BP705" s="66">
        <f t="shared" ref="BP705" si="1122">+BP704+BE705</f>
        <v>69101945</v>
      </c>
      <c r="BQ705" s="66"/>
      <c r="BR705" s="435">
        <f t="shared" ref="BR705" si="1123">+BP705/BC705</f>
        <v>7.4572182768970305E-2</v>
      </c>
      <c r="BS705" s="66"/>
      <c r="BT705" s="75"/>
      <c r="BU705" s="170"/>
      <c r="BV705" s="1"/>
      <c r="BW705" s="61">
        <f t="shared" si="399"/>
        <v>696</v>
      </c>
      <c r="BZ705" s="1"/>
      <c r="CA705" s="61"/>
    </row>
    <row r="706" spans="2:79" x14ac:dyDescent="0.3">
      <c r="B706" s="158">
        <f t="shared" si="1063"/>
        <v>44606</v>
      </c>
      <c r="C706" s="61"/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36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13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35">+AL706/AP705</f>
        <v>7.4547985966942204E-3</v>
      </c>
      <c r="AS706" s="25"/>
      <c r="AT706" s="25"/>
      <c r="AU706" s="24"/>
      <c r="AV706" s="298">
        <f t="shared" ref="AV706" si="1136">+AP706/H706</f>
        <v>0.71634449052582783</v>
      </c>
      <c r="AW706" s="298"/>
      <c r="AX706" s="24">
        <f t="shared" ref="AX706" si="1137">+AP706/BW706</f>
        <v>72035.031563845056</v>
      </c>
      <c r="AY706" s="308"/>
      <c r="BA706" s="65">
        <f t="shared" ref="BA706" si="1138">+BC706-BC705</f>
        <v>2520306</v>
      </c>
      <c r="BB706" s="66"/>
      <c r="BC706" s="66">
        <v>929165369</v>
      </c>
      <c r="BD706" s="66"/>
      <c r="BE706" s="66">
        <f t="shared" ref="BE706" si="1139">+D706</f>
        <v>80842</v>
      </c>
      <c r="BF706" s="66"/>
      <c r="BG706" s="144">
        <f t="shared" ref="BG706" si="114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41">+BC706/BW706</f>
        <v>1333092.3515064563</v>
      </c>
      <c r="BO706" s="66"/>
      <c r="BP706" s="66">
        <f t="shared" ref="BP706" si="1142">+BP705+BE706</f>
        <v>69182787</v>
      </c>
      <c r="BQ706" s="66"/>
      <c r="BR706" s="435">
        <f t="shared" ref="BR706" si="1143">+BP706/BC706</f>
        <v>7.4456915107002877E-2</v>
      </c>
      <c r="BS706" s="66"/>
      <c r="BT706" s="75"/>
      <c r="BU706" s="170"/>
      <c r="BV706" s="1"/>
      <c r="BW706" s="61">
        <f t="shared" si="399"/>
        <v>697</v>
      </c>
      <c r="BZ706" s="1"/>
      <c r="CA706" s="61"/>
    </row>
    <row r="707" spans="2:79" x14ac:dyDescent="0.3">
      <c r="B707" s="158">
        <f t="shared" si="1063"/>
        <v>44607</v>
      </c>
      <c r="C707" s="61"/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36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13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55">+AL707/AP706</f>
        <v>7.102992313021938E-3</v>
      </c>
      <c r="AS707" s="25"/>
      <c r="AT707" s="25"/>
      <c r="AU707" s="24"/>
      <c r="AV707" s="298">
        <f t="shared" ref="AV707" si="1156">+AP707/H707</f>
        <v>0.72042674128114192</v>
      </c>
      <c r="AW707" s="298"/>
      <c r="AX707" s="24">
        <f t="shared" ref="AX707" si="1157">+AP707/BW707</f>
        <v>72442.760744985673</v>
      </c>
      <c r="AY707" s="308"/>
      <c r="BA707" s="65">
        <f t="shared" ref="BA707" si="1158">+BC707-BC706</f>
        <v>3722812</v>
      </c>
      <c r="BB707" s="66"/>
      <c r="BC707" s="66">
        <v>932888181</v>
      </c>
      <c r="BD707" s="66"/>
      <c r="BE707" s="66">
        <f t="shared" ref="BE707" si="1159">+D707</f>
        <v>97867</v>
      </c>
      <c r="BF707" s="66"/>
      <c r="BG707" s="144">
        <f t="shared" ref="BG707" si="116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61">+BC707/BW707</f>
        <v>1336516.0186246419</v>
      </c>
      <c r="BO707" s="66"/>
      <c r="BP707" s="66">
        <f t="shared" ref="BP707" si="1162">+BP706+BE707</f>
        <v>69280654</v>
      </c>
      <c r="BQ707" s="66"/>
      <c r="BR707" s="435">
        <f t="shared" ref="BR707" si="1163">+BP707/BC707</f>
        <v>7.4264692608427413E-2</v>
      </c>
      <c r="BS707" s="66"/>
      <c r="BT707" s="75"/>
      <c r="BU707" s="170"/>
      <c r="BV707" s="1"/>
      <c r="BW707" s="61">
        <f t="shared" si="399"/>
        <v>698</v>
      </c>
      <c r="BZ707" s="1"/>
      <c r="CA707" s="61"/>
    </row>
    <row r="708" spans="2:79" x14ac:dyDescent="0.3">
      <c r="B708" s="158">
        <f t="shared" si="1063"/>
        <v>44608</v>
      </c>
      <c r="C708" s="61"/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36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13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75">+AL708/AP707</f>
        <v>5.0622517961864053E-3</v>
      </c>
      <c r="AS708" s="25"/>
      <c r="AT708" s="25"/>
      <c r="AU708" s="24"/>
      <c r="AV708" s="298">
        <f t="shared" ref="AV708" si="1176">+AP708/H708</f>
        <v>0.72289270763545432</v>
      </c>
      <c r="AW708" s="298"/>
      <c r="AX708" s="24">
        <f t="shared" ref="AX708" si="1177">+AP708/BW708</f>
        <v>72705.321888412014</v>
      </c>
      <c r="AY708" s="308"/>
      <c r="BA708" s="65">
        <f t="shared" ref="BA708" si="1178">+BC708-BC707</f>
        <v>1409493</v>
      </c>
      <c r="BB708" s="66"/>
      <c r="BC708" s="66">
        <v>934297674</v>
      </c>
      <c r="BD708" s="66"/>
      <c r="BE708" s="66">
        <f t="shared" ref="BE708" si="1179">+D708</f>
        <v>114668</v>
      </c>
      <c r="BF708" s="66"/>
      <c r="BG708" s="144">
        <f t="shared" ref="BG708" si="118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81">+BC708/BW708</f>
        <v>1336620.4206008583</v>
      </c>
      <c r="BO708" s="66"/>
      <c r="BP708" s="66">
        <f t="shared" ref="BP708" si="1182">+BP707+BE708</f>
        <v>69395322</v>
      </c>
      <c r="BQ708" s="66"/>
      <c r="BR708" s="435">
        <f t="shared" ref="BR708" si="1183">+BP708/BC708</f>
        <v>7.4275387739004481E-2</v>
      </c>
      <c r="BS708" s="66"/>
      <c r="BT708" s="75"/>
      <c r="BU708" s="170"/>
      <c r="BV708" s="1"/>
      <c r="BW708" s="61">
        <f t="shared" si="399"/>
        <v>699</v>
      </c>
      <c r="BZ708" s="1"/>
      <c r="CA708" s="61"/>
    </row>
    <row r="709" spans="2:79" x14ac:dyDescent="0.3">
      <c r="B709" s="158">
        <f t="shared" si="1063"/>
        <v>44609</v>
      </c>
      <c r="C709" s="61"/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36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13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195">+AL709/AP708</f>
        <v>3.901830384356709E-3</v>
      </c>
      <c r="AS709" s="25"/>
      <c r="AT709" s="25"/>
      <c r="AU709" s="24"/>
      <c r="AV709" s="298">
        <f t="shared" ref="AV709" si="1196">+AP709/H709</f>
        <v>0.72464774395962417</v>
      </c>
      <c r="AW709" s="298"/>
      <c r="AX709" s="24">
        <f t="shared" ref="AX709" si="1197">+AP709/BW709</f>
        <v>72884.735714285707</v>
      </c>
      <c r="AY709" s="308"/>
      <c r="BA709" s="65">
        <f t="shared" ref="BA709" si="1198">+BC709-BC708</f>
        <v>1582227</v>
      </c>
      <c r="BB709" s="66"/>
      <c r="BC709" s="66">
        <v>935879901</v>
      </c>
      <c r="BD709" s="66"/>
      <c r="BE709" s="66">
        <f t="shared" ref="BE709" si="1199">+D709</f>
        <v>103377</v>
      </c>
      <c r="BF709" s="66"/>
      <c r="BG709" s="144">
        <f t="shared" ref="BG709" si="120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01">+BC709/BW709</f>
        <v>1336971.2871428572</v>
      </c>
      <c r="BO709" s="66"/>
      <c r="BP709" s="66">
        <f t="shared" ref="BP709" si="1202">+BP708+BE709</f>
        <v>69498699</v>
      </c>
      <c r="BQ709" s="66"/>
      <c r="BR709" s="435">
        <f t="shared" ref="BR709" si="1203">+BP709/BC709</f>
        <v>7.4260275197426215E-2</v>
      </c>
      <c r="BS709" s="66"/>
      <c r="BT709" s="75"/>
      <c r="BU709" s="170"/>
      <c r="BV709" s="1"/>
      <c r="BW709" s="61">
        <f t="shared" si="399"/>
        <v>700</v>
      </c>
      <c r="BZ709" s="1"/>
      <c r="CA709" s="61"/>
    </row>
    <row r="710" spans="2:79" x14ac:dyDescent="0.3">
      <c r="B710" s="158">
        <f t="shared" si="1063"/>
        <v>44610</v>
      </c>
      <c r="C710" s="61"/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36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13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15">+AL710/AP709</f>
        <v>7.789755703305699E-3</v>
      </c>
      <c r="AS710" s="25"/>
      <c r="AT710" s="25"/>
      <c r="AU710" s="24"/>
      <c r="AV710" s="298">
        <f t="shared" ref="AV710" si="1216">+AP710/H710</f>
        <v>0.72916908018910298</v>
      </c>
      <c r="AW710" s="298"/>
      <c r="AX710" s="24">
        <f t="shared" ref="AX710" si="1217">+AP710/BW710</f>
        <v>73347.707560627678</v>
      </c>
      <c r="AY710" s="308"/>
      <c r="BA710" s="65">
        <f t="shared" ref="BA710" si="1218">+BC710-BC709</f>
        <v>1963474</v>
      </c>
      <c r="BB710" s="66"/>
      <c r="BC710" s="66">
        <v>937843375</v>
      </c>
      <c r="BD710" s="66"/>
      <c r="BE710" s="66">
        <f t="shared" ref="BE710" si="1219">+D710</f>
        <v>108480</v>
      </c>
      <c r="BF710" s="66"/>
      <c r="BG710" s="144">
        <f t="shared" ref="BG710" si="122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21">+BC710/BW710</f>
        <v>1337865.0142653352</v>
      </c>
      <c r="BO710" s="66"/>
      <c r="BP710" s="66">
        <f t="shared" ref="BP710" si="1222">+BP709+BE710</f>
        <v>69607179</v>
      </c>
      <c r="BQ710" s="66"/>
      <c r="BR710" s="435">
        <f t="shared" ref="BR710" si="1223">+BP710/BC710</f>
        <v>7.4220473114713845E-2</v>
      </c>
      <c r="BS710" s="66"/>
      <c r="BT710" s="75"/>
      <c r="BU710" s="170"/>
      <c r="BV710" s="1"/>
      <c r="BW710" s="61">
        <f t="shared" si="399"/>
        <v>701</v>
      </c>
      <c r="BZ710" s="1"/>
      <c r="CA710" s="61"/>
    </row>
    <row r="711" spans="2:79" x14ac:dyDescent="0.3">
      <c r="B711" s="158">
        <f t="shared" si="1063"/>
        <v>44611</v>
      </c>
      <c r="C711" s="61"/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36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13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35">+AL711/AP710</f>
        <v>2.4915619412143627E-3</v>
      </c>
      <c r="AS711" s="25"/>
      <c r="AT711" s="25"/>
      <c r="AU711" s="24"/>
      <c r="AV711" s="298">
        <f t="shared" ref="AV711" si="1236">+AP711/H711</f>
        <v>0.73055648311402643</v>
      </c>
      <c r="AW711" s="298"/>
      <c r="AX711" s="24">
        <f t="shared" ref="AX711" si="1237">+AP711/BW711</f>
        <v>73425.713675213672</v>
      </c>
      <c r="AY711" s="308"/>
      <c r="BA711" s="65">
        <f t="shared" ref="BA711" si="1238">+BC711-BC710</f>
        <v>596804</v>
      </c>
      <c r="BB711" s="66"/>
      <c r="BC711" s="66">
        <v>938440179</v>
      </c>
      <c r="BD711" s="66"/>
      <c r="BE711" s="66">
        <f t="shared" ref="BE711" si="1239">+D711</f>
        <v>41443</v>
      </c>
      <c r="BF711" s="66"/>
      <c r="BG711" s="144">
        <f t="shared" ref="BG711" si="124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41">+BC711/BW711</f>
        <v>1336809.3717948718</v>
      </c>
      <c r="BO711" s="66"/>
      <c r="BP711" s="66">
        <f t="shared" ref="BP711" si="1242">+BP710+BE711</f>
        <v>69648622</v>
      </c>
      <c r="BQ711" s="66"/>
      <c r="BR711" s="435">
        <f t="shared" ref="BR711" si="1243">+BP711/BC711</f>
        <v>7.4217433948978437E-2</v>
      </c>
      <c r="BS711" s="66"/>
      <c r="BT711" s="75"/>
      <c r="BU711" s="170"/>
      <c r="BV711" s="1"/>
      <c r="BW711" s="61">
        <f t="shared" si="399"/>
        <v>702</v>
      </c>
      <c r="BZ711" s="1"/>
      <c r="CA711" s="61"/>
    </row>
    <row r="712" spans="2:79" x14ac:dyDescent="0.3">
      <c r="B712" s="347">
        <f t="shared" si="1063"/>
        <v>44612</v>
      </c>
      <c r="C712" s="61"/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36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13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55">+AL712/AP711</f>
        <v>2.5046924667606468E-3</v>
      </c>
      <c r="AS712" s="25"/>
      <c r="AT712" s="25"/>
      <c r="AU712" s="24"/>
      <c r="AV712" s="298">
        <f t="shared" ref="AV712" si="1256">+AP712/H712</f>
        <v>0.73223005040508626</v>
      </c>
      <c r="AW712" s="298"/>
      <c r="AX712" s="24">
        <f t="shared" ref="AX712" si="1257">+AP712/BW712</f>
        <v>73504.9146514936</v>
      </c>
      <c r="AY712" s="308"/>
      <c r="BA712" s="65">
        <f t="shared" ref="BA712" si="1258">+BC712-BC711</f>
        <v>271012</v>
      </c>
      <c r="BB712" s="66"/>
      <c r="BC712" s="66">
        <v>938711191</v>
      </c>
      <c r="BD712" s="66"/>
      <c r="BE712" s="66">
        <f t="shared" ref="BE712" si="1259">+D712</f>
        <v>15056</v>
      </c>
      <c r="BF712" s="66"/>
      <c r="BG712" s="144">
        <f t="shared" ref="BG712" si="126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61">+BC712/BW712</f>
        <v>1335293.3015647226</v>
      </c>
      <c r="BO712" s="66"/>
      <c r="BP712" s="66">
        <f t="shared" ref="BP712" si="1262">+BP711+BE712</f>
        <v>69663678</v>
      </c>
      <c r="BQ712" s="66"/>
      <c r="BR712" s="435">
        <f t="shared" ref="BR712" si="1263">+BP712/BC712</f>
        <v>7.4212045907099455E-2</v>
      </c>
      <c r="BS712" s="66"/>
      <c r="BT712" s="75"/>
      <c r="BU712" s="170"/>
      <c r="BV712" s="1"/>
      <c r="BW712" s="61">
        <f t="shared" si="399"/>
        <v>703</v>
      </c>
      <c r="BZ712" s="1"/>
      <c r="CA712" s="61"/>
    </row>
    <row r="713" spans="2:79" x14ac:dyDescent="0.3">
      <c r="B713" s="158">
        <f t="shared" si="1063"/>
        <v>44613</v>
      </c>
      <c r="C713" s="61"/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36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13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75">+AL713/AP712</f>
        <v>4.9403805069691302E-3</v>
      </c>
      <c r="AS713" s="25"/>
      <c r="AT713" s="25"/>
      <c r="AU713" s="24"/>
      <c r="AV713" s="298">
        <f t="shared" ref="AV713" si="1276">+AP713/H713</f>
        <v>0.73555780697407336</v>
      </c>
      <c r="AW713" s="298"/>
      <c r="AX713" s="24">
        <f t="shared" ref="AX713" si="1277">+AP713/BW713</f>
        <v>73763.130681818177</v>
      </c>
      <c r="AY713" s="308"/>
      <c r="BA713" s="65">
        <f t="shared" ref="BA713" si="1278">+BC713-BC712</f>
        <v>801897</v>
      </c>
      <c r="BB713" s="66"/>
      <c r="BC713" s="66">
        <v>939513088</v>
      </c>
      <c r="BD713" s="66"/>
      <c r="BE713" s="66">
        <f t="shared" ref="BE713" si="1279">+D713</f>
        <v>27798</v>
      </c>
      <c r="BF713" s="66"/>
      <c r="BG713" s="144">
        <f t="shared" ref="BG713" si="128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81">+BC713/BW713</f>
        <v>1334535.6363636365</v>
      </c>
      <c r="BO713" s="66"/>
      <c r="BP713" s="66">
        <f t="shared" ref="BP713" si="1282">+BP712+BE713</f>
        <v>69691476</v>
      </c>
      <c r="BQ713" s="66"/>
      <c r="BR713" s="435">
        <f t="shared" ref="BR713" si="1283">+BP713/BC713</f>
        <v>7.417829180895881E-2</v>
      </c>
      <c r="BS713" s="66"/>
      <c r="BT713" s="75"/>
      <c r="BU713" s="170"/>
      <c r="BV713" s="1"/>
      <c r="BW713" s="61">
        <f t="shared" si="399"/>
        <v>704</v>
      </c>
      <c r="BZ713" s="1"/>
      <c r="CA713" s="61"/>
    </row>
    <row r="714" spans="2:79" x14ac:dyDescent="0.3">
      <c r="B714" s="158">
        <f t="shared" si="1063"/>
        <v>44614</v>
      </c>
      <c r="C714" s="61"/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36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13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295">+AL714/AP713</f>
        <v>5.2106477806609314E-3</v>
      </c>
      <c r="AS714" s="25"/>
      <c r="AT714" s="25"/>
      <c r="AU714" s="24"/>
      <c r="AV714" s="298">
        <f t="shared" ref="AV714" si="1296">+AP714/H714</f>
        <v>0.7387432043363179</v>
      </c>
      <c r="AW714" s="298"/>
      <c r="AX714" s="24">
        <f t="shared" ref="AX714" si="1297">+AP714/BW714</f>
        <v>74042.310638297873</v>
      </c>
      <c r="AY714" s="308"/>
      <c r="BA714" s="65">
        <f t="shared" ref="BA714" si="1298">+BC714-BC713</f>
        <v>3304692</v>
      </c>
      <c r="BB714" s="66"/>
      <c r="BC714" s="66">
        <v>942817780</v>
      </c>
      <c r="BD714" s="66"/>
      <c r="BE714" s="66">
        <f t="shared" ref="BE714" si="1299">+D714</f>
        <v>61863</v>
      </c>
      <c r="BF714" s="66"/>
      <c r="BG714" s="144">
        <f t="shared" ref="BG714" si="130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01">+BC714/BW714</f>
        <v>1337330.1843971631</v>
      </c>
      <c r="BO714" s="66"/>
      <c r="BP714" s="66">
        <f t="shared" ref="BP714" si="1302">+BP713+BE714</f>
        <v>69753339</v>
      </c>
      <c r="BQ714" s="66"/>
      <c r="BR714" s="435">
        <f t="shared" ref="BR714" si="1303">+BP714/BC714</f>
        <v>7.3983902806754445E-2</v>
      </c>
      <c r="BS714" s="66"/>
      <c r="BT714" s="75"/>
      <c r="BU714" s="170"/>
      <c r="BV714" s="1"/>
      <c r="BW714" s="61">
        <f t="shared" si="399"/>
        <v>705</v>
      </c>
      <c r="BZ714" s="1"/>
      <c r="CA714" s="61"/>
    </row>
    <row r="715" spans="2:79" x14ac:dyDescent="0.3">
      <c r="B715" s="158">
        <f t="shared" si="1063"/>
        <v>44615</v>
      </c>
      <c r="C715" s="61"/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36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13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15">+AL715/AP714</f>
        <v>4.8608013639278398E-3</v>
      </c>
      <c r="AS715" s="25"/>
      <c r="AT715" s="25"/>
      <c r="AU715" s="24"/>
      <c r="AV715" s="298">
        <f t="shared" ref="AV715" si="1316">+AP715/H715</f>
        <v>0.74154385336032347</v>
      </c>
      <c r="AW715" s="298"/>
      <c r="AX715" s="24">
        <f t="shared" ref="AX715" si="1317">+AP715/BW715</f>
        <v>74296.830028328608</v>
      </c>
      <c r="AY715" s="308"/>
      <c r="BA715" s="65">
        <f t="shared" ref="BA715" si="1318">+BC715-BC714</f>
        <v>1308978</v>
      </c>
      <c r="BB715" s="66"/>
      <c r="BC715" s="66">
        <v>944126758</v>
      </c>
      <c r="BD715" s="66"/>
      <c r="BE715" s="66">
        <f t="shared" ref="BE715" si="1319">+D715</f>
        <v>75300</v>
      </c>
      <c r="BF715" s="66"/>
      <c r="BG715" s="144">
        <f t="shared" ref="BG715" si="132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21">+BC715/BW715</f>
        <v>1337290.0254957506</v>
      </c>
      <c r="BO715" s="66"/>
      <c r="BP715" s="66">
        <f t="shared" ref="BP715" si="1322">+BP714+BE715</f>
        <v>69828639</v>
      </c>
      <c r="BQ715" s="66"/>
      <c r="BR715" s="435">
        <f t="shared" ref="BR715" si="1323">+BP715/BC715</f>
        <v>7.3961084577162259E-2</v>
      </c>
      <c r="BS715" s="66"/>
      <c r="BT715" s="75"/>
      <c r="BU715" s="170"/>
      <c r="BV715" s="1"/>
      <c r="BW715" s="61">
        <f t="shared" si="399"/>
        <v>706</v>
      </c>
      <c r="BZ715" s="1"/>
      <c r="CA715" s="61"/>
    </row>
    <row r="716" spans="2:79" x14ac:dyDescent="0.3">
      <c r="B716" s="158">
        <f t="shared" si="1063"/>
        <v>44616</v>
      </c>
      <c r="C716" s="61"/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36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13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35">+AL716/AP715</f>
        <v>3.986535747562768E-3</v>
      </c>
      <c r="AS716" s="25"/>
      <c r="AT716" s="25"/>
      <c r="AU716" s="24"/>
      <c r="AV716" s="298">
        <f t="shared" ref="AV716" si="1336">+AP716/H716</f>
        <v>0.74375471902283774</v>
      </c>
      <c r="AW716" s="298"/>
      <c r="AX716" s="24">
        <f t="shared" ref="AX716" si="1337">+AP716/BW716</f>
        <v>74487.51060820368</v>
      </c>
      <c r="AY716" s="308"/>
      <c r="BA716" s="65">
        <f t="shared" ref="BA716" si="1338">+BC716-BC715</f>
        <v>1292265</v>
      </c>
      <c r="BB716" s="66"/>
      <c r="BC716" s="66">
        <v>945419023</v>
      </c>
      <c r="BD716" s="66"/>
      <c r="BE716" s="66">
        <f t="shared" ref="BE716" si="1339">+D716</f>
        <v>70885</v>
      </c>
      <c r="BF716" s="66"/>
      <c r="BG716" s="144">
        <f t="shared" ref="BG716" si="134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41">+BC716/BW716</f>
        <v>1337226.3408769448</v>
      </c>
      <c r="BO716" s="66"/>
      <c r="BP716" s="66">
        <f t="shared" ref="BP716" si="1342">+BP715+BE716</f>
        <v>69899524</v>
      </c>
      <c r="BQ716" s="66"/>
      <c r="BR716" s="435">
        <f t="shared" ref="BR716" si="1343">+BP716/BC716</f>
        <v>7.3934966717926931E-2</v>
      </c>
      <c r="BS716" s="66"/>
      <c r="BT716" s="75"/>
      <c r="BU716" s="170"/>
      <c r="BV716" s="1"/>
      <c r="BW716" s="61">
        <f t="shared" si="399"/>
        <v>707</v>
      </c>
      <c r="BZ716" s="1"/>
      <c r="CA716" s="61"/>
    </row>
    <row r="717" spans="2:79" x14ac:dyDescent="0.3">
      <c r="B717" s="158">
        <f t="shared" si="1063"/>
        <v>44617</v>
      </c>
      <c r="C717" s="61"/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36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13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55">+AL717/AP716</f>
        <v>3.8657363935402441E-3</v>
      </c>
      <c r="AS717" s="25"/>
      <c r="AT717" s="25"/>
      <c r="AU717" s="24"/>
      <c r="AV717" s="298">
        <f t="shared" ref="AV717" si="1356">+AP717/H717</f>
        <v>0.74582662977570291</v>
      </c>
      <c r="AW717" s="298"/>
      <c r="AX717" s="24">
        <f t="shared" ref="AX717" si="1357">+AP717/BW717</f>
        <v>74669.844632768363</v>
      </c>
      <c r="AY717" s="308"/>
      <c r="BA717" s="65">
        <f t="shared" ref="BA717" si="1358">+BC717-BC716</f>
        <v>1712369</v>
      </c>
      <c r="BB717" s="66"/>
      <c r="BC717" s="66">
        <v>947131392</v>
      </c>
      <c r="BD717" s="66"/>
      <c r="BE717" s="66">
        <f t="shared" ref="BE717" si="1359">+D717</f>
        <v>76258</v>
      </c>
      <c r="BF717" s="66"/>
      <c r="BG717" s="144">
        <f t="shared" ref="BG717" si="136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61">+BC717/BW717</f>
        <v>1337756.2033898304</v>
      </c>
      <c r="BO717" s="66"/>
      <c r="BP717" s="66">
        <f t="shared" ref="BP717" si="1362">+BP716+BE717</f>
        <v>69975782</v>
      </c>
      <c r="BQ717" s="66"/>
      <c r="BR717" s="435">
        <f t="shared" ref="BR717" si="1363">+BP717/BC717</f>
        <v>7.3881810476407475E-2</v>
      </c>
      <c r="BS717" s="66"/>
      <c r="BT717" s="75"/>
      <c r="BU717" s="170"/>
      <c r="BV717" s="1"/>
      <c r="BW717" s="61">
        <f t="shared" si="399"/>
        <v>708</v>
      </c>
      <c r="BZ717" s="1"/>
      <c r="CA717" s="61"/>
    </row>
    <row r="718" spans="2:79" x14ac:dyDescent="0.3">
      <c r="B718" s="158">
        <f t="shared" si="1063"/>
        <v>44618</v>
      </c>
      <c r="C718" s="61"/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36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13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75">+AL718/AP717</f>
        <v>3.2307001158584162E-3</v>
      </c>
      <c r="AS718" s="25"/>
      <c r="AT718" s="25"/>
      <c r="AU718" s="24"/>
      <c r="AV718" s="298">
        <f t="shared" ref="AV718" si="1376">+AP718/H718</f>
        <v>0.74796178576687344</v>
      </c>
      <c r="AW718" s="298"/>
      <c r="AX718" s="24">
        <f t="shared" ref="AX718" si="1377">+AP718/BW718</f>
        <v>74805.423131170668</v>
      </c>
      <c r="AY718" s="308"/>
      <c r="BA718" s="65">
        <f t="shared" ref="BA718" si="1378">+BC718-BC717</f>
        <v>401696</v>
      </c>
      <c r="BB718" s="66"/>
      <c r="BC718" s="66">
        <v>947533088</v>
      </c>
      <c r="BD718" s="66"/>
      <c r="BE718" s="66">
        <f t="shared" ref="BE718" si="1379">+D718</f>
        <v>26003</v>
      </c>
      <c r="BF718" s="66"/>
      <c r="BG718" s="144">
        <f t="shared" ref="BG718" si="138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81">+BC718/BW718</f>
        <v>1336435.9492242595</v>
      </c>
      <c r="BO718" s="66"/>
      <c r="BP718" s="66">
        <f t="shared" ref="BP718" si="1382">+BP717+BE718</f>
        <v>70001785</v>
      </c>
      <c r="BQ718" s="66"/>
      <c r="BR718" s="435">
        <f t="shared" ref="BR718" si="1383">+BP718/BC718</f>
        <v>7.3877931954604209E-2</v>
      </c>
      <c r="BS718" s="66"/>
      <c r="BT718" s="75"/>
      <c r="BU718" s="170"/>
      <c r="BV718" s="1"/>
      <c r="BW718" s="61">
        <f t="shared" si="399"/>
        <v>709</v>
      </c>
      <c r="BZ718" s="1"/>
      <c r="CA718" s="61"/>
    </row>
    <row r="719" spans="2:79" x14ac:dyDescent="0.3">
      <c r="B719" s="347">
        <f t="shared" si="1063"/>
        <v>44619</v>
      </c>
      <c r="C719" s="61"/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36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13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395">+AL719/AP718</f>
        <v>2.9403033294935644E-3</v>
      </c>
      <c r="AS719" s="25"/>
      <c r="AT719" s="25"/>
      <c r="AU719" s="24"/>
      <c r="AV719" s="298">
        <f t="shared" ref="AV719" si="1396">+AP719/H719</f>
        <v>0.75008206513863185</v>
      </c>
      <c r="AW719" s="298"/>
      <c r="AX719" s="24">
        <f t="shared" ref="AX719" si="1397">+AP719/BW719</f>
        <v>74919.704225352107</v>
      </c>
      <c r="AY719" s="308"/>
      <c r="BA719" s="65">
        <f t="shared" ref="BA719" si="1398">+BC719-BC718</f>
        <v>219233</v>
      </c>
      <c r="BB719" s="66"/>
      <c r="BC719" s="66">
        <v>947752321</v>
      </c>
      <c r="BD719" s="66"/>
      <c r="BE719" s="66">
        <f t="shared" ref="BE719" si="1399">+D719</f>
        <v>7464</v>
      </c>
      <c r="BF719" s="66"/>
      <c r="BG719" s="144">
        <f t="shared" ref="BG719" si="140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01">+BC719/BW719</f>
        <v>1334862.4239436621</v>
      </c>
      <c r="BO719" s="66"/>
      <c r="BP719" s="66">
        <f t="shared" ref="BP719" si="1402">+BP718+BE719</f>
        <v>70009249</v>
      </c>
      <c r="BQ719" s="66"/>
      <c r="BR719" s="435">
        <f t="shared" ref="BR719" si="1403">+BP719/BC719</f>
        <v>7.3868718069855302E-2</v>
      </c>
      <c r="BS719" s="66"/>
      <c r="BT719" s="75"/>
      <c r="BU719" s="170"/>
      <c r="BV719" s="1"/>
      <c r="BW719" s="61">
        <f t="shared" si="399"/>
        <v>710</v>
      </c>
      <c r="BZ719" s="1"/>
      <c r="CA719" s="61"/>
    </row>
    <row r="720" spans="2:79" x14ac:dyDescent="0.3">
      <c r="B720" s="158">
        <f t="shared" si="1063"/>
        <v>44620</v>
      </c>
      <c r="C720" s="61"/>
      <c r="D720" s="17">
        <v>32918</v>
      </c>
      <c r="E720" s="16"/>
      <c r="F720" s="16"/>
      <c r="G720" s="16"/>
      <c r="H720" s="16">
        <f t="shared" ref="H720" si="1404">+H719+D720</f>
        <v>70949145</v>
      </c>
      <c r="I720" s="16"/>
      <c r="J720" s="436">
        <f t="shared" ref="J720" si="1405">+D720/H719</f>
        <v>4.6418149121215936E-4</v>
      </c>
      <c r="K720" s="16"/>
      <c r="L720" s="16"/>
      <c r="M720" s="16"/>
      <c r="N720" s="16">
        <f t="shared" ref="N720" si="1406">SUM(D714:D720)</f>
        <v>350691</v>
      </c>
      <c r="O720" s="16">
        <f t="shared" ref="O720" si="1407">+H720/BW720</f>
        <v>99787.827004219405</v>
      </c>
      <c r="P720" s="41"/>
      <c r="Q720" s="17">
        <f t="shared" ref="Q720" si="1408">SUM(D714:D720)</f>
        <v>350691</v>
      </c>
      <c r="R720" s="16"/>
      <c r="S720" s="60">
        <f t="shared" ref="S720" si="1409">+(Q720-Q713)/Q713</f>
        <v>-0.31059842064601356</v>
      </c>
      <c r="T720" s="16"/>
      <c r="U720" s="41"/>
      <c r="V720" s="10">
        <f t="shared" si="558"/>
        <v>612</v>
      </c>
      <c r="W720" s="34">
        <v>710</v>
      </c>
      <c r="X720" s="33">
        <v>4256</v>
      </c>
      <c r="Y720" s="33"/>
      <c r="Z720" s="33">
        <f t="shared" ref="Z720" si="1410">SUM(W715:W720)</f>
        <v>7650</v>
      </c>
      <c r="AA720" s="33">
        <f t="shared" ref="AA720" si="1411">+AA719+W720</f>
        <v>862108</v>
      </c>
      <c r="AB720" s="33"/>
      <c r="AC720" s="46">
        <f t="shared" ref="AC720" si="1412">+AA720/H720</f>
        <v>1.2151069614721925E-2</v>
      </c>
      <c r="AD720" s="33"/>
      <c r="AE720" s="33">
        <f t="shared" ref="AE720" si="1413">+AA720/BW720</f>
        <v>1212.5288326300983</v>
      </c>
      <c r="AF720" s="50"/>
      <c r="AG720" s="33"/>
      <c r="AH720" s="33"/>
      <c r="AI720" s="213"/>
      <c r="AJ720" s="50"/>
      <c r="AL720" s="23">
        <f t="shared" ref="AL720" si="141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61">
        <f t="shared" ref="AR720" si="1415">+AL720/AP719</f>
        <v>5.7765506319535712E-3</v>
      </c>
      <c r="AS720" s="25"/>
      <c r="AT720" s="25"/>
      <c r="AU720" s="24"/>
      <c r="AV720" s="298">
        <f t="shared" ref="AV720" si="1416">+AP720/H720</f>
        <v>0.75406492918272661</v>
      </c>
      <c r="AW720" s="298"/>
      <c r="AX720" s="24">
        <f t="shared" ref="AX720" si="1417">+AP720/BW720</f>
        <v>75246.50070323488</v>
      </c>
      <c r="AY720" s="308"/>
      <c r="BA720" s="65">
        <f t="shared" ref="BA720" si="1418">+BC720-BC719</f>
        <v>2767081</v>
      </c>
      <c r="BB720" s="66"/>
      <c r="BC720" s="66">
        <v>950519402</v>
      </c>
      <c r="BD720" s="66"/>
      <c r="BE720" s="66">
        <f t="shared" ref="BE720" si="1419">+D720</f>
        <v>32918</v>
      </c>
      <c r="BF720" s="66"/>
      <c r="BG720" s="144">
        <f t="shared" ref="BG720" si="1420">+BE720/BA720</f>
        <v>1.1896290712125883E-2</v>
      </c>
      <c r="BH720" s="66"/>
      <c r="BI720" s="170"/>
      <c r="BJ720" s="66"/>
      <c r="BK720" s="66"/>
      <c r="BL720" s="66"/>
      <c r="BM720" s="144"/>
      <c r="BN720" s="65">
        <f t="shared" ref="BN720" si="1421">+BC720/BW720</f>
        <v>1336876.7960618846</v>
      </c>
      <c r="BO720" s="66"/>
      <c r="BP720" s="66">
        <f t="shared" ref="BP720" si="1422">+BP719+BE720</f>
        <v>70042167</v>
      </c>
      <c r="BQ720" s="66"/>
      <c r="BR720" s="435">
        <f t="shared" ref="BR720" si="1423">+BP720/BC720</f>
        <v>7.3688308573842246E-2</v>
      </c>
      <c r="BS720" s="66"/>
      <c r="BT720" s="75"/>
      <c r="BU720" s="170"/>
      <c r="BV720" s="1"/>
      <c r="BW720" s="61">
        <f t="shared" si="399"/>
        <v>711</v>
      </c>
      <c r="BZ720" s="1"/>
      <c r="CA720" s="61"/>
    </row>
    <row r="721" spans="2:79" x14ac:dyDescent="0.3">
      <c r="B721" s="158">
        <f t="shared" si="1063"/>
        <v>44621</v>
      </c>
      <c r="C721" s="61"/>
      <c r="D721" s="17">
        <v>41899</v>
      </c>
      <c r="E721" s="16"/>
      <c r="F721" s="16"/>
      <c r="G721" s="16"/>
      <c r="H721" s="16">
        <f t="shared" ref="H721" si="1424">+H720+D721</f>
        <v>70991044</v>
      </c>
      <c r="I721" s="16"/>
      <c r="J721" s="436">
        <f t="shared" ref="J721" si="1425">+D721/H720</f>
        <v>5.9054975222041085E-4</v>
      </c>
      <c r="K721" s="16"/>
      <c r="L721" s="16"/>
      <c r="M721" s="16"/>
      <c r="N721" s="16">
        <f t="shared" ref="N721" si="1426">SUM(D715:D721)</f>
        <v>330727</v>
      </c>
      <c r="O721" s="16">
        <f t="shared" ref="O721" si="1427">+H721/BW721</f>
        <v>99706.52247191011</v>
      </c>
      <c r="P721" s="41"/>
      <c r="Q721" s="17">
        <f t="shared" ref="Q721" si="1428">SUM(D715:D721)</f>
        <v>330727</v>
      </c>
      <c r="R721" s="16"/>
      <c r="S721" s="60">
        <f t="shared" ref="S721" si="1429">+(Q721-Q714)/Q714</f>
        <v>-0.30032262500396673</v>
      </c>
      <c r="T721" s="16"/>
      <c r="U721" s="41"/>
      <c r="V721" s="10">
        <f t="shared" si="558"/>
        <v>613</v>
      </c>
      <c r="W721" s="34">
        <v>1451</v>
      </c>
      <c r="X721" s="33">
        <v>4256</v>
      </c>
      <c r="Y721" s="33"/>
      <c r="Z721" s="33">
        <f t="shared" ref="Z721" si="1430">SUM(W716:W721)</f>
        <v>6661</v>
      </c>
      <c r="AA721" s="33">
        <f t="shared" ref="AA721" si="1431">+AA720+W721</f>
        <v>863559</v>
      </c>
      <c r="AB721" s="33"/>
      <c r="AC721" s="46">
        <f t="shared" ref="AC721" si="1432">+AA721/H721</f>
        <v>1.2164337236680164E-2</v>
      </c>
      <c r="AD721" s="33"/>
      <c r="AE721" s="33">
        <f t="shared" ref="AE721" si="1433">+AA721/BW721</f>
        <v>1212.8637640449438</v>
      </c>
      <c r="AF721" s="50"/>
      <c r="AG721" s="33"/>
      <c r="AH721" s="33"/>
      <c r="AI721" s="213"/>
      <c r="AJ721" s="50"/>
      <c r="AL721" s="23">
        <f t="shared" ref="AL721" si="143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61">
        <f t="shared" ref="AR721" si="1435">+AL721/AP720</f>
        <v>4.3091938503030131E-3</v>
      </c>
      <c r="AS721" s="25"/>
      <c r="AT721" s="25"/>
      <c r="AU721" s="24"/>
      <c r="AV721" s="298">
        <f t="shared" ref="AV721" si="1436">+AP721/H721</f>
        <v>0.75686737329852483</v>
      </c>
      <c r="AW721" s="298"/>
      <c r="AX721" s="24">
        <f t="shared" ref="AX721" si="1437">+AP721/BW721</f>
        <v>75464.613764044945</v>
      </c>
      <c r="AY721" s="308"/>
      <c r="BA721" s="65">
        <f t="shared" ref="BA721" si="1438">+BC721-BC720</f>
        <v>1025286</v>
      </c>
      <c r="BB721" s="66"/>
      <c r="BC721" s="66">
        <v>951544688</v>
      </c>
      <c r="BD721" s="66"/>
      <c r="BE721" s="66">
        <f t="shared" ref="BE721" si="1439">+D721</f>
        <v>41899</v>
      </c>
      <c r="BF721" s="66"/>
      <c r="BG721" s="144">
        <f t="shared" ref="BG721" si="1440">+BE721/BA721</f>
        <v>4.0865670651896155E-2</v>
      </c>
      <c r="BH721" s="66"/>
      <c r="BI721" s="170"/>
      <c r="BJ721" s="66"/>
      <c r="BK721" s="66"/>
      <c r="BL721" s="66"/>
      <c r="BM721" s="144"/>
      <c r="BN721" s="65">
        <f t="shared" ref="BN721" si="1441">+BC721/BW721</f>
        <v>1336439.1685393259</v>
      </c>
      <c r="BO721" s="66"/>
      <c r="BP721" s="66">
        <f t="shared" ref="BP721" si="1442">+BP720+BE721</f>
        <v>70084066</v>
      </c>
      <c r="BQ721" s="66"/>
      <c r="BR721" s="435">
        <f t="shared" ref="BR721" si="1443">+BP721/BC721</f>
        <v>7.3652942298806673E-2</v>
      </c>
      <c r="BS721" s="66"/>
      <c r="BT721" s="75"/>
      <c r="BU721" s="170"/>
      <c r="BV721" s="1"/>
      <c r="BW721" s="61">
        <f t="shared" si="399"/>
        <v>712</v>
      </c>
      <c r="BZ721" s="1"/>
      <c r="CA721" s="61"/>
    </row>
    <row r="722" spans="2:79" x14ac:dyDescent="0.3">
      <c r="B722" s="158">
        <f t="shared" si="1063"/>
        <v>44622</v>
      </c>
      <c r="C722" s="61"/>
      <c r="D722" s="17">
        <v>50699</v>
      </c>
      <c r="E722" s="16"/>
      <c r="F722" s="16"/>
      <c r="G722" s="16"/>
      <c r="H722" s="16">
        <f t="shared" ref="H722" si="1444">+H721+D722</f>
        <v>71041743</v>
      </c>
      <c r="I722" s="16"/>
      <c r="J722" s="436">
        <f t="shared" ref="J722" si="1445">+D722/H721</f>
        <v>7.1416050734512374E-4</v>
      </c>
      <c r="K722" s="16"/>
      <c r="L722" s="16"/>
      <c r="M722" s="16"/>
      <c r="N722" s="16">
        <f t="shared" ref="N722" si="1446">SUM(D716:D722)</f>
        <v>306126</v>
      </c>
      <c r="O722" s="16">
        <f t="shared" ref="O722" si="1447">+H722/BW722</f>
        <v>99637.788218793823</v>
      </c>
      <c r="P722" s="41"/>
      <c r="Q722" s="17">
        <f t="shared" ref="Q722" si="1448">SUM(D716:D722)</f>
        <v>306126</v>
      </c>
      <c r="R722" s="16"/>
      <c r="S722" s="60">
        <f t="shared" ref="S722" si="1449">+(Q722-Q715)/Q715</f>
        <v>-0.29352875608388318</v>
      </c>
      <c r="T722" s="16"/>
      <c r="U722" s="41"/>
      <c r="V722" s="10">
        <f t="shared" si="558"/>
        <v>614</v>
      </c>
      <c r="W722" s="34">
        <v>1778</v>
      </c>
      <c r="X722" s="33">
        <v>4256</v>
      </c>
      <c r="Y722" s="33"/>
      <c r="Z722" s="33">
        <f t="shared" ref="Z722" si="1450">SUM(W717:W722)</f>
        <v>6616</v>
      </c>
      <c r="AA722" s="33">
        <f t="shared" ref="AA722" si="1451">+AA721+W722</f>
        <v>865337</v>
      </c>
      <c r="AB722" s="33"/>
      <c r="AC722" s="46">
        <f t="shared" ref="AC722" si="1452">+AA722/H722</f>
        <v>1.218068368620967E-2</v>
      </c>
      <c r="AD722" s="33"/>
      <c r="AE722" s="33">
        <f t="shared" ref="AE722" si="1453">+AA722/BW722</f>
        <v>1213.6563814866761</v>
      </c>
      <c r="AF722" s="50"/>
      <c r="AG722" s="33"/>
      <c r="AH722" s="33"/>
      <c r="AI722" s="213"/>
      <c r="AJ722" s="50"/>
      <c r="AL722" s="23">
        <f t="shared" ref="AL722" si="145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61">
        <f t="shared" ref="AR722" si="1455">+AL722/AP721</f>
        <v>4.0011311946657043E-3</v>
      </c>
      <c r="AS722" s="25"/>
      <c r="AT722" s="25"/>
      <c r="AU722" s="24"/>
      <c r="AV722" s="298">
        <f t="shared" ref="AV722" si="1456">+AP722/H722</f>
        <v>0.75935339874755048</v>
      </c>
      <c r="AW722" s="298"/>
      <c r="AX722" s="24">
        <f t="shared" ref="AX722" si="1457">+AP722/BW722</f>
        <v>75660.293127629731</v>
      </c>
      <c r="AY722" s="308"/>
      <c r="BA722" s="65">
        <f t="shared" ref="BA722" si="1458">+BC722-BC721</f>
        <v>1143010</v>
      </c>
      <c r="BB722" s="66"/>
      <c r="BC722" s="66">
        <v>952687698</v>
      </c>
      <c r="BD722" s="66"/>
      <c r="BE722" s="66">
        <f t="shared" ref="BE722" si="1459">+D722</f>
        <v>50699</v>
      </c>
      <c r="BF722" s="66"/>
      <c r="BG722" s="144">
        <f t="shared" ref="BG722" si="1460">+BE722/BA722</f>
        <v>4.4355692426138002E-2</v>
      </c>
      <c r="BH722" s="66"/>
      <c r="BI722" s="170"/>
      <c r="BJ722" s="66"/>
      <c r="BK722" s="66"/>
      <c r="BL722" s="66"/>
      <c r="BM722" s="144"/>
      <c r="BN722" s="65">
        <f t="shared" ref="BN722" si="1461">+BC722/BW722</f>
        <v>1336167.8793828893</v>
      </c>
      <c r="BO722" s="66"/>
      <c r="BP722" s="66">
        <f t="shared" ref="BP722" si="1462">+BP721+BE722</f>
        <v>70134765</v>
      </c>
      <c r="BQ722" s="66"/>
      <c r="BR722" s="435">
        <f t="shared" ref="BR722" si="1463">+BP722/BC722</f>
        <v>7.3617792217990835E-2</v>
      </c>
      <c r="BS722" s="66"/>
      <c r="BT722" s="75"/>
      <c r="BU722" s="170"/>
      <c r="BV722" s="1"/>
      <c r="BW722" s="61">
        <f t="shared" si="399"/>
        <v>713</v>
      </c>
      <c r="BZ722" s="1"/>
      <c r="CA722" s="61"/>
    </row>
    <row r="723" spans="2:79" x14ac:dyDescent="0.3">
      <c r="B723" s="158">
        <f t="shared" si="1063"/>
        <v>44623</v>
      </c>
      <c r="C723" s="61"/>
      <c r="D723" s="17">
        <v>49091</v>
      </c>
      <c r="E723" s="16"/>
      <c r="F723" s="16"/>
      <c r="G723" s="16"/>
      <c r="H723" s="16">
        <f t="shared" ref="H723" si="1464">+H722+D723</f>
        <v>71090834</v>
      </c>
      <c r="I723" s="16"/>
      <c r="J723" s="436">
        <f t="shared" ref="J723" si="1465">+D723/H722</f>
        <v>6.9101626630979477E-4</v>
      </c>
      <c r="K723" s="16"/>
      <c r="L723" s="16"/>
      <c r="M723" s="16"/>
      <c r="N723" s="16">
        <f t="shared" ref="N723" si="1466">SUM(D717:D723)</f>
        <v>284332</v>
      </c>
      <c r="O723" s="16">
        <f t="shared" ref="O723" si="1467">+H723/BW723</f>
        <v>99566.994397759103</v>
      </c>
      <c r="P723" s="41"/>
      <c r="Q723" s="17">
        <f t="shared" ref="Q723" si="1468">SUM(D717:D723)</f>
        <v>284332</v>
      </c>
      <c r="R723" s="16"/>
      <c r="S723" s="60">
        <f t="shared" ref="S723" si="1469">+(Q723-Q716)/Q716</f>
        <v>-0.29063306929457994</v>
      </c>
      <c r="T723" s="16"/>
      <c r="U723" s="41"/>
      <c r="V723" s="10">
        <f t="shared" si="558"/>
        <v>615</v>
      </c>
      <c r="W723" s="34">
        <v>1258</v>
      </c>
      <c r="X723" s="33">
        <v>4256</v>
      </c>
      <c r="Y723" s="33"/>
      <c r="Z723" s="33">
        <f t="shared" ref="Z723" si="1470">SUM(W718:W723)</f>
        <v>6021</v>
      </c>
      <c r="AA723" s="33">
        <f t="shared" ref="AA723" si="1471">+AA722+W723</f>
        <v>866595</v>
      </c>
      <c r="AB723" s="33"/>
      <c r="AC723" s="46">
        <f t="shared" ref="AC723" si="1472">+AA723/H723</f>
        <v>1.218996811881543E-2</v>
      </c>
      <c r="AD723" s="33"/>
      <c r="AE723" s="33">
        <f t="shared" ref="AE723" si="1473">+AA723/BW723</f>
        <v>1213.7184873949579</v>
      </c>
      <c r="AF723" s="50"/>
      <c r="AG723" s="33"/>
      <c r="AH723" s="33"/>
      <c r="AI723" s="213"/>
      <c r="AJ723" s="50"/>
      <c r="AL723" s="23">
        <f t="shared" ref="AL723" si="147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61">
        <f t="shared" ref="AR723" si="1475">+AL723/AP722</f>
        <v>3.5438354604471539E-3</v>
      </c>
      <c r="AS723" s="25"/>
      <c r="AT723" s="25"/>
      <c r="AU723" s="24"/>
      <c r="AV723" s="298">
        <f t="shared" ref="AV723" si="1476">+AP723/H723</f>
        <v>0.76151820078520949</v>
      </c>
      <c r="AW723" s="298"/>
      <c r="AX723" s="24">
        <f t="shared" ref="AX723" si="1477">+AP723/BW723</f>
        <v>75822.078431372545</v>
      </c>
      <c r="AY723" s="308"/>
      <c r="BA723" s="65">
        <f t="shared" ref="BA723" si="1478">+BC723-BC722</f>
        <v>1680004</v>
      </c>
      <c r="BB723" s="66"/>
      <c r="BC723" s="66">
        <v>954367702</v>
      </c>
      <c r="BD723" s="66"/>
      <c r="BE723" s="66">
        <f t="shared" ref="BE723" si="1479">+D723</f>
        <v>49091</v>
      </c>
      <c r="BF723" s="66"/>
      <c r="BG723" s="144">
        <f t="shared" ref="BG723" si="1480">+BE723/BA723</f>
        <v>2.9220763760086286E-2</v>
      </c>
      <c r="BH723" s="66"/>
      <c r="BI723" s="170"/>
      <c r="BJ723" s="66"/>
      <c r="BK723" s="66"/>
      <c r="BL723" s="66"/>
      <c r="BM723" s="144"/>
      <c r="BN723" s="65">
        <f t="shared" ref="BN723" si="1481">+BC723/BW723</f>
        <v>1336649.4425770307</v>
      </c>
      <c r="BO723" s="66"/>
      <c r="BP723" s="66">
        <f t="shared" ref="BP723" si="1482">+BP722+BE723</f>
        <v>70183856</v>
      </c>
      <c r="BQ723" s="66"/>
      <c r="BR723" s="435">
        <f t="shared" ref="BR723" si="1483">+BP723/BC723</f>
        <v>7.353963870835184E-2</v>
      </c>
      <c r="BS723" s="66"/>
      <c r="BT723" s="75"/>
      <c r="BU723" s="170"/>
      <c r="BV723" s="1"/>
      <c r="BW723" s="61">
        <f t="shared" si="399"/>
        <v>714</v>
      </c>
      <c r="BZ723" s="1"/>
      <c r="CA723" s="61"/>
    </row>
    <row r="724" spans="2:79" x14ac:dyDescent="0.3">
      <c r="B724" s="158">
        <f t="shared" si="1063"/>
        <v>44624</v>
      </c>
      <c r="C724" s="61"/>
      <c r="D724" s="17">
        <v>45698</v>
      </c>
      <c r="E724" s="16"/>
      <c r="F724" s="16"/>
      <c r="G724" s="16"/>
      <c r="H724" s="16">
        <f t="shared" ref="H724" si="1484">+H723+D724</f>
        <v>71136532</v>
      </c>
      <c r="I724" s="16"/>
      <c r="J724" s="436">
        <f t="shared" ref="J724" si="1485">+D724/H723</f>
        <v>6.4281142066781771E-4</v>
      </c>
      <c r="K724" s="16"/>
      <c r="L724" s="16"/>
      <c r="M724" s="16"/>
      <c r="N724" s="16">
        <f t="shared" ref="N724" si="1486">SUM(D718:D724)</f>
        <v>253772</v>
      </c>
      <c r="O724" s="16">
        <f t="shared" ref="O724" si="1487">+H724/BW724</f>
        <v>99491.653146853147</v>
      </c>
      <c r="P724" s="41"/>
      <c r="Q724" s="17">
        <f t="shared" ref="Q724" si="1488">SUM(D718:D724)</f>
        <v>253772</v>
      </c>
      <c r="R724" s="16"/>
      <c r="S724" s="60">
        <f t="shared" ref="S724" si="1489">+(Q724-Q717)/Q717</f>
        <v>-0.31153029139751981</v>
      </c>
      <c r="T724" s="16"/>
      <c r="U724" s="41"/>
      <c r="V724" s="10">
        <f t="shared" si="558"/>
        <v>616</v>
      </c>
      <c r="W724" s="34">
        <v>1454</v>
      </c>
      <c r="X724" s="33">
        <v>4256</v>
      </c>
      <c r="Y724" s="33"/>
      <c r="Z724" s="33">
        <f t="shared" ref="Z724" si="1490">SUM(W719:W724)</f>
        <v>6840</v>
      </c>
      <c r="AA724" s="33">
        <f t="shared" ref="AA724" si="1491">+AA723+W724</f>
        <v>868049</v>
      </c>
      <c r="AB724" s="33"/>
      <c r="AC724" s="46">
        <f t="shared" ref="AC724" si="1492">+AA724/H724</f>
        <v>1.2202576870067268E-2</v>
      </c>
      <c r="AD724" s="33"/>
      <c r="AE724" s="33">
        <f t="shared" ref="AE724" si="1493">+AA724/BW724</f>
        <v>1214.0545454545454</v>
      </c>
      <c r="AF724" s="50"/>
      <c r="AG724" s="33"/>
      <c r="AH724" s="33"/>
      <c r="AI724" s="213"/>
      <c r="AJ724" s="50"/>
      <c r="AL724" s="23">
        <f t="shared" ref="AL724" si="149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61">
        <f t="shared" ref="AR724" si="1495">+AL724/AP723</f>
        <v>3.8415526958622947E-3</v>
      </c>
      <c r="AS724" s="25"/>
      <c r="AT724" s="25"/>
      <c r="AU724" s="24"/>
      <c r="AV724" s="298">
        <f t="shared" ref="AV724" si="1496">+AP724/H724</f>
        <v>0.7639525356676089</v>
      </c>
      <c r="AW724" s="298"/>
      <c r="AX724" s="24">
        <f t="shared" ref="AX724" si="1497">+AP724/BW724</f>
        <v>76006.900699300706</v>
      </c>
      <c r="AY724" s="308"/>
      <c r="BA724" s="65">
        <f t="shared" ref="BA724" si="1498">+BC724-BC723</f>
        <v>1413093</v>
      </c>
      <c r="BB724" s="66"/>
      <c r="BC724" s="66">
        <v>955780795</v>
      </c>
      <c r="BD724" s="66"/>
      <c r="BE724" s="66">
        <f t="shared" ref="BE724" si="1499">+D724</f>
        <v>45698</v>
      </c>
      <c r="BF724" s="66"/>
      <c r="BG724" s="144">
        <f t="shared" ref="BG724" si="1500">+BE724/BA724</f>
        <v>3.2338989719714134E-2</v>
      </c>
      <c r="BH724" s="66"/>
      <c r="BI724" s="170"/>
      <c r="BJ724" s="66"/>
      <c r="BK724" s="66"/>
      <c r="BL724" s="66"/>
      <c r="BM724" s="144"/>
      <c r="BN724" s="65">
        <f t="shared" ref="BN724" si="1501">+BC724/BW724</f>
        <v>1336756.3566433566</v>
      </c>
      <c r="BO724" s="66"/>
      <c r="BP724" s="66">
        <f t="shared" ref="BP724" si="1502">+BP723+BE724</f>
        <v>70229554</v>
      </c>
      <c r="BQ724" s="66"/>
      <c r="BR724" s="435">
        <f t="shared" ref="BR724" si="1503">+BP724/BC724</f>
        <v>7.3478724794841688E-2</v>
      </c>
      <c r="BS724" s="66"/>
      <c r="BT724" s="75"/>
      <c r="BU724" s="170"/>
      <c r="BV724" s="1"/>
      <c r="BW724" s="61">
        <f t="shared" si="399"/>
        <v>715</v>
      </c>
      <c r="BZ724" s="1"/>
      <c r="CA724" s="61"/>
    </row>
    <row r="725" spans="2:79" x14ac:dyDescent="0.3">
      <c r="B725" s="158">
        <f t="shared" si="1063"/>
        <v>44625</v>
      </c>
      <c r="C725" s="61"/>
      <c r="D725" s="17">
        <v>16213</v>
      </c>
      <c r="E725" s="16"/>
      <c r="F725" s="16"/>
      <c r="G725" s="16"/>
      <c r="H725" s="16">
        <f t="shared" ref="H725" si="1504">+H724+D725</f>
        <v>71152745</v>
      </c>
      <c r="I725" s="16"/>
      <c r="J725" s="436">
        <f t="shared" ref="J725" si="1505">+D725/H724</f>
        <v>2.2791383757645088E-4</v>
      </c>
      <c r="K725" s="16"/>
      <c r="L725" s="16"/>
      <c r="M725" s="16"/>
      <c r="N725" s="16">
        <f t="shared" ref="N725" si="1506">SUM(D719:D725)</f>
        <v>243982</v>
      </c>
      <c r="O725" s="16">
        <f t="shared" ref="O725" si="1507">+H725/BW725</f>
        <v>99375.342178770952</v>
      </c>
      <c r="P725" s="41"/>
      <c r="Q725" s="17">
        <f t="shared" ref="Q725" si="1508">SUM(D719:D725)</f>
        <v>243982</v>
      </c>
      <c r="R725" s="16"/>
      <c r="S725" s="60">
        <f t="shared" ref="S725" si="1509">+(Q725-Q718)/Q718</f>
        <v>-0.30915186471969036</v>
      </c>
      <c r="T725" s="16"/>
      <c r="U725" s="41"/>
      <c r="V725" s="10">
        <f t="shared" si="558"/>
        <v>617</v>
      </c>
      <c r="W725" s="34">
        <v>328</v>
      </c>
      <c r="X725" s="33">
        <v>4256</v>
      </c>
      <c r="Y725" s="33"/>
      <c r="Z725" s="33">
        <f t="shared" ref="Z725" si="1510">SUM(W720:W725)</f>
        <v>6979</v>
      </c>
      <c r="AA725" s="33">
        <f t="shared" ref="AA725" si="1511">+AA724+W725</f>
        <v>868377</v>
      </c>
      <c r="AB725" s="33"/>
      <c r="AC725" s="46">
        <f t="shared" ref="AC725" si="1512">+AA725/H725</f>
        <v>1.2204406168728978E-2</v>
      </c>
      <c r="AD725" s="33"/>
      <c r="AE725" s="33">
        <f t="shared" ref="AE725" si="1513">+AA725/BW725</f>
        <v>1212.8170391061453</v>
      </c>
      <c r="AF725" s="50"/>
      <c r="AG725" s="33"/>
      <c r="AH725" s="33"/>
      <c r="AI725" s="213"/>
      <c r="AJ725" s="50"/>
      <c r="AL725" s="23">
        <f t="shared" ref="AL725" si="151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61">
        <f t="shared" ref="AR725" si="1515">+AL725/AP724</f>
        <v>4.6004288090588166E-3</v>
      </c>
      <c r="AS725" s="25"/>
      <c r="AT725" s="25"/>
      <c r="AU725" s="24"/>
      <c r="AV725" s="298">
        <f t="shared" ref="AV725" si="1516">+AP725/H725</f>
        <v>0.76729216841880099</v>
      </c>
      <c r="AW725" s="298"/>
      <c r="AX725" s="24">
        <f t="shared" ref="AX725" si="1517">+AP725/BW725</f>
        <v>76249.921787709492</v>
      </c>
      <c r="AY725" s="308"/>
      <c r="BA725" s="65">
        <f t="shared" ref="BA725" si="1518">+BC725-BC724</f>
        <v>553786</v>
      </c>
      <c r="BB725" s="66"/>
      <c r="BC725" s="66">
        <v>956334581</v>
      </c>
      <c r="BD725" s="66"/>
      <c r="BE725" s="66">
        <f t="shared" ref="BE725" si="1519">+D725</f>
        <v>16213</v>
      </c>
      <c r="BF725" s="66"/>
      <c r="BG725" s="144">
        <f t="shared" ref="BG725" si="1520">+BE725/BA725</f>
        <v>2.9276651991924679E-2</v>
      </c>
      <c r="BH725" s="66"/>
      <c r="BI725" s="170"/>
      <c r="BJ725" s="66"/>
      <c r="BK725" s="66"/>
      <c r="BL725" s="66"/>
      <c r="BM725" s="144"/>
      <c r="BN725" s="65">
        <f t="shared" ref="BN725" si="1521">+BC725/BW725</f>
        <v>1335662.8226256983</v>
      </c>
      <c r="BO725" s="66"/>
      <c r="BP725" s="66">
        <f t="shared" ref="BP725" si="1522">+BP724+BE725</f>
        <v>70245767</v>
      </c>
      <c r="BQ725" s="66"/>
      <c r="BR725" s="435">
        <f t="shared" ref="BR725" si="1523">+BP725/BC725</f>
        <v>7.3453128638877485E-2</v>
      </c>
      <c r="BS725" s="66"/>
      <c r="BT725" s="75"/>
      <c r="BU725" s="170"/>
      <c r="BV725" s="1"/>
      <c r="BW725" s="61">
        <f t="shared" si="399"/>
        <v>716</v>
      </c>
      <c r="BZ725" s="1"/>
      <c r="CA725" s="61"/>
    </row>
    <row r="726" spans="2:79" x14ac:dyDescent="0.3">
      <c r="B726" s="347">
        <f t="shared" si="1063"/>
        <v>44626</v>
      </c>
      <c r="C726" s="61"/>
      <c r="D726" s="17">
        <v>4903</v>
      </c>
      <c r="E726" s="16"/>
      <c r="F726" s="16"/>
      <c r="G726" s="16"/>
      <c r="H726" s="16">
        <f t="shared" ref="H726" si="1524">+H725+D726</f>
        <v>71157648</v>
      </c>
      <c r="I726" s="16"/>
      <c r="J726" s="436">
        <f t="shared" ref="J726" si="1525">+D726/H725</f>
        <v>6.8908093426332315E-5</v>
      </c>
      <c r="K726" s="16"/>
      <c r="L726" s="16"/>
      <c r="M726" s="16"/>
      <c r="N726" s="16">
        <f t="shared" ref="N726" si="1526">SUM(D720:D726)</f>
        <v>241421</v>
      </c>
      <c r="O726" s="16">
        <f t="shared" ref="O726" si="1527">+H726/BW726</f>
        <v>99243.581589958165</v>
      </c>
      <c r="P726" s="41"/>
      <c r="Q726" s="17">
        <f t="shared" ref="Q726" si="1528">SUM(D720:D726)</f>
        <v>241421</v>
      </c>
      <c r="R726" s="16"/>
      <c r="S726" s="60">
        <f t="shared" ref="S726" si="1529">+(Q726-Q719)/Q719</f>
        <v>-0.30138524355342317</v>
      </c>
      <c r="T726" s="16"/>
      <c r="U726" s="41"/>
      <c r="V726" s="10">
        <f t="shared" si="558"/>
        <v>618</v>
      </c>
      <c r="W726" s="34">
        <v>183</v>
      </c>
      <c r="X726" s="33">
        <v>4256</v>
      </c>
      <c r="Y726" s="33"/>
      <c r="Z726" s="33">
        <f t="shared" ref="Z726" si="1530">SUM(W721:W726)</f>
        <v>6452</v>
      </c>
      <c r="AA726" s="33">
        <f t="shared" ref="AA726" si="1531">+AA725+W726</f>
        <v>868560</v>
      </c>
      <c r="AB726" s="33"/>
      <c r="AC726" s="46">
        <f t="shared" ref="AC726" si="1532">+AA726/H726</f>
        <v>1.2206136998794564E-2</v>
      </c>
      <c r="AD726" s="33"/>
      <c r="AE726" s="33">
        <f t="shared" ref="AE726" si="1533">+AA726/BW726</f>
        <v>1211.3807531380753</v>
      </c>
      <c r="AF726" s="50"/>
      <c r="AG726" s="33"/>
      <c r="AH726" s="33"/>
      <c r="AI726" s="213"/>
      <c r="AJ726" s="50"/>
      <c r="AL726" s="23">
        <f t="shared" ref="AL726" si="153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61">
        <f t="shared" ref="AR726" si="1535">+AL726/AP725</f>
        <v>2.8983819454050544E-3</v>
      </c>
      <c r="AS726" s="25"/>
      <c r="AT726" s="25"/>
      <c r="AU726" s="24"/>
      <c r="AV726" s="298">
        <f t="shared" ref="AV726" si="1536">+AP726/H726</f>
        <v>0.76946305195472453</v>
      </c>
      <c r="AW726" s="298"/>
      <c r="AX726" s="24">
        <f t="shared" ref="AX726" si="1537">+AP726/BW726</f>
        <v>76364.269177126916</v>
      </c>
      <c r="AY726" s="308"/>
      <c r="BA726" s="65">
        <f t="shared" ref="BA726" si="1538">+BC726-BC725</f>
        <v>195077</v>
      </c>
      <c r="BB726" s="66"/>
      <c r="BC726" s="66">
        <v>956529658</v>
      </c>
      <c r="BD726" s="66"/>
      <c r="BE726" s="66">
        <f t="shared" ref="BE726" si="1539">+D726</f>
        <v>4903</v>
      </c>
      <c r="BF726" s="66"/>
      <c r="BG726" s="144">
        <f t="shared" ref="BG726" si="1540">+BE726/BA726</f>
        <v>2.5133665168113103E-2</v>
      </c>
      <c r="BH726" s="66"/>
      <c r="BI726" s="170"/>
      <c r="BJ726" s="66"/>
      <c r="BK726" s="66"/>
      <c r="BL726" s="66"/>
      <c r="BM726" s="144"/>
      <c r="BN726" s="65">
        <f t="shared" ref="BN726" si="1541">+BC726/BW726</f>
        <v>1334072.0474198048</v>
      </c>
      <c r="BO726" s="66"/>
      <c r="BP726" s="66">
        <f t="shared" ref="BP726" si="1542">+BP725+BE726</f>
        <v>70250670</v>
      </c>
      <c r="BQ726" s="66"/>
      <c r="BR726" s="435">
        <f t="shared" ref="BR726" si="1543">+BP726/BC726</f>
        <v>7.3443274249213084E-2</v>
      </c>
      <c r="BS726" s="66"/>
      <c r="BT726" s="75"/>
      <c r="BU726" s="170"/>
      <c r="BV726" s="1"/>
      <c r="BW726" s="61">
        <f t="shared" ref="BW726:BW740" si="1544">+BW725+1</f>
        <v>717</v>
      </c>
      <c r="BZ726" s="1"/>
      <c r="CA726" s="61"/>
    </row>
    <row r="727" spans="2:79" x14ac:dyDescent="0.3">
      <c r="B727" s="158">
        <f t="shared" si="1063"/>
        <v>44627</v>
      </c>
      <c r="C727" s="61"/>
      <c r="D727" s="17">
        <v>25751</v>
      </c>
      <c r="E727" s="16"/>
      <c r="F727" s="16"/>
      <c r="G727" s="16"/>
      <c r="H727" s="16">
        <f t="shared" ref="H727" si="1545">+H726+D727</f>
        <v>71183399</v>
      </c>
      <c r="I727" s="16"/>
      <c r="J727" s="436">
        <f t="shared" ref="J727" si="1546">+D727/H726</f>
        <v>3.6188660985534543E-4</v>
      </c>
      <c r="K727" s="16"/>
      <c r="L727" s="16"/>
      <c r="M727" s="16"/>
      <c r="N727" s="16">
        <f t="shared" ref="N727" si="1547">SUM(D721:D727)</f>
        <v>234254</v>
      </c>
      <c r="O727" s="16">
        <f t="shared" ref="O727" si="1548">+H727/BW727</f>
        <v>99141.224233983288</v>
      </c>
      <c r="P727" s="41"/>
      <c r="Q727" s="17">
        <f t="shared" ref="Q727" si="1549">SUM(D721:D727)</f>
        <v>234254</v>
      </c>
      <c r="R727" s="16"/>
      <c r="S727" s="60">
        <f t="shared" ref="S727" si="1550">+(Q727-Q720)/Q720</f>
        <v>-0.3320216372818236</v>
      </c>
      <c r="T727" s="16"/>
      <c r="U727" s="41"/>
      <c r="V727" s="10">
        <f t="shared" si="558"/>
        <v>619</v>
      </c>
      <c r="W727" s="34">
        <v>508</v>
      </c>
      <c r="X727" s="33">
        <v>4256</v>
      </c>
      <c r="Y727" s="33"/>
      <c r="Z727" s="33">
        <f t="shared" ref="Z727" si="1551">SUM(W722:W727)</f>
        <v>5509</v>
      </c>
      <c r="AA727" s="33">
        <f t="shared" ref="AA727" si="1552">+AA726+W727</f>
        <v>869068</v>
      </c>
      <c r="AB727" s="33"/>
      <c r="AC727" s="46">
        <f t="shared" ref="AC727" si="1553">+AA727/H727</f>
        <v>1.2208857854624222E-2</v>
      </c>
      <c r="AD727" s="33"/>
      <c r="AE727" s="33">
        <f t="shared" ref="AE727" si="1554">+AA727/BW727</f>
        <v>1210.4011142061281</v>
      </c>
      <c r="AF727" s="50"/>
      <c r="AG727" s="33"/>
      <c r="AH727" s="33"/>
      <c r="AI727" s="213"/>
      <c r="AJ727" s="50"/>
      <c r="AL727" s="23">
        <f t="shared" ref="AL727" si="1555">+AP727-AP726</f>
        <v>259830</v>
      </c>
      <c r="AM727" s="24"/>
      <c r="AN727" s="24"/>
      <c r="AO727" s="24">
        <v>178263</v>
      </c>
      <c r="AP727" s="24">
        <v>55013011</v>
      </c>
      <c r="AQ727" s="24">
        <v>20336656</v>
      </c>
      <c r="AR727" s="461">
        <f t="shared" ref="AR727" si="1556">+AL727/AP726</f>
        <v>4.745477710235685E-3</v>
      </c>
      <c r="AS727" s="25"/>
      <c r="AT727" s="25"/>
      <c r="AU727" s="24"/>
      <c r="AV727" s="298">
        <f t="shared" ref="AV727" si="1557">+AP727/H727</f>
        <v>0.77283484313526529</v>
      </c>
      <c r="AW727" s="298"/>
      <c r="AX727" s="24">
        <f t="shared" ref="AX727" si="1558">+AP727/BW727</f>
        <v>76619.792479108641</v>
      </c>
      <c r="AY727" s="308"/>
      <c r="BA727" s="65">
        <f t="shared" ref="BA727" si="1559">+BC727-BC726</f>
        <v>1788945</v>
      </c>
      <c r="BB727" s="66"/>
      <c r="BC727" s="66">
        <v>958318603</v>
      </c>
      <c r="BD727" s="66"/>
      <c r="BE727" s="66">
        <f t="shared" ref="BE727" si="1560">+D727</f>
        <v>25751</v>
      </c>
      <c r="BF727" s="66"/>
      <c r="BG727" s="144">
        <f t="shared" ref="BG727" si="1561">+BE727/BA727</f>
        <v>1.4394517439049272E-2</v>
      </c>
      <c r="BH727" s="66"/>
      <c r="BI727" s="170"/>
      <c r="BJ727" s="66"/>
      <c r="BK727" s="66"/>
      <c r="BL727" s="66"/>
      <c r="BM727" s="144"/>
      <c r="BN727" s="65">
        <f t="shared" ref="BN727" si="1562">+BC727/BW727</f>
        <v>1334705.5752089135</v>
      </c>
      <c r="BO727" s="66"/>
      <c r="BP727" s="66">
        <f t="shared" ref="BP727" si="1563">+BP726+BE727</f>
        <v>70276421</v>
      </c>
      <c r="BQ727" s="66"/>
      <c r="BR727" s="435">
        <f t="shared" ref="BR727" si="1564">+BP727/BC727</f>
        <v>7.3333044751506302E-2</v>
      </c>
      <c r="BS727" s="66"/>
      <c r="BT727" s="75"/>
      <c r="BU727" s="170"/>
      <c r="BV727" s="1"/>
      <c r="BW727" s="61">
        <f t="shared" si="1544"/>
        <v>718</v>
      </c>
      <c r="BZ727" s="1"/>
      <c r="CA727" s="61"/>
    </row>
    <row r="728" spans="2:79" x14ac:dyDescent="0.3">
      <c r="B728" s="158">
        <f t="shared" si="1063"/>
        <v>44628</v>
      </c>
      <c r="C728" s="61"/>
      <c r="D728" s="17">
        <v>29632</v>
      </c>
      <c r="E728" s="16"/>
      <c r="F728" s="16"/>
      <c r="G728" s="16"/>
      <c r="H728" s="16">
        <f t="shared" ref="H728" si="1565">+H727+D728</f>
        <v>71213031</v>
      </c>
      <c r="I728" s="16"/>
      <c r="J728" s="436">
        <f t="shared" ref="J728" si="1566">+D728/H727</f>
        <v>4.1627683443438827E-4</v>
      </c>
      <c r="K728" s="16"/>
      <c r="L728" s="16"/>
      <c r="M728" s="16"/>
      <c r="N728" s="16">
        <f t="shared" ref="N728" si="1567">SUM(D722:D728)</f>
        <v>221987</v>
      </c>
      <c r="O728" s="16">
        <f t="shared" ref="O728" si="1568">+H728/BW728</f>
        <v>99044.549374130744</v>
      </c>
      <c r="P728" s="41"/>
      <c r="Q728" s="17">
        <f t="shared" ref="Q728" si="1569">SUM(D722:D728)</f>
        <v>221987</v>
      </c>
      <c r="R728" s="16"/>
      <c r="S728" s="60">
        <f t="shared" ref="S728" si="1570">+(Q728-Q721)/Q721</f>
        <v>-0.3287908153854992</v>
      </c>
      <c r="T728" s="16"/>
      <c r="U728" s="41"/>
      <c r="V728" s="10">
        <f t="shared" si="558"/>
        <v>620</v>
      </c>
      <c r="W728" s="34">
        <v>1128</v>
      </c>
      <c r="X728" s="33">
        <v>4256</v>
      </c>
      <c r="Y728" s="33"/>
      <c r="Z728" s="33">
        <f t="shared" ref="Z728" si="1571">SUM(W723:W728)</f>
        <v>4859</v>
      </c>
      <c r="AA728" s="33">
        <f t="shared" ref="AA728" si="1572">+AA727+W728</f>
        <v>870196</v>
      </c>
      <c r="AB728" s="33"/>
      <c r="AC728" s="46">
        <f t="shared" ref="AC728" si="1573">+AA728/H728</f>
        <v>1.221961750230797E-2</v>
      </c>
      <c r="AD728" s="33"/>
      <c r="AE728" s="33">
        <f t="shared" ref="AE728" si="1574">+AA728/BW728</f>
        <v>1210.2865090403338</v>
      </c>
      <c r="AF728" s="50"/>
      <c r="AG728" s="33"/>
      <c r="AH728" s="33"/>
      <c r="AI728" s="213"/>
      <c r="AJ728" s="50"/>
      <c r="AL728" s="23">
        <f t="shared" ref="AL728" si="1575">+AP728-AP727</f>
        <v>202659</v>
      </c>
      <c r="AM728" s="24"/>
      <c r="AN728" s="24"/>
      <c r="AO728" s="24">
        <v>178263</v>
      </c>
      <c r="AP728" s="24">
        <v>55215670</v>
      </c>
      <c r="AQ728" s="24">
        <v>20336656</v>
      </c>
      <c r="AR728" s="461">
        <f t="shared" ref="AR728" si="1576">+AL728/AP727</f>
        <v>3.6838376288838288E-3</v>
      </c>
      <c r="AS728" s="25"/>
      <c r="AT728" s="25"/>
      <c r="AU728" s="24"/>
      <c r="AV728" s="298">
        <f t="shared" ref="AV728" si="1577">+AP728/H728</f>
        <v>0.77535907718911723</v>
      </c>
      <c r="AW728" s="298"/>
      <c r="AX728" s="24">
        <f t="shared" ref="AX728" si="1578">+AP728/BW728</f>
        <v>76795.090403337963</v>
      </c>
      <c r="AY728" s="308"/>
      <c r="BA728" s="65">
        <f t="shared" ref="BA728" si="1579">+BC728-BC727</f>
        <v>1742227</v>
      </c>
      <c r="BB728" s="66"/>
      <c r="BC728" s="66">
        <v>960060830</v>
      </c>
      <c r="BD728" s="66"/>
      <c r="BE728" s="66">
        <f t="shared" ref="BE728" si="1580">+D728</f>
        <v>29632</v>
      </c>
      <c r="BF728" s="66"/>
      <c r="BG728" s="144">
        <f t="shared" ref="BG728" si="1581">+BE728/BA728</f>
        <v>1.7008116623149567E-2</v>
      </c>
      <c r="BH728" s="66"/>
      <c r="BI728" s="170"/>
      <c r="BJ728" s="66"/>
      <c r="BK728" s="66"/>
      <c r="BL728" s="66"/>
      <c r="BM728" s="144"/>
      <c r="BN728" s="65">
        <f t="shared" ref="BN728" si="1582">+BC728/BW728</f>
        <v>1335272.3643949931</v>
      </c>
      <c r="BO728" s="66"/>
      <c r="BP728" s="66">
        <f t="shared" ref="BP728" si="1583">+BP727+BE728</f>
        <v>70306053</v>
      </c>
      <c r="BQ728" s="66"/>
      <c r="BR728" s="435">
        <f t="shared" ref="BR728" si="1584">+BP728/BC728</f>
        <v>7.3230831633866372E-2</v>
      </c>
      <c r="BS728" s="66"/>
      <c r="BT728" s="75"/>
      <c r="BU728" s="170"/>
      <c r="BV728" s="1"/>
      <c r="BW728" s="61">
        <f t="shared" si="1544"/>
        <v>719</v>
      </c>
      <c r="BZ728" s="1"/>
      <c r="CA728" s="61"/>
    </row>
    <row r="729" spans="2:79" x14ac:dyDescent="0.3">
      <c r="B729" s="158">
        <f t="shared" si="1063"/>
        <v>44629</v>
      </c>
      <c r="C729" s="61"/>
      <c r="D729" s="17">
        <v>39200</v>
      </c>
      <c r="E729" s="16"/>
      <c r="F729" s="16"/>
      <c r="G729" s="16"/>
      <c r="H729" s="16">
        <f t="shared" ref="H729" si="1585">+H728+D729</f>
        <v>71252231</v>
      </c>
      <c r="I729" s="16"/>
      <c r="J729" s="436">
        <f t="shared" ref="J729" si="1586">+D729/H728</f>
        <v>5.5046105255651873E-4</v>
      </c>
      <c r="K729" s="16"/>
      <c r="L729" s="16"/>
      <c r="M729" s="16"/>
      <c r="N729" s="16">
        <f t="shared" ref="N729" si="1587">SUM(D723:D729)</f>
        <v>210488</v>
      </c>
      <c r="O729" s="16">
        <f t="shared" ref="O729" si="1588">+H729/BW729</f>
        <v>98961.431944444441</v>
      </c>
      <c r="P729" s="41"/>
      <c r="Q729" s="17">
        <f t="shared" ref="Q729" si="1589">SUM(D723:D729)</f>
        <v>210488</v>
      </c>
      <c r="R729" s="16"/>
      <c r="S729" s="60">
        <f t="shared" ref="S729" si="1590">+(Q729-Q722)/Q722</f>
        <v>-0.31241384266609173</v>
      </c>
      <c r="T729" s="16"/>
      <c r="U729" s="41"/>
      <c r="V729" s="10">
        <f t="shared" si="558"/>
        <v>621</v>
      </c>
      <c r="W729" s="34">
        <v>1265</v>
      </c>
      <c r="X729" s="33">
        <v>4256</v>
      </c>
      <c r="Y729" s="33"/>
      <c r="Z729" s="33">
        <f t="shared" ref="Z729" si="1591">SUM(W724:W729)</f>
        <v>4866</v>
      </c>
      <c r="AA729" s="33">
        <f t="shared" ref="AA729" si="1592">+AA728+W729</f>
        <v>871461</v>
      </c>
      <c r="AB729" s="33"/>
      <c r="AC729" s="46">
        <f t="shared" ref="AC729" si="1593">+AA729/H729</f>
        <v>1.2230648609444944E-2</v>
      </c>
      <c r="AD729" s="33"/>
      <c r="AE729" s="33">
        <f t="shared" ref="AE729" si="1594">+AA729/BW729</f>
        <v>1210.3625</v>
      </c>
      <c r="AF729" s="50"/>
      <c r="AG729" s="33"/>
      <c r="AH729" s="33"/>
      <c r="AI729" s="213"/>
      <c r="AJ729" s="50"/>
      <c r="AL729" s="23">
        <f t="shared" ref="AL729" si="1595">+AP729-AP728</f>
        <v>214324</v>
      </c>
      <c r="AM729" s="24"/>
      <c r="AN729" s="24"/>
      <c r="AO729" s="24">
        <v>178263</v>
      </c>
      <c r="AP729" s="24">
        <v>55429994</v>
      </c>
      <c r="AQ729" s="24">
        <v>20336656</v>
      </c>
      <c r="AR729" s="461">
        <f t="shared" ref="AR729" si="1596">+AL729/AP728</f>
        <v>3.881579269073435E-3</v>
      </c>
      <c r="AS729" s="25"/>
      <c r="AT729" s="25"/>
      <c r="AU729" s="24"/>
      <c r="AV729" s="298">
        <f t="shared" ref="AV729" si="1597">+AP729/H729</f>
        <v>0.77794046897984148</v>
      </c>
      <c r="AW729" s="298"/>
      <c r="AX729" s="24">
        <f t="shared" ref="AX729" si="1598">+AP729/BW729</f>
        <v>76986.102777777778</v>
      </c>
      <c r="AY729" s="308"/>
      <c r="BA729" s="65">
        <f t="shared" ref="BA729" si="1599">+BC729-BC728</f>
        <v>1387984</v>
      </c>
      <c r="BB729" s="66"/>
      <c r="BC729" s="66">
        <v>961448814</v>
      </c>
      <c r="BD729" s="66"/>
      <c r="BE729" s="66">
        <f t="shared" ref="BE729" si="1600">+D729</f>
        <v>39200</v>
      </c>
      <c r="BF729" s="66"/>
      <c r="BG729" s="144">
        <f t="shared" ref="BG729" si="1601">+BE729/BA729</f>
        <v>2.8242400488766441E-2</v>
      </c>
      <c r="BH729" s="66"/>
      <c r="BI729" s="170"/>
      <c r="BJ729" s="66"/>
      <c r="BK729" s="66"/>
      <c r="BL729" s="66"/>
      <c r="BM729" s="144"/>
      <c r="BN729" s="65">
        <f t="shared" ref="BN729" si="1602">+BC729/BW729</f>
        <v>1335345.575</v>
      </c>
      <c r="BO729" s="66"/>
      <c r="BP729" s="66">
        <f t="shared" ref="BP729" si="1603">+BP728+BE729</f>
        <v>70345253</v>
      </c>
      <c r="BQ729" s="66"/>
      <c r="BR729" s="435">
        <f t="shared" ref="BR729" si="1604">+BP729/BC729</f>
        <v>7.316588462711443E-2</v>
      </c>
      <c r="BS729" s="66"/>
      <c r="BT729" s="75"/>
      <c r="BU729" s="170"/>
      <c r="BV729" s="1"/>
      <c r="BW729" s="61">
        <f t="shared" si="1544"/>
        <v>720</v>
      </c>
      <c r="BZ729" s="1"/>
      <c r="CA729" s="61"/>
    </row>
    <row r="730" spans="2:79" x14ac:dyDescent="0.3">
      <c r="B730" s="158">
        <f t="shared" si="1063"/>
        <v>44630</v>
      </c>
      <c r="C730" s="61"/>
      <c r="D730" s="17">
        <v>38038</v>
      </c>
      <c r="E730" s="16"/>
      <c r="F730" s="16"/>
      <c r="G730" s="16"/>
      <c r="H730" s="16">
        <f t="shared" ref="H730" si="1605">+H729+D730</f>
        <v>71290269</v>
      </c>
      <c r="I730" s="16"/>
      <c r="J730" s="436">
        <f t="shared" ref="J730" si="1606">+D730/H729</f>
        <v>5.3384995060716067E-4</v>
      </c>
      <c r="K730" s="16"/>
      <c r="L730" s="16"/>
      <c r="M730" s="16"/>
      <c r="N730" s="16">
        <f t="shared" ref="N730" si="1607">SUM(D724:D730)</f>
        <v>199435</v>
      </c>
      <c r="O730" s="16">
        <f t="shared" ref="O730" si="1608">+H730/BW730</f>
        <v>98876.933425797499</v>
      </c>
      <c r="P730" s="41"/>
      <c r="Q730" s="17">
        <f t="shared" ref="Q730" si="1609">SUM(D724:D730)</f>
        <v>199435</v>
      </c>
      <c r="R730" s="16"/>
      <c r="S730" s="60">
        <f t="shared" ref="S730" si="1610">+(Q730-Q723)/Q723</f>
        <v>-0.29858404963212021</v>
      </c>
      <c r="T730" s="16"/>
      <c r="U730" s="41"/>
      <c r="V730" s="10">
        <f t="shared" si="558"/>
        <v>622</v>
      </c>
      <c r="W730" s="34">
        <v>1247</v>
      </c>
      <c r="X730" s="33">
        <v>4256</v>
      </c>
      <c r="Y730" s="33"/>
      <c r="Z730" s="33">
        <f t="shared" ref="Z730" si="1611">SUM(W725:W730)</f>
        <v>4659</v>
      </c>
      <c r="AA730" s="33">
        <f t="shared" ref="AA730" si="1612">+AA729+W730</f>
        <v>872708</v>
      </c>
      <c r="AB730" s="33"/>
      <c r="AC730" s="46">
        <f t="shared" ref="AC730" si="1613">+AA730/H730</f>
        <v>1.2241614630462399E-2</v>
      </c>
      <c r="AD730" s="33"/>
      <c r="AE730" s="33">
        <f t="shared" ref="AE730" si="1614">+AA730/BW730</f>
        <v>1210.4133148404992</v>
      </c>
      <c r="AF730" s="50"/>
      <c r="AG730" s="33"/>
      <c r="AH730" s="33"/>
      <c r="AI730" s="213"/>
      <c r="AJ730" s="50"/>
      <c r="AL730" s="23">
        <f t="shared" ref="AL730" si="1615">+AP730-AP729</f>
        <v>170181</v>
      </c>
      <c r="AM730" s="24"/>
      <c r="AN730" s="24"/>
      <c r="AO730" s="24">
        <v>178263</v>
      </c>
      <c r="AP730" s="24">
        <v>55600175</v>
      </c>
      <c r="AQ730" s="24">
        <v>20336656</v>
      </c>
      <c r="AR730" s="461">
        <f t="shared" ref="AR730" si="1616">+AL730/AP729</f>
        <v>3.0701969767487256E-3</v>
      </c>
      <c r="AS730" s="25"/>
      <c r="AT730" s="25"/>
      <c r="AU730" s="24"/>
      <c r="AV730" s="298">
        <f t="shared" ref="AV730" si="1617">+AP730/H730</f>
        <v>0.77991254318313763</v>
      </c>
      <c r="AW730" s="298"/>
      <c r="AX730" s="24">
        <f t="shared" ref="AX730" si="1618">+AP730/BW730</f>
        <v>77115.360610263524</v>
      </c>
      <c r="AY730" s="308"/>
      <c r="BA730" s="65">
        <f t="shared" ref="BA730" si="1619">+BC730-BC729</f>
        <v>1168400</v>
      </c>
      <c r="BB730" s="66"/>
      <c r="BC730" s="66">
        <v>962617214</v>
      </c>
      <c r="BD730" s="66"/>
      <c r="BE730" s="66">
        <f t="shared" ref="BE730" si="1620">+D730</f>
        <v>38038</v>
      </c>
      <c r="BF730" s="66"/>
      <c r="BG730" s="144">
        <f t="shared" ref="BG730" si="1621">+BE730/BA730</f>
        <v>3.2555631633002395E-2</v>
      </c>
      <c r="BH730" s="66"/>
      <c r="BI730" s="170"/>
      <c r="BJ730" s="66"/>
      <c r="BK730" s="66"/>
      <c r="BL730" s="66"/>
      <c r="BM730" s="144"/>
      <c r="BN730" s="65">
        <f t="shared" ref="BN730" si="1622">+BC730/BW730</f>
        <v>1335114.027739251</v>
      </c>
      <c r="BO730" s="66"/>
      <c r="BP730" s="66">
        <f t="shared" ref="BP730" si="1623">+BP729+BE730</f>
        <v>70383291</v>
      </c>
      <c r="BQ730" s="66"/>
      <c r="BR730" s="435">
        <f t="shared" ref="BR730" si="1624">+BP730/BC730</f>
        <v>7.3116592947194067E-2</v>
      </c>
      <c r="BS730" s="66"/>
      <c r="BT730" s="75"/>
      <c r="BU730" s="170"/>
      <c r="BV730" s="1"/>
      <c r="BW730" s="61">
        <f t="shared" si="1544"/>
        <v>721</v>
      </c>
      <c r="BZ730" s="1"/>
      <c r="CA730" s="61"/>
    </row>
    <row r="731" spans="2:79" x14ac:dyDescent="0.3">
      <c r="B731" s="158">
        <f t="shared" si="1063"/>
        <v>44631</v>
      </c>
      <c r="C731" s="61"/>
      <c r="D731" s="17">
        <v>39254</v>
      </c>
      <c r="E731" s="16"/>
      <c r="F731" s="16"/>
      <c r="G731" s="16"/>
      <c r="H731" s="16">
        <f t="shared" ref="H731" si="1625">+H730+D731</f>
        <v>71329523</v>
      </c>
      <c r="I731" s="16"/>
      <c r="J731" s="436">
        <f t="shared" ref="J731" si="1626">+D731/H730</f>
        <v>5.5062213329563957E-4</v>
      </c>
      <c r="K731" s="16"/>
      <c r="L731" s="16"/>
      <c r="M731" s="16"/>
      <c r="N731" s="16">
        <f t="shared" ref="N731" si="1627">SUM(D725:D731)</f>
        <v>192991</v>
      </c>
      <c r="O731" s="16">
        <f t="shared" ref="O731" si="1628">+H731/BW731</f>
        <v>98794.353185595566</v>
      </c>
      <c r="P731" s="41"/>
      <c r="Q731" s="17">
        <f t="shared" ref="Q731" si="1629">SUM(D725:D731)</f>
        <v>192991</v>
      </c>
      <c r="R731" s="16"/>
      <c r="S731" s="60">
        <f t="shared" ref="S731" si="1630">+(Q731-Q724)/Q724</f>
        <v>-0.23951026906041645</v>
      </c>
      <c r="T731" s="16"/>
      <c r="U731" s="41"/>
      <c r="V731" s="10">
        <f t="shared" si="558"/>
        <v>623</v>
      </c>
      <c r="W731" s="34">
        <v>1022</v>
      </c>
      <c r="X731" s="33">
        <v>4256</v>
      </c>
      <c r="Y731" s="33"/>
      <c r="Z731" s="33">
        <f t="shared" ref="Z731" si="1631">SUM(W726:W731)</f>
        <v>5353</v>
      </c>
      <c r="AA731" s="33">
        <f t="shared" ref="AA731" si="1632">+AA730+W731</f>
        <v>873730</v>
      </c>
      <c r="AB731" s="33"/>
      <c r="AC731" s="46">
        <f t="shared" ref="AC731" si="1633">+AA731/H731</f>
        <v>1.2249205704067305E-2</v>
      </c>
      <c r="AD731" s="33"/>
      <c r="AE731" s="33">
        <f t="shared" ref="AE731" si="1634">+AA731/BW731</f>
        <v>1210.152354570637</v>
      </c>
      <c r="AF731" s="50"/>
      <c r="AG731" s="33"/>
      <c r="AH731" s="33"/>
      <c r="AI731" s="213"/>
      <c r="AJ731" s="50"/>
      <c r="AL731" s="23">
        <f t="shared" ref="AL731" si="1635">+AP731-AP730</f>
        <v>157198</v>
      </c>
      <c r="AM731" s="24"/>
      <c r="AN731" s="24"/>
      <c r="AO731" s="24">
        <v>178263</v>
      </c>
      <c r="AP731" s="24">
        <v>55757373</v>
      </c>
      <c r="AQ731" s="24">
        <v>20336656</v>
      </c>
      <c r="AR731" s="461">
        <f t="shared" ref="AR731" si="1636">+AL731/AP730</f>
        <v>2.8272932594186977E-3</v>
      </c>
      <c r="AS731" s="25"/>
      <c r="AT731" s="25"/>
      <c r="AU731" s="24"/>
      <c r="AV731" s="298">
        <f t="shared" ref="AV731" si="1637">+AP731/H731</f>
        <v>0.7816871704020788</v>
      </c>
      <c r="AW731" s="298"/>
      <c r="AX731" s="24">
        <f t="shared" ref="AX731" si="1638">+AP731/BW731</f>
        <v>77226.278393351808</v>
      </c>
      <c r="AY731" s="308"/>
      <c r="BA731" s="65">
        <f t="shared" ref="BA731" si="1639">+BC731-BC730</f>
        <v>1188666</v>
      </c>
      <c r="BB731" s="66"/>
      <c r="BC731" s="66">
        <v>963805880</v>
      </c>
      <c r="BD731" s="66"/>
      <c r="BE731" s="66">
        <f t="shared" ref="BE731" si="1640">+D731</f>
        <v>39254</v>
      </c>
      <c r="BF731" s="66"/>
      <c r="BG731" s="144">
        <f t="shared" ref="BG731" si="1641">+BE731/BA731</f>
        <v>3.3023574326177411E-2</v>
      </c>
      <c r="BH731" s="66"/>
      <c r="BI731" s="170"/>
      <c r="BJ731" s="66"/>
      <c r="BK731" s="66"/>
      <c r="BL731" s="66"/>
      <c r="BM731" s="144"/>
      <c r="BN731" s="65">
        <f t="shared" ref="BN731" si="1642">+BC731/BW731</f>
        <v>1334911.1911357341</v>
      </c>
      <c r="BO731" s="66"/>
      <c r="BP731" s="66">
        <f t="shared" ref="BP731" si="1643">+BP730+BE731</f>
        <v>70422545</v>
      </c>
      <c r="BQ731" s="66"/>
      <c r="BR731" s="435">
        <f t="shared" ref="BR731" si="1644">+BP731/BC731</f>
        <v>7.3067146052273518E-2</v>
      </c>
      <c r="BS731" s="66"/>
      <c r="BT731" s="75"/>
      <c r="BU731" s="170"/>
      <c r="BV731" s="1"/>
      <c r="BW731" s="61">
        <f t="shared" si="1544"/>
        <v>722</v>
      </c>
      <c r="BZ731" s="1"/>
      <c r="CA731" s="61"/>
    </row>
    <row r="732" spans="2:79" x14ac:dyDescent="0.3">
      <c r="B732" s="158">
        <f t="shared" si="1063"/>
        <v>44632</v>
      </c>
      <c r="C732" s="61"/>
      <c r="D732" s="17">
        <v>12261</v>
      </c>
      <c r="E732" s="16"/>
      <c r="F732" s="16"/>
      <c r="G732" s="16"/>
      <c r="H732" s="16">
        <f t="shared" ref="H732" si="1645">+H731+D732</f>
        <v>71341784</v>
      </c>
      <c r="I732" s="16"/>
      <c r="J732" s="436">
        <f t="shared" ref="J732" si="1646">+D732/H731</f>
        <v>1.71892359353083E-4</v>
      </c>
      <c r="K732" s="16"/>
      <c r="L732" s="16"/>
      <c r="M732" s="16"/>
      <c r="N732" s="16">
        <f t="shared" ref="N732" si="1647">SUM(D726:D732)</f>
        <v>189039</v>
      </c>
      <c r="O732" s="16">
        <f t="shared" ref="O732" si="1648">+H732/BW732</f>
        <v>98674.666666666672</v>
      </c>
      <c r="P732" s="41"/>
      <c r="Q732" s="17">
        <f t="shared" ref="Q732" si="1649">SUM(D726:D732)</f>
        <v>189039</v>
      </c>
      <c r="R732" s="16"/>
      <c r="S732" s="60">
        <f t="shared" ref="S732" si="1650">+(Q732-Q725)/Q725</f>
        <v>-0.22519284209490864</v>
      </c>
      <c r="T732" s="16"/>
      <c r="U732" s="41"/>
      <c r="V732" s="10">
        <f t="shared" si="558"/>
        <v>624</v>
      </c>
      <c r="W732" s="34">
        <v>460</v>
      </c>
      <c r="X732" s="33">
        <v>4256</v>
      </c>
      <c r="Y732" s="33"/>
      <c r="Z732" s="33">
        <f t="shared" ref="Z732" si="1651">SUM(W727:W732)</f>
        <v>5630</v>
      </c>
      <c r="AA732" s="33">
        <f t="shared" ref="AA732" si="1652">+AA731+W732</f>
        <v>874190</v>
      </c>
      <c r="AB732" s="33"/>
      <c r="AC732" s="46">
        <f t="shared" ref="AC732" si="1653">+AA732/H732</f>
        <v>1.2253548355336895E-2</v>
      </c>
      <c r="AD732" s="33"/>
      <c r="AE732" s="33">
        <f t="shared" ref="AE732" si="1654">+AA732/BW732</f>
        <v>1209.1147994467497</v>
      </c>
      <c r="AF732" s="50"/>
      <c r="AG732" s="33"/>
      <c r="AH732" s="33"/>
      <c r="AI732" s="213"/>
      <c r="AJ732" s="50"/>
      <c r="AL732" s="23">
        <f t="shared" ref="AL732" si="1655">+AP732-AP731</f>
        <v>157765</v>
      </c>
      <c r="AM732" s="24"/>
      <c r="AN732" s="24"/>
      <c r="AO732" s="24">
        <v>178263</v>
      </c>
      <c r="AP732" s="24">
        <v>55915138</v>
      </c>
      <c r="AQ732" s="24">
        <v>20336656</v>
      </c>
      <c r="AR732" s="461">
        <f t="shared" ref="AR732" si="1656">+AL732/AP731</f>
        <v>2.8294912674598212E-3</v>
      </c>
      <c r="AS732" s="25"/>
      <c r="AT732" s="25"/>
      <c r="AU732" s="24"/>
      <c r="AV732" s="298">
        <f t="shared" ref="AV732" si="1657">+AP732/H732</f>
        <v>0.78376422434291804</v>
      </c>
      <c r="AW732" s="298"/>
      <c r="AX732" s="24">
        <f t="shared" ref="AX732" si="1658">+AP732/BW732</f>
        <v>77337.673582295989</v>
      </c>
      <c r="AY732" s="308"/>
      <c r="BA732" s="65">
        <f t="shared" ref="BA732" si="1659">+BC732-BC731</f>
        <v>348507</v>
      </c>
      <c r="BB732" s="66"/>
      <c r="BC732" s="66">
        <v>964154387</v>
      </c>
      <c r="BD732" s="66"/>
      <c r="BE732" s="66">
        <f t="shared" ref="BE732" si="1660">+D732</f>
        <v>12261</v>
      </c>
      <c r="BF732" s="66"/>
      <c r="BG732" s="144">
        <f t="shared" ref="BG732" si="1661">+BE732/BA732</f>
        <v>3.5181502810560476E-2</v>
      </c>
      <c r="BH732" s="66"/>
      <c r="BI732" s="170"/>
      <c r="BJ732" s="66"/>
      <c r="BK732" s="66"/>
      <c r="BL732" s="66"/>
      <c r="BM732" s="144"/>
      <c r="BN732" s="65">
        <f t="shared" ref="BN732" si="1662">+BC732/BW732</f>
        <v>1333546.8699861688</v>
      </c>
      <c r="BO732" s="66"/>
      <c r="BP732" s="66">
        <f t="shared" ref="BP732" si="1663">+BP731+BE732</f>
        <v>70434806</v>
      </c>
      <c r="BQ732" s="66"/>
      <c r="BR732" s="435">
        <f t="shared" ref="BR732" si="1664">+BP732/BC732</f>
        <v>7.3053451760106969E-2</v>
      </c>
      <c r="BS732" s="66"/>
      <c r="BT732" s="75"/>
      <c r="BU732" s="170"/>
      <c r="BV732" s="1"/>
      <c r="BW732" s="61">
        <f t="shared" si="1544"/>
        <v>723</v>
      </c>
      <c r="BZ732" s="1"/>
      <c r="CA732" s="61"/>
    </row>
    <row r="733" spans="2:79" x14ac:dyDescent="0.3">
      <c r="B733" s="347">
        <f t="shared" si="1063"/>
        <v>44633</v>
      </c>
      <c r="C733" s="61"/>
      <c r="D733" s="17">
        <v>5143</v>
      </c>
      <c r="E733" s="16"/>
      <c r="F733" s="16"/>
      <c r="G733" s="16"/>
      <c r="H733" s="16">
        <f t="shared" ref="H733" si="1665">+H732+D733</f>
        <v>71346927</v>
      </c>
      <c r="I733" s="16"/>
      <c r="J733" s="436">
        <f t="shared" ref="J733" si="1666">+D733/H732</f>
        <v>7.2089590582708165E-5</v>
      </c>
      <c r="K733" s="16"/>
      <c r="L733" s="16"/>
      <c r="M733" s="16"/>
      <c r="N733" s="16">
        <f t="shared" ref="N733" si="1667">SUM(D727:D733)</f>
        <v>189279</v>
      </c>
      <c r="O733" s="16">
        <f t="shared" ref="O733" si="1668">+H733/BW733</f>
        <v>98545.479281767955</v>
      </c>
      <c r="P733" s="41"/>
      <c r="Q733" s="17">
        <f t="shared" ref="Q733" si="1669">SUM(D727:D733)</f>
        <v>189279</v>
      </c>
      <c r="R733" s="16"/>
      <c r="S733" s="60">
        <f t="shared" ref="S733" si="1670">+(Q733-Q726)/Q726</f>
        <v>-0.21597955438839206</v>
      </c>
      <c r="T733" s="16"/>
      <c r="U733" s="41"/>
      <c r="V733" s="10">
        <f t="shared" si="558"/>
        <v>625</v>
      </c>
      <c r="W733" s="34">
        <v>118</v>
      </c>
      <c r="X733" s="33">
        <v>4256</v>
      </c>
      <c r="Y733" s="33"/>
      <c r="Z733" s="33">
        <f t="shared" ref="Z733" si="1671">SUM(W728:W733)</f>
        <v>5240</v>
      </c>
      <c r="AA733" s="33">
        <f t="shared" ref="AA733" si="1672">+AA732+W733</f>
        <v>874308</v>
      </c>
      <c r="AB733" s="33"/>
      <c r="AC733" s="46">
        <f t="shared" ref="AC733" si="1673">+AA733/H733</f>
        <v>1.225431895616191E-2</v>
      </c>
      <c r="AD733" s="33"/>
      <c r="AE733" s="33">
        <f t="shared" ref="AE733" si="1674">+AA733/BW733</f>
        <v>1207.6077348066299</v>
      </c>
      <c r="AF733" s="50"/>
      <c r="AG733" s="33"/>
      <c r="AH733" s="33"/>
      <c r="AI733" s="213"/>
      <c r="AJ733" s="50"/>
      <c r="AL733" s="23">
        <f t="shared" ref="AL733" si="1675">+AP733-AP732</f>
        <v>155965</v>
      </c>
      <c r="AM733" s="24"/>
      <c r="AN733" s="24"/>
      <c r="AO733" s="24">
        <v>178263</v>
      </c>
      <c r="AP733" s="24">
        <v>56071103</v>
      </c>
      <c r="AQ733" s="24">
        <v>20336656</v>
      </c>
      <c r="AR733" s="461">
        <f t="shared" ref="AR733" si="1676">+AL733/AP732</f>
        <v>2.78931619555334E-3</v>
      </c>
      <c r="AS733" s="25"/>
      <c r="AT733" s="25"/>
      <c r="AU733" s="24"/>
      <c r="AV733" s="298">
        <f t="shared" ref="AV733" si="1677">+AP733/H733</f>
        <v>0.78589373582971556</v>
      </c>
      <c r="AW733" s="298"/>
      <c r="AX733" s="24">
        <f t="shared" ref="AX733" si="1678">+AP733/BW733</f>
        <v>77446.274861878454</v>
      </c>
      <c r="AY733" s="308"/>
      <c r="BA733" s="65">
        <f t="shared" ref="BA733" si="1679">+BC733-BC732</f>
        <v>232268</v>
      </c>
      <c r="BB733" s="66"/>
      <c r="BC733" s="66">
        <v>964386655</v>
      </c>
      <c r="BD733" s="66"/>
      <c r="BE733" s="66">
        <f t="shared" ref="BE733" si="1680">+D733</f>
        <v>5143</v>
      </c>
      <c r="BF733" s="66"/>
      <c r="BG733" s="144">
        <f t="shared" ref="BG733" si="1681">+BE733/BA733</f>
        <v>2.2142525014207725E-2</v>
      </c>
      <c r="BH733" s="66"/>
      <c r="BI733" s="170"/>
      <c r="BJ733" s="66"/>
      <c r="BK733" s="66"/>
      <c r="BL733" s="66"/>
      <c r="BM733" s="144"/>
      <c r="BN733" s="65">
        <f t="shared" ref="BN733" si="1682">+BC733/BW733</f>
        <v>1332025.7665745856</v>
      </c>
      <c r="BO733" s="66"/>
      <c r="BP733" s="66">
        <f t="shared" ref="BP733" si="1683">+BP732+BE733</f>
        <v>70439949</v>
      </c>
      <c r="BQ733" s="66"/>
      <c r="BR733" s="435">
        <f t="shared" ref="BR733" si="1684">+BP733/BC733</f>
        <v>7.3041190102324668E-2</v>
      </c>
      <c r="BS733" s="66"/>
      <c r="BT733" s="75"/>
      <c r="BU733" s="170"/>
      <c r="BV733" s="1"/>
      <c r="BW733" s="61">
        <f t="shared" si="1544"/>
        <v>724</v>
      </c>
      <c r="BZ733" s="1"/>
      <c r="CA733" s="61"/>
    </row>
    <row r="734" spans="2:79" x14ac:dyDescent="0.3">
      <c r="B734" s="158">
        <f t="shared" si="1063"/>
        <v>44634</v>
      </c>
      <c r="C734" s="61"/>
      <c r="D734" s="17">
        <v>19474</v>
      </c>
      <c r="E734" s="16"/>
      <c r="F734" s="16"/>
      <c r="G734" s="16"/>
      <c r="H734" s="16">
        <f t="shared" ref="H734" si="1685">+H733+D734</f>
        <v>71366401</v>
      </c>
      <c r="I734" s="16"/>
      <c r="J734" s="436">
        <f t="shared" ref="J734" si="1686">+D734/H733</f>
        <v>2.7294798555234199E-4</v>
      </c>
      <c r="K734" s="16"/>
      <c r="L734" s="16"/>
      <c r="M734" s="16"/>
      <c r="N734" s="16">
        <f t="shared" ref="N734" si="1687">SUM(D728:D734)</f>
        <v>183002</v>
      </c>
      <c r="O734" s="16">
        <f t="shared" ref="O734" si="1688">+H734/BW734</f>
        <v>98436.415172413792</v>
      </c>
      <c r="P734" s="41"/>
      <c r="Q734" s="17">
        <f t="shared" ref="Q734" si="1689">SUM(D728:D734)</f>
        <v>183002</v>
      </c>
      <c r="R734" s="16"/>
      <c r="S734" s="60">
        <f t="shared" ref="S734" si="1690">+(Q734-Q727)/Q727</f>
        <v>-0.21878815303047119</v>
      </c>
      <c r="T734" s="16"/>
      <c r="U734" s="41"/>
      <c r="V734" s="10">
        <f t="shared" si="558"/>
        <v>626</v>
      </c>
      <c r="W734" s="34">
        <v>408</v>
      </c>
      <c r="X734" s="33">
        <v>4256</v>
      </c>
      <c r="Y734" s="33"/>
      <c r="Z734" s="33">
        <f t="shared" ref="Z734" si="1691">SUM(W729:W734)</f>
        <v>4520</v>
      </c>
      <c r="AA734" s="33">
        <f t="shared" ref="AA734" si="1692">+AA733+W734</f>
        <v>874716</v>
      </c>
      <c r="AB734" s="33"/>
      <c r="AC734" s="46">
        <f t="shared" ref="AC734" si="1693">+AA734/H734</f>
        <v>1.225669205316939E-2</v>
      </c>
      <c r="AD734" s="33"/>
      <c r="AE734" s="33">
        <f t="shared" ref="AE734" si="1694">+AA734/BW734</f>
        <v>1206.5048275862068</v>
      </c>
      <c r="AF734" s="50"/>
      <c r="AG734" s="33"/>
      <c r="AH734" s="33"/>
      <c r="AI734" s="213"/>
      <c r="AJ734" s="50"/>
      <c r="AL734" s="23">
        <f t="shared" ref="AL734" si="1695">+AP734-AP733</f>
        <v>210903</v>
      </c>
      <c r="AM734" s="24"/>
      <c r="AN734" s="24"/>
      <c r="AO734" s="24">
        <v>178263</v>
      </c>
      <c r="AP734" s="24">
        <v>56282006</v>
      </c>
      <c r="AQ734" s="24">
        <v>20336656</v>
      </c>
      <c r="AR734" s="461">
        <f t="shared" ref="AR734" si="1696">+AL734/AP733</f>
        <v>3.7613492283181944E-3</v>
      </c>
      <c r="AS734" s="25"/>
      <c r="AT734" s="25"/>
      <c r="AU734" s="24"/>
      <c r="AV734" s="298">
        <f t="shared" ref="AV734" si="1697">+AP734/H734</f>
        <v>0.78863450042828975</v>
      </c>
      <c r="AW734" s="298"/>
      <c r="AX734" s="24">
        <f t="shared" ref="AX734" si="1698">+AP734/BW734</f>
        <v>77630.353103448273</v>
      </c>
      <c r="AY734" s="308"/>
      <c r="BA734" s="65">
        <f t="shared" ref="BA734" si="1699">+BC734-BC733</f>
        <v>2389969</v>
      </c>
      <c r="BB734" s="66"/>
      <c r="BC734" s="66">
        <v>966776624</v>
      </c>
      <c r="BD734" s="66"/>
      <c r="BE734" s="66">
        <f t="shared" ref="BE734" si="1700">+D734</f>
        <v>19474</v>
      </c>
      <c r="BF734" s="66"/>
      <c r="BG734" s="144">
        <f t="shared" ref="BG734" si="1701">+BE734/BA734</f>
        <v>8.1482228430577973E-3</v>
      </c>
      <c r="BH734" s="66"/>
      <c r="BI734" s="170"/>
      <c r="BJ734" s="66"/>
      <c r="BK734" s="66"/>
      <c r="BL734" s="66"/>
      <c r="BM734" s="144"/>
      <c r="BN734" s="65">
        <f t="shared" ref="BN734" si="1702">+BC734/BW734</f>
        <v>1333484.9986206896</v>
      </c>
      <c r="BO734" s="66"/>
      <c r="BP734" s="66">
        <f t="shared" ref="BP734" si="1703">+BP733+BE734</f>
        <v>70459423</v>
      </c>
      <c r="BQ734" s="66"/>
      <c r="BR734" s="435">
        <f t="shared" ref="BR734" si="1704">+BP734/BC734</f>
        <v>7.2880768163877327E-2</v>
      </c>
      <c r="BS734" s="66"/>
      <c r="BT734" s="75"/>
      <c r="BU734" s="170"/>
      <c r="BV734" s="1"/>
      <c r="BW734" s="61">
        <f t="shared" si="1544"/>
        <v>725</v>
      </c>
      <c r="BZ734" s="1"/>
      <c r="CA734" s="61"/>
    </row>
    <row r="735" spans="2:79" x14ac:dyDescent="0.3">
      <c r="B735" s="158">
        <f t="shared" si="1063"/>
        <v>44635</v>
      </c>
      <c r="C735" s="61"/>
      <c r="D735" s="17">
        <v>25359</v>
      </c>
      <c r="E735" s="16"/>
      <c r="F735" s="16"/>
      <c r="G735" s="16"/>
      <c r="H735" s="16">
        <f t="shared" ref="H735" si="1705">+H734+D735</f>
        <v>71391760</v>
      </c>
      <c r="I735" s="16"/>
      <c r="J735" s="436">
        <f t="shared" ref="J735" si="1706">+D735/H734</f>
        <v>3.5533527885201887E-4</v>
      </c>
      <c r="K735" s="16"/>
      <c r="L735" s="16"/>
      <c r="M735" s="16"/>
      <c r="N735" s="16">
        <f t="shared" ref="N735" si="1707">SUM(D729:D735)</f>
        <v>178729</v>
      </c>
      <c r="O735" s="16">
        <f t="shared" ref="O735" si="1708">+H735/BW735</f>
        <v>98335.757575757569</v>
      </c>
      <c r="P735" s="41"/>
      <c r="Q735" s="17">
        <f t="shared" ref="Q735" si="1709">SUM(D729:D735)</f>
        <v>178729</v>
      </c>
      <c r="R735" s="16"/>
      <c r="S735" s="60">
        <f t="shared" ref="S735" si="1710">+(Q735-Q728)/Q728</f>
        <v>-0.19486726700212176</v>
      </c>
      <c r="T735" s="16"/>
      <c r="U735" s="41"/>
      <c r="V735" s="10">
        <f t="shared" si="558"/>
        <v>627</v>
      </c>
      <c r="W735" s="34">
        <v>901</v>
      </c>
      <c r="X735" s="33">
        <v>4256</v>
      </c>
      <c r="Y735" s="33"/>
      <c r="Z735" s="33">
        <f t="shared" ref="Z735" si="1711">SUM(W730:W735)</f>
        <v>4156</v>
      </c>
      <c r="AA735" s="33">
        <f t="shared" ref="AA735" si="1712">+AA734+W735</f>
        <v>875617</v>
      </c>
      <c r="AB735" s="33"/>
      <c r="AC735" s="46">
        <f t="shared" ref="AC735" si="1713">+AA735/H735</f>
        <v>1.2264958869202832E-2</v>
      </c>
      <c r="AD735" s="33"/>
      <c r="AE735" s="33">
        <f t="shared" ref="AE735" si="1714">+AA735/BW735</f>
        <v>1206.0840220385676</v>
      </c>
      <c r="AF735" s="50"/>
      <c r="AG735" s="33"/>
      <c r="AH735" s="33"/>
      <c r="AI735" s="213"/>
      <c r="AJ735" s="50"/>
      <c r="AL735" s="23">
        <f t="shared" ref="AL735" si="1715">+AP735-AP734</f>
        <v>174444</v>
      </c>
      <c r="AM735" s="24"/>
      <c r="AN735" s="24"/>
      <c r="AO735" s="24">
        <v>178263</v>
      </c>
      <c r="AP735" s="24">
        <v>56456450</v>
      </c>
      <c r="AQ735" s="24">
        <v>20336656</v>
      </c>
      <c r="AR735" s="461">
        <f t="shared" ref="AR735" si="1716">+AL735/AP734</f>
        <v>3.0994630859461549E-3</v>
      </c>
      <c r="AS735" s="25"/>
      <c r="AT735" s="25"/>
      <c r="AU735" s="24"/>
      <c r="AV735" s="298">
        <f t="shared" ref="AV735" si="1717">+AP735/H735</f>
        <v>0.79079784557769695</v>
      </c>
      <c r="AW735" s="298"/>
      <c r="AX735" s="24">
        <f t="shared" ref="AX735" si="1718">+AP735/BW735</f>
        <v>77763.705234159774</v>
      </c>
      <c r="AY735" s="308"/>
      <c r="BA735" s="65">
        <f t="shared" ref="BA735" si="1719">+BC735-BC734</f>
        <v>630014</v>
      </c>
      <c r="BB735" s="66"/>
      <c r="BC735" s="66">
        <v>967406638</v>
      </c>
      <c r="BD735" s="66"/>
      <c r="BE735" s="66">
        <f t="shared" ref="BE735" si="1720">+D735</f>
        <v>25359</v>
      </c>
      <c r="BF735" s="66"/>
      <c r="BG735" s="144">
        <f t="shared" ref="BG735" si="1721">+BE735/BA735</f>
        <v>4.025148647490373E-2</v>
      </c>
      <c r="BH735" s="66"/>
      <c r="BI735" s="170"/>
      <c r="BJ735" s="66"/>
      <c r="BK735" s="66"/>
      <c r="BL735" s="66"/>
      <c r="BM735" s="144"/>
      <c r="BN735" s="65">
        <f t="shared" ref="BN735" si="1722">+BC735/BW735</f>
        <v>1332516.0303030303</v>
      </c>
      <c r="BO735" s="66"/>
      <c r="BP735" s="66">
        <f t="shared" ref="BP735" si="1723">+BP734+BE735</f>
        <v>70484782</v>
      </c>
      <c r="BQ735" s="66"/>
      <c r="BR735" s="435">
        <f t="shared" ref="BR735" si="1724">+BP735/BC735</f>
        <v>7.2859518667061279E-2</v>
      </c>
      <c r="BS735" s="66"/>
      <c r="BT735" s="75"/>
      <c r="BU735" s="170"/>
      <c r="BV735" s="1"/>
      <c r="BW735" s="61">
        <f t="shared" si="1544"/>
        <v>726</v>
      </c>
      <c r="BZ735" s="1"/>
      <c r="CA735" s="61"/>
    </row>
    <row r="736" spans="2:79" x14ac:dyDescent="0.3">
      <c r="B736" s="158">
        <f t="shared" si="1063"/>
        <v>44636</v>
      </c>
      <c r="C736" s="61"/>
      <c r="D736" s="17">
        <v>30508</v>
      </c>
      <c r="E736" s="16"/>
      <c r="F736" s="16"/>
      <c r="G736" s="16"/>
      <c r="H736" s="16">
        <f t="shared" ref="H736" si="1725">+H735+D736</f>
        <v>71422268</v>
      </c>
      <c r="I736" s="16"/>
      <c r="J736" s="436">
        <f t="shared" ref="J736" si="1726">+D736/H735</f>
        <v>4.2733222993802087E-4</v>
      </c>
      <c r="K736" s="16"/>
      <c r="L736" s="16"/>
      <c r="M736" s="16"/>
      <c r="N736" s="16">
        <f t="shared" ref="N736" si="1727">SUM(D730:D736)</f>
        <v>170037</v>
      </c>
      <c r="O736" s="16">
        <f t="shared" ref="O736" si="1728">+H736/BW736</f>
        <v>98242.459422283355</v>
      </c>
      <c r="P736" s="41"/>
      <c r="Q736" s="17">
        <f t="shared" ref="Q736" si="1729">SUM(D730:D736)</f>
        <v>170037</v>
      </c>
      <c r="R736" s="16"/>
      <c r="S736" s="60">
        <f t="shared" ref="S736" si="1730">+(Q736-Q729)/Q729</f>
        <v>-0.19217722625517844</v>
      </c>
      <c r="T736" s="16"/>
      <c r="U736" s="41"/>
      <c r="V736" s="10">
        <f t="shared" si="558"/>
        <v>628</v>
      </c>
      <c r="W736" s="34">
        <v>982</v>
      </c>
      <c r="X736" s="33">
        <v>4256</v>
      </c>
      <c r="Y736" s="33"/>
      <c r="Z736" s="33">
        <f t="shared" ref="Z736" si="1731">SUM(W731:W736)</f>
        <v>3891</v>
      </c>
      <c r="AA736" s="33">
        <f t="shared" ref="AA736" si="1732">+AA735+W736</f>
        <v>876599</v>
      </c>
      <c r="AB736" s="33"/>
      <c r="AC736" s="46">
        <f t="shared" ref="AC736" si="1733">+AA736/H736</f>
        <v>1.227346910910194E-2</v>
      </c>
      <c r="AD736" s="33"/>
      <c r="AE736" s="33">
        <f t="shared" ref="AE736" si="1734">+AA736/BW736</f>
        <v>1205.7757909215957</v>
      </c>
      <c r="AF736" s="50"/>
      <c r="AG736" s="33"/>
      <c r="AH736" s="33"/>
      <c r="AI736" s="213"/>
      <c r="AJ736" s="50"/>
      <c r="AL736" s="23">
        <f t="shared" ref="AL736" si="1735">+AP736-AP735</f>
        <v>174667</v>
      </c>
      <c r="AM736" s="24"/>
      <c r="AN736" s="24"/>
      <c r="AO736" s="24">
        <v>178263</v>
      </c>
      <c r="AP736" s="24">
        <v>56631117</v>
      </c>
      <c r="AQ736" s="24">
        <v>20336656</v>
      </c>
      <c r="AR736" s="461">
        <f t="shared" ref="AR736" si="1736">+AL736/AP735</f>
        <v>3.0938360453057179E-3</v>
      </c>
      <c r="AS736" s="25"/>
      <c r="AT736" s="25"/>
      <c r="AU736" s="24"/>
      <c r="AV736" s="298">
        <f t="shared" ref="AV736" si="1737">+AP736/H736</f>
        <v>0.79290561033430074</v>
      </c>
      <c r="AW736" s="298"/>
      <c r="AX736" s="24">
        <f t="shared" ref="AX736" si="1738">+AP736/BW736</f>
        <v>77896.997248968357</v>
      </c>
      <c r="AY736" s="308"/>
      <c r="BA736" s="65">
        <f t="shared" ref="BA736" si="1739">+BC736-BC735</f>
        <v>1301559</v>
      </c>
      <c r="BB736" s="66"/>
      <c r="BC736" s="66">
        <v>968708197</v>
      </c>
      <c r="BD736" s="66"/>
      <c r="BE736" s="66">
        <f t="shared" ref="BE736" si="1740">+D736</f>
        <v>30508</v>
      </c>
      <c r="BF736" s="66"/>
      <c r="BG736" s="144">
        <f t="shared" ref="BG736" si="1741">+BE736/BA736</f>
        <v>2.3439582838734162E-2</v>
      </c>
      <c r="BH736" s="66"/>
      <c r="BI736" s="170"/>
      <c r="BJ736" s="66"/>
      <c r="BK736" s="66"/>
      <c r="BL736" s="66"/>
      <c r="BM736" s="144"/>
      <c r="BN736" s="65">
        <f t="shared" ref="BN736" si="1742">+BC736/BW736</f>
        <v>1332473.4484181567</v>
      </c>
      <c r="BO736" s="66"/>
      <c r="BP736" s="66">
        <f t="shared" ref="BP736" si="1743">+BP735+BE736</f>
        <v>70515290</v>
      </c>
      <c r="BQ736" s="66"/>
      <c r="BR736" s="435">
        <f t="shared" ref="BR736" si="1744">+BP736/BC736</f>
        <v>7.2793117905246757E-2</v>
      </c>
      <c r="BS736" s="66"/>
      <c r="BT736" s="75"/>
      <c r="BU736" s="170"/>
      <c r="BV736" s="1"/>
      <c r="BW736" s="61">
        <f t="shared" si="1544"/>
        <v>727</v>
      </c>
      <c r="BZ736" s="1"/>
      <c r="CA736" s="61"/>
    </row>
    <row r="737" spans="2:85" x14ac:dyDescent="0.3">
      <c r="B737" s="158">
        <f t="shared" si="1063"/>
        <v>44637</v>
      </c>
      <c r="C737" s="61"/>
      <c r="D737" s="17">
        <v>35474</v>
      </c>
      <c r="E737" s="16"/>
      <c r="F737" s="16"/>
      <c r="G737" s="16"/>
      <c r="H737" s="16">
        <f t="shared" ref="H737" si="1745">+H736+D737</f>
        <v>71457742</v>
      </c>
      <c r="I737" s="16"/>
      <c r="J737" s="436">
        <f t="shared" ref="J737" si="1746">+D737/H736</f>
        <v>4.9667983100172629E-4</v>
      </c>
      <c r="K737" s="16"/>
      <c r="L737" s="16"/>
      <c r="M737" s="16"/>
      <c r="N737" s="16">
        <f t="shared" ref="N737" si="1747">SUM(D731:D737)</f>
        <v>167473</v>
      </c>
      <c r="O737" s="16">
        <f t="shared" ref="O737" si="1748">+H737/BW737</f>
        <v>98156.239010989011</v>
      </c>
      <c r="P737" s="41"/>
      <c r="Q737" s="17">
        <f t="shared" ref="Q737" si="1749">SUM(D731:D737)</f>
        <v>167473</v>
      </c>
      <c r="R737" s="16"/>
      <c r="S737" s="60">
        <f t="shared" ref="S737" si="1750">+(Q737-Q730)/Q730</f>
        <v>-0.16026274224684733</v>
      </c>
      <c r="T737" s="16"/>
      <c r="U737" s="41"/>
      <c r="V737" s="10">
        <f t="shared" si="558"/>
        <v>629</v>
      </c>
      <c r="W737" s="34">
        <v>931</v>
      </c>
      <c r="X737" s="33">
        <v>4256</v>
      </c>
      <c r="Y737" s="33"/>
      <c r="Z737" s="33">
        <f t="shared" ref="Z737" si="1751">SUM(W732:W737)</f>
        <v>3800</v>
      </c>
      <c r="AA737" s="33">
        <f t="shared" ref="AA737" si="1752">+AA736+W737</f>
        <v>877530</v>
      </c>
      <c r="AB737" s="33"/>
      <c r="AC737" s="46">
        <f t="shared" ref="AC737" si="1753">+AA737/H737</f>
        <v>1.2280404830032272E-2</v>
      </c>
      <c r="AD737" s="33"/>
      <c r="AE737" s="33">
        <f t="shared" ref="AE737" si="1754">+AA737/BW737</f>
        <v>1205.3983516483515</v>
      </c>
      <c r="AF737" s="50"/>
      <c r="AG737" s="33"/>
      <c r="AH737" s="33"/>
      <c r="AI737" s="213"/>
      <c r="AJ737" s="50"/>
      <c r="AL737" s="23">
        <f t="shared" ref="AL737" si="1755">+AP737-AP736</f>
        <v>191463</v>
      </c>
      <c r="AM737" s="24"/>
      <c r="AN737" s="24"/>
      <c r="AO737" s="24">
        <v>178263</v>
      </c>
      <c r="AP737" s="24">
        <v>56822580</v>
      </c>
      <c r="AQ737" s="24">
        <v>20336656</v>
      </c>
      <c r="AR737" s="461">
        <f t="shared" ref="AR737" si="1756">+AL737/AP736</f>
        <v>3.3808798085335312E-3</v>
      </c>
      <c r="AS737" s="25"/>
      <c r="AT737" s="25"/>
      <c r="AU737" s="24"/>
      <c r="AV737" s="298">
        <f t="shared" ref="AV737" si="1757">+AP737/H737</f>
        <v>0.79519137338540591</v>
      </c>
      <c r="AW737" s="298"/>
      <c r="AX737" s="24">
        <f t="shared" ref="AX737" si="1758">+AP737/BW737</f>
        <v>78052.994505494498</v>
      </c>
      <c r="AY737" s="308"/>
      <c r="BA737" s="65">
        <f t="shared" ref="BA737" si="1759">+BC737-BC736</f>
        <v>992876</v>
      </c>
      <c r="BB737" s="66"/>
      <c r="BC737" s="66">
        <v>969701073</v>
      </c>
      <c r="BD737" s="66"/>
      <c r="BE737" s="66">
        <f t="shared" ref="BE737" si="1760">+D737</f>
        <v>35474</v>
      </c>
      <c r="BF737" s="66"/>
      <c r="BG737" s="144">
        <f t="shared" ref="BG737" si="1761">+BE737/BA737</f>
        <v>3.5728530048062396E-2</v>
      </c>
      <c r="BH737" s="66"/>
      <c r="BI737" s="170"/>
      <c r="BJ737" s="66"/>
      <c r="BK737" s="66"/>
      <c r="BL737" s="66"/>
      <c r="BM737" s="144"/>
      <c r="BN737" s="65">
        <f t="shared" ref="BN737" si="1762">+BC737/BW737</f>
        <v>1332006.9684065934</v>
      </c>
      <c r="BO737" s="66"/>
      <c r="BP737" s="66">
        <f t="shared" ref="BP737" si="1763">+BP736+BE737</f>
        <v>70550764</v>
      </c>
      <c r="BQ737" s="66"/>
      <c r="BR737" s="435">
        <f t="shared" ref="BR737" si="1764">+BP737/BC737</f>
        <v>7.275516750923508E-2</v>
      </c>
      <c r="BS737" s="66"/>
      <c r="BT737" s="75"/>
      <c r="BU737" s="170"/>
      <c r="BV737" s="1"/>
      <c r="BW737" s="61">
        <f t="shared" si="1544"/>
        <v>728</v>
      </c>
      <c r="BZ737" s="1"/>
      <c r="CA737" s="61"/>
    </row>
    <row r="738" spans="2:85" x14ac:dyDescent="0.3">
      <c r="B738" s="158">
        <f t="shared" si="1063"/>
        <v>44638</v>
      </c>
      <c r="C738" s="61"/>
      <c r="D738" s="17">
        <v>32236</v>
      </c>
      <c r="E738" s="16"/>
      <c r="F738" s="16"/>
      <c r="G738" s="16"/>
      <c r="H738" s="16">
        <f t="shared" ref="H738" si="1765">+H737+D738</f>
        <v>71489978</v>
      </c>
      <c r="I738" s="16"/>
      <c r="J738" s="436">
        <f t="shared" ref="J738" si="1766">+D738/H737</f>
        <v>4.5111976810014511E-4</v>
      </c>
      <c r="K738" s="16"/>
      <c r="L738" s="16"/>
      <c r="M738" s="16"/>
      <c r="N738" s="16">
        <f t="shared" ref="N738" si="1767">SUM(D732:D738)</f>
        <v>160455</v>
      </c>
      <c r="O738" s="16">
        <f t="shared" ref="O738" si="1768">+H738/BW738</f>
        <v>98065.813443072708</v>
      </c>
      <c r="P738" s="41"/>
      <c r="Q738" s="17">
        <f t="shared" ref="Q738" si="1769">SUM(D732:D738)</f>
        <v>160455</v>
      </c>
      <c r="R738" s="16"/>
      <c r="S738" s="60">
        <f t="shared" ref="S738" si="1770">+(Q738-Q731)/Q731</f>
        <v>-0.16858817250545363</v>
      </c>
      <c r="T738" s="16"/>
      <c r="U738" s="41"/>
      <c r="V738" s="10">
        <f t="shared" si="558"/>
        <v>630</v>
      </c>
      <c r="W738" s="34">
        <v>721</v>
      </c>
      <c r="X738" s="33">
        <v>4256</v>
      </c>
      <c r="Y738" s="33"/>
      <c r="Z738" s="33">
        <f t="shared" ref="Z738" si="1771">SUM(W733:W738)</f>
        <v>4061</v>
      </c>
      <c r="AA738" s="33">
        <f t="shared" ref="AA738" si="1772">+AA737+W738</f>
        <v>878251</v>
      </c>
      <c r="AB738" s="33"/>
      <c r="AC738" s="46">
        <f t="shared" ref="AC738" si="1773">+AA738/H738</f>
        <v>1.2284952724422435E-2</v>
      </c>
      <c r="AD738" s="33"/>
      <c r="AE738" s="33">
        <f t="shared" ref="AE738" si="1774">+AA738/BW738</f>
        <v>1204.7338820301784</v>
      </c>
      <c r="AF738" s="50"/>
      <c r="AG738" s="33"/>
      <c r="AH738" s="33"/>
      <c r="AI738" s="213"/>
      <c r="AJ738" s="50"/>
      <c r="AL738" s="23">
        <f t="shared" ref="AL738" si="1775">+AP738-AP737</f>
        <v>152897</v>
      </c>
      <c r="AM738" s="24"/>
      <c r="AN738" s="24"/>
      <c r="AO738" s="24">
        <v>178263</v>
      </c>
      <c r="AP738" s="24">
        <v>56975477</v>
      </c>
      <c r="AQ738" s="24">
        <v>20336656</v>
      </c>
      <c r="AR738" s="461">
        <f t="shared" ref="AR738" si="1776">+AL738/AP737</f>
        <v>2.6907789121859657E-3</v>
      </c>
      <c r="AS738" s="25"/>
      <c r="AT738" s="25"/>
      <c r="AU738" s="24"/>
      <c r="AV738" s="298">
        <f t="shared" ref="AV738" si="1777">+AP738/H738</f>
        <v>0.79697152795319082</v>
      </c>
      <c r="AW738" s="298"/>
      <c r="AX738" s="24">
        <f t="shared" ref="AX738" si="1778">+AP738/BW738</f>
        <v>78155.661179698218</v>
      </c>
      <c r="AY738" s="308"/>
      <c r="BA738" s="65">
        <f t="shared" ref="BA738" si="1779">+BC738-BC737</f>
        <v>1217534</v>
      </c>
      <c r="BB738" s="66"/>
      <c r="BC738" s="66">
        <v>970918607</v>
      </c>
      <c r="BD738" s="66"/>
      <c r="BE738" s="66">
        <f t="shared" ref="BE738" si="1780">+D738</f>
        <v>32236</v>
      </c>
      <c r="BF738" s="66"/>
      <c r="BG738" s="144">
        <f t="shared" ref="BG738" si="1781">+BE738/BA738</f>
        <v>2.6476468008285601E-2</v>
      </c>
      <c r="BH738" s="66"/>
      <c r="BI738" s="170"/>
      <c r="BJ738" s="66"/>
      <c r="BK738" s="66"/>
      <c r="BL738" s="66"/>
      <c r="BM738" s="144"/>
      <c r="BN738" s="65">
        <f t="shared" ref="BN738" si="1782">+BC738/BW738</f>
        <v>1331849.9410150892</v>
      </c>
      <c r="BO738" s="66"/>
      <c r="BP738" s="66">
        <f t="shared" ref="BP738" si="1783">+BP737+BE738</f>
        <v>70583000</v>
      </c>
      <c r="BQ738" s="66"/>
      <c r="BR738" s="435">
        <f t="shared" ref="BR738" si="1784">+BP738/BC738</f>
        <v>7.2697133921546114E-2</v>
      </c>
      <c r="BS738" s="66"/>
      <c r="BT738" s="75"/>
      <c r="BU738" s="170"/>
      <c r="BV738" s="1"/>
      <c r="BW738" s="61">
        <f t="shared" si="1544"/>
        <v>729</v>
      </c>
      <c r="BZ738" s="1"/>
      <c r="CA738" s="61"/>
    </row>
    <row r="739" spans="2:85" x14ac:dyDescent="0.3">
      <c r="B739" s="158">
        <f t="shared" si="1063"/>
        <v>44639</v>
      </c>
      <c r="C739" s="61"/>
      <c r="D739" s="17">
        <v>12362</v>
      </c>
      <c r="E739" s="16"/>
      <c r="F739" s="16"/>
      <c r="G739" s="16"/>
      <c r="H739" s="16">
        <f t="shared" ref="H739" si="1785">+H738+D739</f>
        <v>71502340</v>
      </c>
      <c r="I739" s="16"/>
      <c r="J739" s="436">
        <f t="shared" ref="J739" si="1786">+D739/H738</f>
        <v>1.7291934262450047E-4</v>
      </c>
      <c r="K739" s="16"/>
      <c r="L739" s="16"/>
      <c r="M739" s="16"/>
      <c r="N739" s="16">
        <f t="shared" ref="N739" si="1787">SUM(D733:D739)</f>
        <v>160556</v>
      </c>
      <c r="O739" s="16">
        <f t="shared" ref="O739" si="1788">+H739/BW739</f>
        <v>97948.410958904104</v>
      </c>
      <c r="P739" s="41"/>
      <c r="Q739" s="17">
        <f t="shared" ref="Q739" si="1789">SUM(D733:D739)</f>
        <v>160556</v>
      </c>
      <c r="R739" s="16"/>
      <c r="S739" s="60">
        <f t="shared" ref="S739" si="1790">+(Q739-Q732)/Q732</f>
        <v>-0.15067261252968964</v>
      </c>
      <c r="T739" s="16"/>
      <c r="U739" s="41"/>
      <c r="V739" s="10">
        <f t="shared" si="558"/>
        <v>631</v>
      </c>
      <c r="W739" s="34">
        <v>327</v>
      </c>
      <c r="X739" s="33">
        <v>4256</v>
      </c>
      <c r="Y739" s="33"/>
      <c r="Z739" s="33">
        <f t="shared" ref="Z739" si="1791">SUM(W734:W739)</f>
        <v>4270</v>
      </c>
      <c r="AA739" s="33">
        <f t="shared" ref="AA739" si="1792">+AA738+W739</f>
        <v>878578</v>
      </c>
      <c r="AB739" s="33"/>
      <c r="AC739" s="46">
        <f t="shared" ref="AC739" si="1793">+AA739/H739</f>
        <v>1.2287402062645782E-2</v>
      </c>
      <c r="AD739" s="33"/>
      <c r="AE739" s="33">
        <f t="shared" ref="AE739" si="1794">+AA739/BW739</f>
        <v>1203.5315068493151</v>
      </c>
      <c r="AF739" s="50"/>
      <c r="AG739" s="33"/>
      <c r="AH739" s="33"/>
      <c r="AI739" s="213"/>
      <c r="AJ739" s="50"/>
      <c r="AL739" s="23">
        <f t="shared" ref="AL739" si="1795">+AP739-AP738</f>
        <v>147586</v>
      </c>
      <c r="AM739" s="24"/>
      <c r="AN739" s="24"/>
      <c r="AO739" s="24">
        <v>178263</v>
      </c>
      <c r="AP739" s="24">
        <v>57123063</v>
      </c>
      <c r="AQ739" s="24">
        <v>20336656</v>
      </c>
      <c r="AR739" s="461">
        <f t="shared" ref="AR739" si="1796">+AL739/AP738</f>
        <v>2.5903425082338494E-3</v>
      </c>
      <c r="AS739" s="25"/>
      <c r="AT739" s="25"/>
      <c r="AU739" s="24"/>
      <c r="AV739" s="298">
        <f t="shared" ref="AV739" si="1797">+AP739/H739</f>
        <v>0.79889781229537382</v>
      </c>
      <c r="AW739" s="298"/>
      <c r="AX739" s="24">
        <f t="shared" ref="AX739" si="1798">+AP739/BW739</f>
        <v>78250.771232876708</v>
      </c>
      <c r="AY739" s="308"/>
      <c r="BA739" s="65">
        <f t="shared" ref="BA739" si="1799">+BC739-BC738</f>
        <v>274904</v>
      </c>
      <c r="BB739" s="66"/>
      <c r="BC739" s="66">
        <v>971193511</v>
      </c>
      <c r="BD739" s="66"/>
      <c r="BE739" s="66">
        <f t="shared" ref="BE739" si="1800">+D739</f>
        <v>12362</v>
      </c>
      <c r="BF739" s="66"/>
      <c r="BG739" s="144">
        <f t="shared" ref="BG739" si="1801">+BE739/BA739</f>
        <v>4.4968425341210025E-2</v>
      </c>
      <c r="BH739" s="66"/>
      <c r="BI739" s="170"/>
      <c r="BJ739" s="66"/>
      <c r="BK739" s="66"/>
      <c r="BL739" s="66"/>
      <c r="BM739" s="144"/>
      <c r="BN739" s="65">
        <f t="shared" ref="BN739" si="1802">+BC739/BW739</f>
        <v>1330402.0698630137</v>
      </c>
      <c r="BO739" s="66"/>
      <c r="BP739" s="66">
        <f t="shared" ref="BP739" si="1803">+BP738+BE739</f>
        <v>70595362</v>
      </c>
      <c r="BQ739" s="66"/>
      <c r="BR739" s="435">
        <f t="shared" ref="BR739" si="1804">+BP739/BC739</f>
        <v>7.2689285091403377E-2</v>
      </c>
      <c r="BS739" s="66"/>
      <c r="BT739" s="75"/>
      <c r="BU739" s="170"/>
      <c r="BV739" s="1"/>
      <c r="BW739" s="61">
        <f t="shared" si="1544"/>
        <v>730</v>
      </c>
      <c r="BZ739" s="1"/>
      <c r="CA739" s="61"/>
    </row>
    <row r="740" spans="2:85" x14ac:dyDescent="0.3">
      <c r="B740" s="347">
        <f t="shared" si="1063"/>
        <v>44640</v>
      </c>
      <c r="C740" s="61"/>
      <c r="D740" s="17">
        <v>5966</v>
      </c>
      <c r="E740" s="16"/>
      <c r="F740" s="16"/>
      <c r="G740" s="16"/>
      <c r="H740" s="16">
        <f t="shared" ref="H740" si="1805">+H739+D740</f>
        <v>71508306</v>
      </c>
      <c r="I740" s="16"/>
      <c r="J740" s="436">
        <f t="shared" ref="J740" si="1806">+D740/H739</f>
        <v>8.3437828747982235E-5</v>
      </c>
      <c r="K740" s="16"/>
      <c r="L740" s="16"/>
      <c r="M740" s="16"/>
      <c r="N740" s="16">
        <f t="shared" ref="N740" si="1807">SUM(D734:D740)</f>
        <v>161379</v>
      </c>
      <c r="O740" s="16">
        <f t="shared" ref="O740" si="1808">+H740/BW740</f>
        <v>97822.580027359785</v>
      </c>
      <c r="P740" s="41"/>
      <c r="Q740" s="17">
        <f t="shared" ref="Q740" si="1809">SUM(D734:D740)</f>
        <v>161379</v>
      </c>
      <c r="R740" s="16"/>
      <c r="S740" s="60">
        <f t="shared" ref="S740" si="1810">+(Q740-Q733)/Q733</f>
        <v>-0.14740145499500737</v>
      </c>
      <c r="T740" s="16"/>
      <c r="U740" s="41"/>
      <c r="V740" s="10">
        <f t="shared" si="558"/>
        <v>632</v>
      </c>
      <c r="W740" s="34">
        <v>88</v>
      </c>
      <c r="X740" s="33">
        <v>4256</v>
      </c>
      <c r="Y740" s="33"/>
      <c r="Z740" s="33">
        <f t="shared" ref="Z740" si="1811">SUM(W735:W740)</f>
        <v>3950</v>
      </c>
      <c r="AA740" s="33">
        <f t="shared" ref="AA740" si="1812">+AA739+W740</f>
        <v>878666</v>
      </c>
      <c r="AB740" s="33"/>
      <c r="AC740" s="46">
        <f t="shared" ref="AC740" si="1813">+AA740/H740</f>
        <v>1.2287607540304479E-2</v>
      </c>
      <c r="AD740" s="33"/>
      <c r="AE740" s="33">
        <f t="shared" ref="AE740" si="1814">+AA740/BW740</f>
        <v>1202.0054719562243</v>
      </c>
      <c r="AF740" s="50"/>
      <c r="AG740" s="33"/>
      <c r="AH740" s="33"/>
      <c r="AI740" s="213"/>
      <c r="AJ740" s="50"/>
      <c r="AL740" s="23">
        <f t="shared" ref="AL740" si="1815">+AP740-AP739</f>
        <v>5883699</v>
      </c>
      <c r="AM740" s="24"/>
      <c r="AN740" s="24"/>
      <c r="AO740" s="24">
        <v>178263</v>
      </c>
      <c r="AP740" s="24">
        <v>63006762</v>
      </c>
      <c r="AQ740" s="24">
        <v>20336656</v>
      </c>
      <c r="AR740" s="461">
        <f t="shared" ref="AR740" si="1816">+AL740/AP739</f>
        <v>0.10300041158507205</v>
      </c>
      <c r="AS740" s="25"/>
      <c r="AT740" s="25"/>
      <c r="AU740" s="24"/>
      <c r="AV740" s="298">
        <f t="shared" ref="AV740" si="1817">+AP740/H740</f>
        <v>0.8811110977793265</v>
      </c>
      <c r="AW740" s="298"/>
      <c r="AX740" s="24">
        <f t="shared" ref="AX740" si="1818">+AP740/BW740</f>
        <v>86192.560875512994</v>
      </c>
      <c r="AY740" s="308"/>
      <c r="BA740" s="65">
        <f t="shared" ref="BA740" si="1819">+BC740-BC739</f>
        <v>412853</v>
      </c>
      <c r="BB740" s="66"/>
      <c r="BC740" s="66">
        <v>971606364</v>
      </c>
      <c r="BD740" s="66"/>
      <c r="BE740" s="66">
        <f t="shared" ref="BE740" si="1820">+D740</f>
        <v>5966</v>
      </c>
      <c r="BF740" s="66"/>
      <c r="BG740" s="144">
        <f t="shared" ref="BG740" si="1821">+BE740/BA740</f>
        <v>1.4450664037805224E-2</v>
      </c>
      <c r="BH740" s="66"/>
      <c r="BI740" s="170"/>
      <c r="BJ740" s="66"/>
      <c r="BK740" s="66"/>
      <c r="BL740" s="66"/>
      <c r="BM740" s="144"/>
      <c r="BN740" s="65">
        <f t="shared" ref="BN740" si="1822">+BC740/BW740</f>
        <v>1329146.8727770178</v>
      </c>
      <c r="BO740" s="66"/>
      <c r="BP740" s="66">
        <f t="shared" ref="BP740" si="1823">+BP739+BE740</f>
        <v>70601328</v>
      </c>
      <c r="BQ740" s="66"/>
      <c r="BR740" s="435">
        <f t="shared" ref="BR740" si="1824">+BP740/BC740</f>
        <v>7.2664538454999247E-2</v>
      </c>
      <c r="BS740" s="66"/>
      <c r="BT740" s="75"/>
      <c r="BU740" s="170"/>
      <c r="BV740" s="1"/>
      <c r="BW740" s="61">
        <f t="shared" si="1544"/>
        <v>731</v>
      </c>
      <c r="BZ740" s="1"/>
      <c r="CA740" s="61"/>
    </row>
    <row r="741" spans="2:85" x14ac:dyDescent="0.3">
      <c r="B741" s="158">
        <f t="shared" si="1063"/>
        <v>44641</v>
      </c>
      <c r="C741" s="61"/>
      <c r="D741" s="17"/>
      <c r="E741" s="16"/>
      <c r="F741" s="16"/>
      <c r="G741" s="16"/>
      <c r="H741" s="16"/>
      <c r="I741" s="16"/>
      <c r="J741" s="436"/>
      <c r="K741" s="16"/>
      <c r="L741" s="16"/>
      <c r="M741" s="16"/>
      <c r="N741" s="16"/>
      <c r="O741" s="16"/>
      <c r="P741" s="41"/>
      <c r="Q741" s="17"/>
      <c r="R741" s="16"/>
      <c r="S741" s="60"/>
      <c r="T741" s="16"/>
      <c r="U741" s="41"/>
      <c r="V741" s="10"/>
      <c r="W741" s="34"/>
      <c r="X741" s="33"/>
      <c r="Y741" s="33"/>
      <c r="Z741" s="33"/>
      <c r="AA741" s="33"/>
      <c r="AB741" s="33"/>
      <c r="AC741" s="46"/>
      <c r="AD741" s="33"/>
      <c r="AE741" s="33"/>
      <c r="AF741" s="50"/>
      <c r="AG741" s="33"/>
      <c r="AH741" s="33"/>
      <c r="AI741" s="213"/>
      <c r="AJ741" s="50"/>
      <c r="AL741" s="23"/>
      <c r="AM741" s="24"/>
      <c r="AN741" s="24"/>
      <c r="AO741" s="24"/>
      <c r="AP741" s="24"/>
      <c r="AQ741" s="24"/>
      <c r="AR741" s="461"/>
      <c r="AS741" s="25"/>
      <c r="AT741" s="25"/>
      <c r="AU741" s="24"/>
      <c r="AV741" s="298"/>
      <c r="AW741" s="298"/>
      <c r="AX741" s="24"/>
      <c r="AY741" s="308"/>
      <c r="BA741" s="65"/>
      <c r="BB741" s="66"/>
      <c r="BC741" s="66"/>
      <c r="BD741" s="66"/>
      <c r="BE741" s="66"/>
      <c r="BF741" s="66"/>
      <c r="BG741" s="144"/>
      <c r="BH741" s="66"/>
      <c r="BI741" s="170"/>
      <c r="BJ741" s="66"/>
      <c r="BK741" s="66"/>
      <c r="BL741" s="66"/>
      <c r="BM741" s="144"/>
      <c r="BN741" s="65"/>
      <c r="BO741" s="66"/>
      <c r="BP741" s="66"/>
      <c r="BQ741" s="66"/>
      <c r="BR741" s="435"/>
      <c r="BS741" s="66"/>
      <c r="BT741" s="75"/>
      <c r="BU741" s="170"/>
      <c r="BV741" s="1"/>
      <c r="BW741" s="61"/>
      <c r="BZ741" s="1"/>
      <c r="CA741" s="61"/>
    </row>
    <row r="742" spans="2:85" x14ac:dyDescent="0.3">
      <c r="B742" s="158">
        <f t="shared" si="1063"/>
        <v>44642</v>
      </c>
      <c r="C742" s="61"/>
      <c r="D742" s="17"/>
      <c r="E742" s="16"/>
      <c r="F742" s="16"/>
      <c r="G742" s="16"/>
      <c r="H742" s="16"/>
      <c r="I742" s="16"/>
      <c r="J742" s="436"/>
      <c r="K742" s="16"/>
      <c r="L742" s="16"/>
      <c r="M742" s="16"/>
      <c r="N742" s="16"/>
      <c r="O742" s="16"/>
      <c r="P742" s="41"/>
      <c r="Q742" s="17"/>
      <c r="R742" s="16"/>
      <c r="S742" s="60"/>
      <c r="T742" s="16"/>
      <c r="U742" s="41"/>
      <c r="V742" s="10"/>
      <c r="W742" s="34"/>
      <c r="X742" s="33"/>
      <c r="Y742" s="33"/>
      <c r="Z742" s="33"/>
      <c r="AA742" s="33"/>
      <c r="AB742" s="33"/>
      <c r="AC742" s="46"/>
      <c r="AD742" s="33"/>
      <c r="AE742" s="33"/>
      <c r="AF742" s="50"/>
      <c r="AG742" s="33"/>
      <c r="AH742" s="33"/>
      <c r="AI742" s="213"/>
      <c r="AJ742" s="50"/>
      <c r="AL742" s="23"/>
      <c r="AM742" s="24"/>
      <c r="AN742" s="24"/>
      <c r="AO742" s="24"/>
      <c r="AP742" s="24"/>
      <c r="AQ742" s="24"/>
      <c r="AR742" s="461"/>
      <c r="AS742" s="25"/>
      <c r="AT742" s="25"/>
      <c r="AU742" s="24"/>
      <c r="AV742" s="298"/>
      <c r="AW742" s="298"/>
      <c r="AX742" s="24"/>
      <c r="AY742" s="308"/>
      <c r="BA742" s="65"/>
      <c r="BB742" s="66"/>
      <c r="BC742" s="66"/>
      <c r="BD742" s="66"/>
      <c r="BE742" s="66"/>
      <c r="BF742" s="66"/>
      <c r="BG742" s="144"/>
      <c r="BH742" s="66"/>
      <c r="BI742" s="170"/>
      <c r="BJ742" s="66"/>
      <c r="BK742" s="66"/>
      <c r="BL742" s="66"/>
      <c r="BM742" s="144"/>
      <c r="BN742" s="65"/>
      <c r="BO742" s="66"/>
      <c r="BP742" s="66"/>
      <c r="BQ742" s="66"/>
      <c r="BR742" s="435"/>
      <c r="BS742" s="66"/>
      <c r="BT742" s="75"/>
      <c r="BU742" s="170"/>
      <c r="BV742" s="1"/>
      <c r="BW742" s="61"/>
      <c r="BZ742" s="1"/>
      <c r="CA742" s="61"/>
    </row>
    <row r="743" spans="2:85" x14ac:dyDescent="0.3">
      <c r="B743" s="158">
        <f t="shared" si="1063"/>
        <v>44643</v>
      </c>
      <c r="C743" s="61"/>
      <c r="D743" s="17"/>
      <c r="E743" s="16"/>
      <c r="F743" s="16"/>
      <c r="G743" s="16"/>
      <c r="H743" s="16"/>
      <c r="I743" s="16"/>
      <c r="J743" s="436"/>
      <c r="K743" s="16"/>
      <c r="L743" s="16"/>
      <c r="M743" s="16"/>
      <c r="N743" s="16"/>
      <c r="O743" s="16"/>
      <c r="P743" s="41"/>
      <c r="Q743" s="410"/>
      <c r="R743" s="16"/>
      <c r="S743" s="60"/>
      <c r="T743" s="16"/>
      <c r="U743" s="41"/>
      <c r="V743" s="10"/>
      <c r="W743" s="34"/>
      <c r="X743" s="33"/>
      <c r="Y743" s="33"/>
      <c r="Z743" s="33"/>
      <c r="AA743" s="33"/>
      <c r="AB743" s="33"/>
      <c r="AC743" s="46"/>
      <c r="AD743" s="33"/>
      <c r="AE743" s="33"/>
      <c r="AF743" s="50"/>
      <c r="AG743" s="33"/>
      <c r="AH743" s="33"/>
      <c r="AI743" s="213"/>
      <c r="AJ743" s="50"/>
      <c r="AK743" s="10"/>
      <c r="AL743" s="23"/>
      <c r="AM743" s="24"/>
      <c r="AN743" s="24"/>
      <c r="AO743" s="24"/>
      <c r="AP743" s="24"/>
      <c r="AQ743" s="24"/>
      <c r="AR743" s="461"/>
      <c r="AS743" s="25"/>
      <c r="AT743" s="25"/>
      <c r="AU743" s="24"/>
      <c r="AV743" s="298"/>
      <c r="AW743" s="298"/>
      <c r="AX743" s="24"/>
      <c r="AY743" s="308"/>
      <c r="AZ743" s="10"/>
      <c r="BA743" s="65"/>
      <c r="BB743" s="66"/>
      <c r="BC743" s="66"/>
      <c r="BD743" s="66"/>
      <c r="BE743" s="66"/>
      <c r="BF743" s="66"/>
      <c r="BG743" s="144"/>
      <c r="BH743" s="66"/>
      <c r="BI743" s="170"/>
      <c r="BJ743" s="66"/>
      <c r="BK743" s="66"/>
      <c r="BL743" s="66"/>
      <c r="BM743" s="144"/>
      <c r="BN743" s="65"/>
      <c r="BO743" s="66"/>
      <c r="BP743" s="66"/>
      <c r="BQ743" s="66"/>
      <c r="BR743" s="435"/>
      <c r="BS743" s="66"/>
      <c r="BT743" s="75"/>
      <c r="BU743" s="170"/>
      <c r="BV743" s="1"/>
      <c r="BW743" s="61">
        <f>+BW586+1</f>
        <v>578</v>
      </c>
    </row>
    <row r="744" spans="2:85" x14ac:dyDescent="0.3">
      <c r="B744" s="158">
        <f t="shared" si="448"/>
        <v>44644</v>
      </c>
      <c r="D744" s="559"/>
      <c r="E744" s="19"/>
      <c r="F744" s="19"/>
      <c r="G744" s="19"/>
      <c r="H744" s="19"/>
      <c r="I744" s="19"/>
      <c r="J744" s="39"/>
      <c r="K744" s="19"/>
      <c r="L744" s="19"/>
      <c r="M744" s="19"/>
      <c r="N744" s="19"/>
      <c r="O744" s="19"/>
      <c r="P744" s="43"/>
      <c r="Q744" s="18"/>
      <c r="R744" s="19"/>
      <c r="S744" s="19"/>
      <c r="T744" s="19"/>
      <c r="U744" s="43"/>
      <c r="V744" s="1"/>
      <c r="W744" s="35"/>
      <c r="X744" s="36"/>
      <c r="Y744" s="36"/>
      <c r="Z744" s="36"/>
      <c r="AA744" s="36"/>
      <c r="AB744" s="36"/>
      <c r="AC744" s="47"/>
      <c r="AD744" s="36"/>
      <c r="AE744" s="36"/>
      <c r="AF744" s="51"/>
      <c r="AG744" s="36"/>
      <c r="AH744" s="36"/>
      <c r="AI744" s="36"/>
      <c r="AJ744" s="51"/>
      <c r="AK744" s="1"/>
      <c r="AL744" s="26"/>
      <c r="AM744" s="27"/>
      <c r="AN744" s="27"/>
      <c r="AO744" s="27"/>
      <c r="AP744" s="27"/>
      <c r="AQ744" s="27"/>
      <c r="AR744" s="27"/>
      <c r="AS744" s="27"/>
      <c r="AT744" s="27"/>
      <c r="AU744" s="27"/>
      <c r="AV744" s="300"/>
      <c r="AW744" s="300"/>
      <c r="AX744" s="27"/>
      <c r="AY744" s="307"/>
      <c r="AZ744" s="1"/>
      <c r="BA744" s="67"/>
      <c r="BB744" s="68"/>
      <c r="BC744" s="68"/>
      <c r="BD744" s="68"/>
      <c r="BE744" s="68"/>
      <c r="BF744" s="68"/>
      <c r="BG744" s="68"/>
      <c r="BH744" s="68"/>
      <c r="BI744" s="171"/>
      <c r="BJ744" s="68"/>
      <c r="BK744" s="68"/>
      <c r="BL744" s="68"/>
      <c r="BM744" s="68"/>
      <c r="BN744" s="67"/>
      <c r="BO744" s="68"/>
      <c r="BP744" s="68"/>
      <c r="BQ744" s="68"/>
      <c r="BR744" s="70"/>
      <c r="BS744" s="68"/>
      <c r="BT744" s="68"/>
      <c r="BU744" s="171"/>
      <c r="BV744" s="1"/>
      <c r="BW744" s="61">
        <f>+BW743+1</f>
        <v>579</v>
      </c>
    </row>
    <row r="745" spans="2:85" x14ac:dyDescent="0.3">
      <c r="B745" s="56"/>
      <c r="D745" s="1"/>
      <c r="E745" s="1"/>
      <c r="F745" s="1"/>
      <c r="G745" s="1"/>
      <c r="H745" s="59"/>
      <c r="I745" s="1"/>
      <c r="J745" s="59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59"/>
      <c r="X745" s="1"/>
      <c r="Y745" s="1"/>
      <c r="Z745" s="1"/>
      <c r="AA745" s="1"/>
      <c r="AB745" s="1"/>
      <c r="AC745" s="59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59"/>
      <c r="BD745" s="1"/>
      <c r="BE745" s="59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</row>
    <row r="746" spans="2:85" x14ac:dyDescent="0.3">
      <c r="B746" s="166" t="s">
        <v>74</v>
      </c>
      <c r="D746" s="56">
        <f>+D740</f>
        <v>5966</v>
      </c>
      <c r="E746" s="56">
        <f>+E238</f>
        <v>0</v>
      </c>
      <c r="F746" s="56">
        <f>+F238</f>
        <v>0</v>
      </c>
      <c r="G746" s="56">
        <f>+G238</f>
        <v>0</v>
      </c>
      <c r="H746" s="56">
        <f t="shared" ref="H746:BP746" si="1825">+H740</f>
        <v>71508306</v>
      </c>
      <c r="I746" s="56">
        <f t="shared" si="1825"/>
        <v>0</v>
      </c>
      <c r="J746" s="56">
        <f t="shared" si="1825"/>
        <v>8.3437828747982235E-5</v>
      </c>
      <c r="K746" s="56">
        <f t="shared" si="1825"/>
        <v>0</v>
      </c>
      <c r="L746" s="56">
        <f t="shared" si="1825"/>
        <v>0</v>
      </c>
      <c r="M746" s="56">
        <f t="shared" si="1825"/>
        <v>0</v>
      </c>
      <c r="N746" s="56">
        <f t="shared" si="1825"/>
        <v>161379</v>
      </c>
      <c r="O746" s="56">
        <f t="shared" si="1825"/>
        <v>97822.580027359785</v>
      </c>
      <c r="P746" s="56">
        <f t="shared" si="1825"/>
        <v>0</v>
      </c>
      <c r="Q746" s="56">
        <f t="shared" si="1825"/>
        <v>161379</v>
      </c>
      <c r="R746" s="56">
        <f t="shared" si="1825"/>
        <v>0</v>
      </c>
      <c r="S746" s="56">
        <f t="shared" si="1825"/>
        <v>-0.14740145499500737</v>
      </c>
      <c r="T746" s="56">
        <f t="shared" si="1825"/>
        <v>0</v>
      </c>
      <c r="U746" s="56">
        <f t="shared" si="1825"/>
        <v>0</v>
      </c>
      <c r="V746" s="56">
        <f t="shared" si="1825"/>
        <v>632</v>
      </c>
      <c r="W746" s="56">
        <f t="shared" si="1825"/>
        <v>88</v>
      </c>
      <c r="X746" s="56">
        <f t="shared" si="1825"/>
        <v>4256</v>
      </c>
      <c r="Y746" s="56">
        <f t="shared" si="1825"/>
        <v>0</v>
      </c>
      <c r="Z746" s="56">
        <f t="shared" si="1825"/>
        <v>3950</v>
      </c>
      <c r="AA746" s="56">
        <f t="shared" si="1825"/>
        <v>878666</v>
      </c>
      <c r="AB746" s="56">
        <f t="shared" si="1825"/>
        <v>0</v>
      </c>
      <c r="AC746" s="56">
        <f t="shared" si="1825"/>
        <v>1.2287607540304479E-2</v>
      </c>
      <c r="AD746" s="56">
        <f t="shared" si="1825"/>
        <v>0</v>
      </c>
      <c r="AE746" s="56">
        <f t="shared" si="1825"/>
        <v>1202.0054719562243</v>
      </c>
      <c r="AF746" s="56">
        <f t="shared" si="1825"/>
        <v>0</v>
      </c>
      <c r="AG746" s="56">
        <f t="shared" si="1825"/>
        <v>0</v>
      </c>
      <c r="AH746" s="56">
        <f t="shared" si="1825"/>
        <v>0</v>
      </c>
      <c r="AI746" s="56">
        <f t="shared" si="1825"/>
        <v>0</v>
      </c>
      <c r="AJ746" s="56">
        <f t="shared" si="1825"/>
        <v>0</v>
      </c>
      <c r="AK746" s="56">
        <f t="shared" si="1825"/>
        <v>0</v>
      </c>
      <c r="AL746" s="56">
        <f t="shared" si="1825"/>
        <v>5883699</v>
      </c>
      <c r="AM746" s="56">
        <f t="shared" si="1825"/>
        <v>0</v>
      </c>
      <c r="AN746" s="56">
        <f t="shared" si="1825"/>
        <v>0</v>
      </c>
      <c r="AO746" s="56">
        <f t="shared" si="1825"/>
        <v>178263</v>
      </c>
      <c r="AP746" s="56">
        <f t="shared" si="1825"/>
        <v>63006762</v>
      </c>
      <c r="AQ746" s="56">
        <f t="shared" si="1825"/>
        <v>20336656</v>
      </c>
      <c r="AR746" s="56">
        <f t="shared" si="1825"/>
        <v>0.10300041158507205</v>
      </c>
      <c r="AS746" s="56">
        <f t="shared" si="1825"/>
        <v>0</v>
      </c>
      <c r="AT746" s="56">
        <f t="shared" si="1825"/>
        <v>0</v>
      </c>
      <c r="AU746" s="56">
        <f t="shared" si="1825"/>
        <v>0</v>
      </c>
      <c r="AV746" s="56">
        <f t="shared" si="1825"/>
        <v>0.8811110977793265</v>
      </c>
      <c r="AW746" s="56">
        <f t="shared" si="1825"/>
        <v>0</v>
      </c>
      <c r="AX746" s="56">
        <f t="shared" si="1825"/>
        <v>86192.560875512994</v>
      </c>
      <c r="AY746" s="56">
        <f t="shared" si="1825"/>
        <v>0</v>
      </c>
      <c r="AZ746" s="56">
        <f t="shared" si="1825"/>
        <v>0</v>
      </c>
      <c r="BA746" s="56">
        <f t="shared" si="1825"/>
        <v>412853</v>
      </c>
      <c r="BB746" s="56">
        <f t="shared" si="1825"/>
        <v>0</v>
      </c>
      <c r="BC746" s="56">
        <f t="shared" si="1825"/>
        <v>971606364</v>
      </c>
      <c r="BD746" s="56">
        <f t="shared" si="1825"/>
        <v>0</v>
      </c>
      <c r="BE746" s="56">
        <f t="shared" si="1825"/>
        <v>5966</v>
      </c>
      <c r="BF746" s="56">
        <f t="shared" si="1825"/>
        <v>0</v>
      </c>
      <c r="BG746" s="56">
        <f t="shared" si="1825"/>
        <v>1.4450664037805224E-2</v>
      </c>
      <c r="BH746" s="56">
        <f t="shared" si="1825"/>
        <v>0</v>
      </c>
      <c r="BI746" s="56">
        <f t="shared" si="1825"/>
        <v>0</v>
      </c>
      <c r="BJ746" s="56">
        <f t="shared" si="1825"/>
        <v>0</v>
      </c>
      <c r="BK746" s="56">
        <f t="shared" si="1825"/>
        <v>0</v>
      </c>
      <c r="BL746" s="56">
        <f t="shared" si="1825"/>
        <v>0</v>
      </c>
      <c r="BM746" s="56">
        <f t="shared" si="1825"/>
        <v>0</v>
      </c>
      <c r="BN746" s="56">
        <f t="shared" si="1825"/>
        <v>1329146.8727770178</v>
      </c>
      <c r="BO746" s="56">
        <f t="shared" si="1825"/>
        <v>0</v>
      </c>
      <c r="BP746" s="56">
        <f t="shared" si="1825"/>
        <v>70601328</v>
      </c>
      <c r="BQ746" s="56">
        <f t="shared" ref="BQ746" si="1826">+BQ731</f>
        <v>0</v>
      </c>
      <c r="BR746" s="56"/>
      <c r="BS746" s="56"/>
      <c r="BT746" s="56"/>
      <c r="BU746" s="56">
        <f>+BU509</f>
        <v>0</v>
      </c>
      <c r="BV746" s="56">
        <f>+BV505</f>
        <v>0</v>
      </c>
      <c r="BW746" s="56"/>
      <c r="BX746" s="56"/>
      <c r="BY746" s="56"/>
      <c r="BZ746" s="56"/>
      <c r="CA746" s="56"/>
      <c r="CB746" s="56"/>
      <c r="CC746" s="56"/>
      <c r="CD746" s="56"/>
      <c r="CE746" s="61"/>
      <c r="CF746" s="61"/>
      <c r="CG746" s="145"/>
    </row>
    <row r="747" spans="2:85" x14ac:dyDescent="0.3">
      <c r="B747" t="s">
        <v>105</v>
      </c>
      <c r="D747" s="56">
        <f>+D739-D746</f>
        <v>6396</v>
      </c>
      <c r="E747" s="56">
        <f>+E237-E746</f>
        <v>0</v>
      </c>
      <c r="F747" s="56">
        <f>+F237-F746</f>
        <v>0</v>
      </c>
      <c r="G747" s="56">
        <f>+G237-G746</f>
        <v>0</v>
      </c>
      <c r="H747" s="56">
        <f t="shared" ref="H747:BP747" si="1827">+H739-H746</f>
        <v>-5966</v>
      </c>
      <c r="I747" s="56">
        <f t="shared" si="1827"/>
        <v>0</v>
      </c>
      <c r="J747" s="56">
        <f t="shared" si="1827"/>
        <v>8.9481513876518235E-5</v>
      </c>
      <c r="K747" s="56">
        <f t="shared" si="1827"/>
        <v>0</v>
      </c>
      <c r="L747" s="56">
        <f t="shared" si="1827"/>
        <v>0</v>
      </c>
      <c r="M747" s="56">
        <f t="shared" si="1827"/>
        <v>0</v>
      </c>
      <c r="N747" s="56">
        <f t="shared" si="1827"/>
        <v>-823</v>
      </c>
      <c r="O747" s="56">
        <f t="shared" si="1827"/>
        <v>125.83093154431845</v>
      </c>
      <c r="P747" s="56">
        <f t="shared" si="1827"/>
        <v>0</v>
      </c>
      <c r="Q747" s="56">
        <f t="shared" si="1827"/>
        <v>-823</v>
      </c>
      <c r="R747" s="56">
        <f t="shared" si="1827"/>
        <v>0</v>
      </c>
      <c r="S747" s="56">
        <f t="shared" si="1827"/>
        <v>-3.2711575346822674E-3</v>
      </c>
      <c r="T747" s="56">
        <f t="shared" si="1827"/>
        <v>0</v>
      </c>
      <c r="U747" s="56">
        <f t="shared" si="1827"/>
        <v>0</v>
      </c>
      <c r="V747" s="56">
        <f t="shared" si="1827"/>
        <v>-1</v>
      </c>
      <c r="W747" s="56">
        <f t="shared" si="1827"/>
        <v>239</v>
      </c>
      <c r="X747" s="56">
        <f t="shared" si="1827"/>
        <v>0</v>
      </c>
      <c r="Y747" s="56">
        <f t="shared" si="1827"/>
        <v>0</v>
      </c>
      <c r="Z747" s="56">
        <f t="shared" si="1827"/>
        <v>320</v>
      </c>
      <c r="AA747" s="56">
        <f t="shared" si="1827"/>
        <v>-88</v>
      </c>
      <c r="AB747" s="56">
        <f t="shared" si="1827"/>
        <v>0</v>
      </c>
      <c r="AC747" s="56">
        <f t="shared" si="1827"/>
        <v>-2.0547765869696755E-7</v>
      </c>
      <c r="AD747" s="56">
        <f t="shared" si="1827"/>
        <v>0</v>
      </c>
      <c r="AE747" s="56">
        <f t="shared" si="1827"/>
        <v>1.5260348930908094</v>
      </c>
      <c r="AF747" s="56">
        <f t="shared" si="1827"/>
        <v>0</v>
      </c>
      <c r="AG747" s="56">
        <f t="shared" si="1827"/>
        <v>0</v>
      </c>
      <c r="AH747" s="56">
        <f t="shared" si="1827"/>
        <v>0</v>
      </c>
      <c r="AI747" s="56">
        <f t="shared" si="1827"/>
        <v>0</v>
      </c>
      <c r="AJ747" s="56">
        <f t="shared" si="1827"/>
        <v>0</v>
      </c>
      <c r="AK747" s="56">
        <f t="shared" si="1827"/>
        <v>0</v>
      </c>
      <c r="AL747" s="56">
        <f t="shared" si="1827"/>
        <v>-5736113</v>
      </c>
      <c r="AM747" s="56">
        <f t="shared" si="1827"/>
        <v>0</v>
      </c>
      <c r="AN747" s="56">
        <f t="shared" si="1827"/>
        <v>0</v>
      </c>
      <c r="AO747" s="56">
        <f t="shared" si="1827"/>
        <v>0</v>
      </c>
      <c r="AP747" s="56">
        <f t="shared" si="1827"/>
        <v>-5883699</v>
      </c>
      <c r="AQ747" s="56">
        <f t="shared" si="1827"/>
        <v>0</v>
      </c>
      <c r="AR747" s="56">
        <f t="shared" si="1827"/>
        <v>-0.10041006907683819</v>
      </c>
      <c r="AS747" s="56">
        <f t="shared" si="1827"/>
        <v>0</v>
      </c>
      <c r="AT747" s="56">
        <f t="shared" si="1827"/>
        <v>0</v>
      </c>
      <c r="AU747" s="56">
        <f t="shared" si="1827"/>
        <v>0</v>
      </c>
      <c r="AV747" s="56">
        <f t="shared" si="1827"/>
        <v>-8.2213285483952681E-2</v>
      </c>
      <c r="AW747" s="56">
        <f t="shared" si="1827"/>
        <v>0</v>
      </c>
      <c r="AX747" s="56">
        <f t="shared" si="1827"/>
        <v>-7941.7896426362859</v>
      </c>
      <c r="AY747" s="56">
        <f t="shared" si="1827"/>
        <v>0</v>
      </c>
      <c r="AZ747" s="56">
        <f t="shared" si="1827"/>
        <v>0</v>
      </c>
      <c r="BA747" s="56">
        <f t="shared" si="1827"/>
        <v>-137949</v>
      </c>
      <c r="BB747" s="56">
        <f t="shared" si="1827"/>
        <v>0</v>
      </c>
      <c r="BC747" s="56">
        <f t="shared" si="1827"/>
        <v>-412853</v>
      </c>
      <c r="BD747" s="56">
        <f t="shared" si="1827"/>
        <v>0</v>
      </c>
      <c r="BE747" s="56">
        <f t="shared" si="1827"/>
        <v>6396</v>
      </c>
      <c r="BF747" s="56">
        <f t="shared" si="1827"/>
        <v>0</v>
      </c>
      <c r="BG747" s="56">
        <f t="shared" si="1827"/>
        <v>3.0517761303404799E-2</v>
      </c>
      <c r="BH747" s="56">
        <f t="shared" si="1827"/>
        <v>0</v>
      </c>
      <c r="BI747" s="56">
        <f t="shared" si="1827"/>
        <v>0</v>
      </c>
      <c r="BJ747" s="56">
        <f t="shared" si="1827"/>
        <v>0</v>
      </c>
      <c r="BK747" s="56">
        <f t="shared" si="1827"/>
        <v>0</v>
      </c>
      <c r="BL747" s="56">
        <f t="shared" si="1827"/>
        <v>0</v>
      </c>
      <c r="BM747" s="56">
        <f t="shared" si="1827"/>
        <v>0</v>
      </c>
      <c r="BN747" s="56">
        <f t="shared" si="1827"/>
        <v>1255.1970859959256</v>
      </c>
      <c r="BO747" s="56">
        <f t="shared" si="1827"/>
        <v>0</v>
      </c>
      <c r="BP747" s="56">
        <f t="shared" si="1827"/>
        <v>-5966</v>
      </c>
      <c r="BQ747" s="56">
        <f t="shared" ref="BQ747" si="1828">+BQ730-BQ746</f>
        <v>0</v>
      </c>
      <c r="BR747" s="56"/>
      <c r="BS747" s="56"/>
      <c r="BT747" s="56"/>
      <c r="BU747" s="56">
        <f>+BU508-BU746</f>
        <v>0</v>
      </c>
      <c r="BV747" s="56">
        <f>+BV504-BV746</f>
        <v>0</v>
      </c>
      <c r="BW747" s="56"/>
      <c r="BX747" s="56"/>
      <c r="BY747" s="56"/>
      <c r="BZ747" s="56"/>
      <c r="CA747" s="56"/>
      <c r="CB747" s="56"/>
      <c r="CC747" s="56"/>
      <c r="CD747" s="56"/>
      <c r="CE747" s="61"/>
      <c r="CF747" s="61"/>
      <c r="CG747" s="105"/>
    </row>
    <row r="748" spans="2:85" x14ac:dyDescent="0.3">
      <c r="B748" s="56"/>
      <c r="D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56"/>
      <c r="BM748" s="56"/>
      <c r="BN748" s="56"/>
      <c r="BO748" s="56"/>
      <c r="BP748" s="56"/>
      <c r="BQ748" s="56"/>
      <c r="BR748" s="56"/>
      <c r="BS748" s="10"/>
      <c r="BT748" s="10"/>
      <c r="BU748" s="10"/>
      <c r="BV748" s="10"/>
      <c r="BW748" s="10"/>
      <c r="BX748" s="10"/>
      <c r="BY748" s="10"/>
      <c r="BZ748" s="10"/>
      <c r="CA748" s="10"/>
      <c r="CB748" s="61"/>
      <c r="CC748" s="105"/>
      <c r="CD748" s="105"/>
      <c r="CE748" s="105"/>
      <c r="CF748" s="105"/>
    </row>
    <row r="749" spans="2:85" x14ac:dyDescent="0.3">
      <c r="B749" s="56"/>
      <c r="D749" s="56">
        <f>SUM(D297:D677)</f>
        <v>40188841</v>
      </c>
      <c r="H749" s="1"/>
      <c r="N749" s="145">
        <f>+N684-N712</f>
        <v>3272725</v>
      </c>
      <c r="O749" s="1"/>
      <c r="W749" s="56">
        <f>SUM(W297:W677)</f>
        <v>434376</v>
      </c>
      <c r="AA749" s="59"/>
      <c r="BA749" s="59"/>
      <c r="BC749" s="56"/>
      <c r="BE749" s="59"/>
      <c r="BJ749" s="61"/>
      <c r="BK749" s="10">
        <f>+BK187</f>
        <v>4928581</v>
      </c>
      <c r="BL749" s="61"/>
      <c r="BM749" s="61"/>
      <c r="BN749" s="61"/>
      <c r="BO749" s="61"/>
      <c r="BP749" s="61"/>
      <c r="BQ749" s="61"/>
      <c r="BR749" s="61"/>
      <c r="BS749" s="10"/>
      <c r="BT749" s="10"/>
    </row>
    <row r="750" spans="2:85" x14ac:dyDescent="0.3">
      <c r="B750" s="56"/>
      <c r="D750" s="56"/>
      <c r="H750" s="56"/>
      <c r="N750" s="231"/>
      <c r="W750" s="56"/>
      <c r="AA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56"/>
      <c r="AU750" t="s">
        <v>161</v>
      </c>
      <c r="BC750" s="56"/>
      <c r="BE750" s="59"/>
      <c r="BH750" s="96"/>
      <c r="BI750" s="96"/>
      <c r="BJ750" s="96"/>
      <c r="BK750" s="493"/>
      <c r="BL750" s="96"/>
      <c r="BM750" s="96"/>
      <c r="BN750" s="96"/>
      <c r="BO750" s="96"/>
      <c r="BP750" s="96"/>
      <c r="BQ750" s="96"/>
      <c r="BR750" s="78"/>
      <c r="BS750" s="1"/>
      <c r="BT750" s="1"/>
    </row>
    <row r="751" spans="2:85" x14ac:dyDescent="0.3">
      <c r="D751" s="1"/>
      <c r="E751" s="111" t="s">
        <v>26</v>
      </c>
      <c r="F751" s="112"/>
      <c r="H751" s="112" t="s">
        <v>59</v>
      </c>
      <c r="I751" s="104"/>
      <c r="J751" s="104"/>
      <c r="K751" s="61"/>
      <c r="L751" s="10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BA751" s="56">
        <f>SUM(BA664:BA677)</f>
        <v>44881345</v>
      </c>
      <c r="BC751" s="56"/>
      <c r="BE751" s="56">
        <f>SUM(BE664:BE677)</f>
        <v>9000128</v>
      </c>
      <c r="BG751" s="231">
        <f>+BE751/BA751</f>
        <v>0.20053160171559029</v>
      </c>
      <c r="BH751" s="96"/>
      <c r="BI751" s="96"/>
      <c r="BJ751" s="96"/>
      <c r="BK751" s="493">
        <f>+BK194-BK746</f>
        <v>5763109</v>
      </c>
      <c r="BL751" s="96"/>
      <c r="BM751" s="96"/>
      <c r="BN751" s="96"/>
      <c r="BO751" s="96"/>
      <c r="BP751" s="96"/>
      <c r="BQ751" s="96"/>
      <c r="BR751" s="78"/>
      <c r="BS751" s="1"/>
      <c r="BT751" s="1"/>
    </row>
    <row r="752" spans="2:85" x14ac:dyDescent="0.3">
      <c r="B752" s="56"/>
      <c r="D752" s="1"/>
      <c r="E752" s="111" t="s">
        <v>38</v>
      </c>
      <c r="F752" s="112"/>
      <c r="H752" s="112" t="s">
        <v>40</v>
      </c>
      <c r="I752" s="10"/>
      <c r="J752" s="10"/>
      <c r="K752" s="61"/>
      <c r="L752" s="10"/>
      <c r="AD752" s="1"/>
      <c r="AE752" s="1"/>
      <c r="AF752" s="1"/>
      <c r="AG752" s="1"/>
      <c r="AH752" s="1"/>
      <c r="AI752" s="1">
        <f>SUM(W213:W243)</f>
        <v>25465</v>
      </c>
      <c r="AJ752" s="1"/>
      <c r="AK752" s="1"/>
      <c r="AL752" s="1" t="s">
        <v>17</v>
      </c>
      <c r="AM752" s="1"/>
      <c r="AN752" s="1"/>
      <c r="AO752" s="1"/>
      <c r="BC752" s="56"/>
      <c r="BE752" s="59"/>
      <c r="BH752" s="97"/>
      <c r="BI752" s="97"/>
      <c r="BJ752" s="97"/>
      <c r="BK752" s="493">
        <f>+BK187-BK746</f>
        <v>4928581</v>
      </c>
      <c r="BL752" s="97"/>
      <c r="BM752" s="97"/>
      <c r="BN752" s="97"/>
      <c r="BO752" s="97"/>
      <c r="BP752" s="97"/>
      <c r="BQ752" s="97"/>
      <c r="BR752" s="78"/>
      <c r="BS752" s="1"/>
      <c r="BT752" s="1"/>
    </row>
    <row r="753" spans="2:72" x14ac:dyDescent="0.3">
      <c r="B753" s="231"/>
      <c r="D753" s="1"/>
      <c r="E753" s="111" t="s">
        <v>45</v>
      </c>
      <c r="F753" s="112"/>
      <c r="H753" s="112" t="s">
        <v>55</v>
      </c>
      <c r="I753" s="10"/>
      <c r="J753" s="10"/>
      <c r="K753" s="61"/>
      <c r="L753" s="10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BC753" s="56"/>
      <c r="BE753" s="59"/>
      <c r="BH753" s="97"/>
      <c r="BI753" s="97"/>
      <c r="BJ753" s="97"/>
      <c r="BK753" s="493"/>
      <c r="BL753" s="97"/>
      <c r="BM753" s="97"/>
      <c r="BN753" s="97"/>
      <c r="BO753" s="97"/>
      <c r="BP753" s="97"/>
      <c r="BQ753" s="97"/>
      <c r="BR753" s="78"/>
      <c r="BS753" s="1"/>
      <c r="BT753" s="1"/>
    </row>
    <row r="754" spans="2:72" x14ac:dyDescent="0.3">
      <c r="D754" s="1"/>
      <c r="E754" s="111" t="s">
        <v>60</v>
      </c>
      <c r="F754" s="61"/>
      <c r="H754" s="81" t="s">
        <v>135</v>
      </c>
      <c r="I754" s="61"/>
      <c r="J754" s="61"/>
      <c r="K754" s="61"/>
      <c r="L754" s="6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BH754" s="97"/>
      <c r="BI754" s="97"/>
      <c r="BJ754" s="97"/>
      <c r="BK754" s="496"/>
      <c r="BL754" s="97"/>
      <c r="BM754" s="97"/>
      <c r="BN754" s="97"/>
      <c r="BO754" s="97"/>
      <c r="BP754" s="97"/>
      <c r="BQ754" s="97"/>
      <c r="BR754" s="78"/>
      <c r="BS754" s="1"/>
      <c r="BT754" s="1"/>
    </row>
    <row r="755" spans="2:72" x14ac:dyDescent="0.3">
      <c r="E755" s="111" t="s">
        <v>136</v>
      </c>
      <c r="H755" s="81" t="s">
        <v>137</v>
      </c>
      <c r="AD755" s="1"/>
      <c r="AE755" s="1"/>
      <c r="AF755" s="1"/>
      <c r="AG755" s="1"/>
      <c r="AH755" s="1"/>
      <c r="AI755" s="1"/>
      <c r="BD755" s="78"/>
      <c r="BE755" s="78"/>
      <c r="BF755" s="78"/>
      <c r="BG755" s="78"/>
      <c r="BH755" s="78"/>
      <c r="BI755" s="78"/>
      <c r="BJ755" s="78"/>
      <c r="BK755" s="494"/>
      <c r="BL755" s="78"/>
      <c r="BM755" s="78"/>
      <c r="BN755" s="78"/>
      <c r="BO755" s="78"/>
      <c r="BP755" s="78"/>
      <c r="BQ755" s="78"/>
      <c r="BR755" s="78"/>
      <c r="BS755" s="1"/>
      <c r="BT755" s="1"/>
    </row>
    <row r="756" spans="2:72" x14ac:dyDescent="0.3">
      <c r="B756" s="56"/>
      <c r="AD756" s="1"/>
      <c r="AE756" s="1"/>
      <c r="AF756" s="1"/>
      <c r="AG756" s="1"/>
      <c r="AH756" s="1"/>
      <c r="AI756" s="1"/>
      <c r="BA756" s="545">
        <v>157602857</v>
      </c>
      <c r="BK756" s="495"/>
    </row>
    <row r="757" spans="2:72" ht="15" thickBot="1" x14ac:dyDescent="0.35">
      <c r="D757" s="56">
        <f>SUM(D363:D369)</f>
        <v>378583</v>
      </c>
      <c r="AD757" s="1"/>
      <c r="AE757" s="507"/>
      <c r="AF757" s="547"/>
      <c r="AG757" s="507"/>
      <c r="AH757" s="507"/>
      <c r="AI757" s="507"/>
      <c r="AJ757" s="500"/>
      <c r="AK757" s="500"/>
      <c r="AL757" s="500"/>
      <c r="AM757" s="500"/>
      <c r="AN757" s="500"/>
      <c r="AO757" s="500"/>
      <c r="AP757" s="500"/>
      <c r="AQ757" s="500"/>
      <c r="AR757" s="500"/>
      <c r="AS757" s="500"/>
      <c r="AT757" s="500"/>
      <c r="AU757" s="500"/>
      <c r="AV757" s="500"/>
      <c r="AW757" s="500"/>
      <c r="AX757" s="500"/>
      <c r="AZ757" s="106"/>
      <c r="BA757" s="106"/>
      <c r="BB757" s="106"/>
      <c r="BC757" s="106"/>
      <c r="BK757" s="1"/>
    </row>
    <row r="758" spans="2:72" x14ac:dyDescent="0.3">
      <c r="D758" s="531">
        <f>SUM(D356:D362)</f>
        <v>417052</v>
      </c>
      <c r="J758" s="486"/>
      <c r="V758" s="106"/>
      <c r="AA758" s="56"/>
      <c r="AD758" s="1"/>
      <c r="AE758" s="507"/>
      <c r="AF758" s="546"/>
      <c r="AG758" s="1"/>
      <c r="AH758" s="1"/>
      <c r="AI758" s="485"/>
      <c r="AJ758" s="464"/>
      <c r="AK758" s="465"/>
      <c r="AL758" s="465"/>
      <c r="AM758" s="465"/>
      <c r="AN758" s="465"/>
      <c r="AO758" s="465"/>
      <c r="AP758" s="465"/>
      <c r="AQ758" s="465"/>
      <c r="AR758" s="465"/>
      <c r="AS758" s="465"/>
      <c r="AT758" s="465"/>
      <c r="AU758" s="465"/>
      <c r="AV758" s="465"/>
      <c r="AW758" s="466"/>
      <c r="AX758" s="500"/>
      <c r="AZ758" s="106"/>
      <c r="BA758" s="77"/>
      <c r="BB758" s="106"/>
      <c r="BC758" s="106"/>
      <c r="BK758" s="56"/>
    </row>
    <row r="759" spans="2:72" x14ac:dyDescent="0.3">
      <c r="D759" s="1"/>
      <c r="J759" s="214"/>
      <c r="AD759" s="1"/>
      <c r="AE759" s="507"/>
      <c r="AF759" s="546"/>
      <c r="AG759" s="1"/>
      <c r="AH759" s="1"/>
      <c r="AI759" s="485"/>
      <c r="AJ759" s="467"/>
      <c r="AK759" s="608" t="s">
        <v>142</v>
      </c>
      <c r="AL759" s="608"/>
      <c r="AM759" s="608"/>
      <c r="AN759" s="608"/>
      <c r="AO759" s="608"/>
      <c r="AP759" s="608"/>
      <c r="AQ759" s="608"/>
      <c r="AR759" s="608"/>
      <c r="AS759" s="608"/>
      <c r="AT759" s="608"/>
      <c r="AU759" s="608"/>
      <c r="AV759" s="608"/>
      <c r="AW759" s="468"/>
      <c r="AX759" s="500"/>
      <c r="AZ759" s="106"/>
      <c r="BA759" s="106"/>
      <c r="BB759" s="106"/>
      <c r="BC759" s="106"/>
    </row>
    <row r="760" spans="2:72" ht="15.6" x14ac:dyDescent="0.3">
      <c r="D760" s="1">
        <v>331000000</v>
      </c>
      <c r="H760" s="235">
        <f>+H269/D760</f>
        <v>4.5635842900302113E-2</v>
      </c>
      <c r="J760" s="57"/>
      <c r="AD760" s="1"/>
      <c r="AE760" s="507"/>
      <c r="AF760" s="546"/>
      <c r="AG760" s="1"/>
      <c r="AH760" s="1"/>
      <c r="AI760" s="485"/>
      <c r="AJ760" s="467"/>
      <c r="AK760" s="608" t="s">
        <v>141</v>
      </c>
      <c r="AL760" s="608"/>
      <c r="AM760" s="608"/>
      <c r="AN760" s="608"/>
      <c r="AO760" s="473"/>
      <c r="AP760" s="474" t="s">
        <v>20</v>
      </c>
      <c r="AQ760" s="473"/>
      <c r="AR760" s="474" t="s">
        <v>4</v>
      </c>
      <c r="AS760" s="475"/>
      <c r="AT760" s="475"/>
      <c r="AU760" s="475"/>
      <c r="AV760" s="479" t="s">
        <v>10</v>
      </c>
      <c r="AW760" s="468"/>
      <c r="AX760" s="500"/>
      <c r="AZ760" s="106"/>
      <c r="BA760" s="106"/>
      <c r="BB760" s="106"/>
      <c r="BC760" s="106"/>
    </row>
    <row r="761" spans="2:72" ht="15.6" x14ac:dyDescent="0.3">
      <c r="H761" s="235">
        <f>+AA269/H269</f>
        <v>1.9000541790705667E-2</v>
      </c>
      <c r="AD761" s="1"/>
      <c r="AE761" s="507"/>
      <c r="AF761" s="546"/>
      <c r="AG761" s="1"/>
      <c r="AH761" s="1"/>
      <c r="AI761" s="485"/>
      <c r="AJ761" s="467"/>
      <c r="AK761" s="623" t="s">
        <v>138</v>
      </c>
      <c r="AL761" s="623"/>
      <c r="AM761" s="623"/>
      <c r="AN761" s="623"/>
      <c r="AO761" s="473"/>
      <c r="AP761" s="476">
        <f>+AH50</f>
        <v>898992</v>
      </c>
      <c r="AQ761" s="477"/>
      <c r="AR761" s="476">
        <f>+AH51</f>
        <v>55687</v>
      </c>
      <c r="AS761" s="478"/>
      <c r="AT761" s="478"/>
      <c r="AU761" s="478"/>
      <c r="AV761" s="491">
        <f t="shared" ref="AV761:AV767" si="1829">+AR761/AP761</f>
        <v>6.194382152455194E-2</v>
      </c>
      <c r="AW761" s="468"/>
      <c r="AX761" s="500"/>
      <c r="AZ761" s="106"/>
      <c r="BA761" s="77"/>
      <c r="BB761" s="106"/>
      <c r="BC761" s="106"/>
    </row>
    <row r="762" spans="2:72" ht="15.6" x14ac:dyDescent="0.3">
      <c r="D762" s="235"/>
      <c r="AD762" s="1"/>
      <c r="AE762" s="507"/>
      <c r="AF762" s="546"/>
      <c r="AG762" s="1"/>
      <c r="AH762" s="1"/>
      <c r="AI762" s="485"/>
      <c r="AJ762" s="467"/>
      <c r="AK762" s="624" t="s">
        <v>139</v>
      </c>
      <c r="AL762" s="625"/>
      <c r="AM762" s="625"/>
      <c r="AN762" s="625"/>
      <c r="AO762" s="64"/>
      <c r="AP762" s="469">
        <f>+AG83</f>
        <v>742147</v>
      </c>
      <c r="AQ762" s="64"/>
      <c r="AR762" s="469">
        <f>+AG84</f>
        <v>42339</v>
      </c>
      <c r="AS762" s="64"/>
      <c r="AT762" s="64"/>
      <c r="AU762" s="64"/>
      <c r="AV762" s="489">
        <f t="shared" si="1829"/>
        <v>5.7049344671608188E-2</v>
      </c>
      <c r="AW762" s="468"/>
      <c r="AX762" s="500"/>
      <c r="AZ762" s="106"/>
      <c r="BA762" s="77"/>
      <c r="BB762" s="106"/>
      <c r="BC762" s="106"/>
    </row>
    <row r="763" spans="2:72" ht="15.6" x14ac:dyDescent="0.3">
      <c r="AD763" s="1"/>
      <c r="AE763" s="507"/>
      <c r="AF763" s="546"/>
      <c r="AG763" s="1"/>
      <c r="AH763" s="1"/>
      <c r="AI763" s="485"/>
      <c r="AJ763" s="467"/>
      <c r="AK763" s="625" t="s">
        <v>140</v>
      </c>
      <c r="AL763" s="625"/>
      <c r="AM763" s="625"/>
      <c r="AN763" s="625"/>
      <c r="AO763" s="64"/>
      <c r="AP763" s="469">
        <f>+AH113</f>
        <v>869627</v>
      </c>
      <c r="AQ763" s="64"/>
      <c r="AR763" s="469">
        <f>+AH114</f>
        <v>21252</v>
      </c>
      <c r="AS763" s="64"/>
      <c r="AT763" s="64"/>
      <c r="AU763" s="64"/>
      <c r="AV763" s="489">
        <f t="shared" si="1829"/>
        <v>2.4438063675575852E-2</v>
      </c>
      <c r="AW763" s="468"/>
      <c r="AX763" s="500"/>
      <c r="AZ763" s="106"/>
      <c r="BA763" s="106"/>
      <c r="BB763" s="106"/>
      <c r="BC763" s="106"/>
    </row>
    <row r="764" spans="2:72" ht="15.6" x14ac:dyDescent="0.3">
      <c r="D764" s="428"/>
      <c r="AD764" s="1"/>
      <c r="AE764" s="507"/>
      <c r="AF764" s="546"/>
      <c r="AG764" s="1"/>
      <c r="AH764" s="1"/>
      <c r="AI764" s="485"/>
      <c r="AJ764" s="467"/>
      <c r="AK764" s="625" t="s">
        <v>143</v>
      </c>
      <c r="AL764" s="625"/>
      <c r="AM764" s="625"/>
      <c r="AN764" s="625"/>
      <c r="AO764" s="64"/>
      <c r="AP764" s="469">
        <f>+AG770</f>
        <v>1970617</v>
      </c>
      <c r="AQ764" s="64"/>
      <c r="AR764" s="469">
        <f>+AG772</f>
        <v>25901</v>
      </c>
      <c r="AS764" s="64"/>
      <c r="AT764" s="64"/>
      <c r="AU764" s="64"/>
      <c r="AV764" s="489">
        <f t="shared" si="1829"/>
        <v>1.3143599187462607E-2</v>
      </c>
      <c r="AW764" s="468"/>
      <c r="AX764" s="500"/>
    </row>
    <row r="765" spans="2:72" ht="15.6" x14ac:dyDescent="0.3">
      <c r="D765" s="428"/>
      <c r="AD765" s="1"/>
      <c r="AE765" s="507"/>
      <c r="AF765" s="546"/>
      <c r="AG765" s="1"/>
      <c r="AH765" s="1"/>
      <c r="AI765" s="485"/>
      <c r="AJ765" s="467"/>
      <c r="AK765" s="543"/>
      <c r="AL765" s="543" t="s">
        <v>151</v>
      </c>
      <c r="AM765" s="543"/>
      <c r="AN765" s="543"/>
      <c r="AO765" s="64"/>
      <c r="AP765" s="469">
        <f>SUM(D144:D174)</f>
        <v>1493931</v>
      </c>
      <c r="AQ765" s="64"/>
      <c r="AR765" s="469">
        <f>SUM(W144:W174)</f>
        <v>30354</v>
      </c>
      <c r="AS765" s="64"/>
      <c r="AT765" s="64"/>
      <c r="AU765" s="64"/>
      <c r="AV765" s="489">
        <f t="shared" si="1829"/>
        <v>2.0318207467413155E-2</v>
      </c>
      <c r="AW765" s="468"/>
      <c r="AX765" s="500"/>
    </row>
    <row r="766" spans="2:72" ht="15.6" x14ac:dyDescent="0.3">
      <c r="D766" s="428"/>
      <c r="AD766" s="1"/>
      <c r="AE766" s="507"/>
      <c r="AF766" s="546"/>
      <c r="AG766" s="1"/>
      <c r="AH766" s="1"/>
      <c r="AI766" s="485"/>
      <c r="AJ766" s="467"/>
      <c r="AK766" s="543"/>
      <c r="AL766" s="543" t="s">
        <v>152</v>
      </c>
      <c r="AM766" s="543"/>
      <c r="AN766" s="543"/>
      <c r="AO766" s="64"/>
      <c r="AP766" s="469">
        <f>SUM(D175:D204)</f>
        <v>1202331</v>
      </c>
      <c r="AQ766" s="64"/>
      <c r="AR766" s="544">
        <f>SUM(W175:W204)</f>
        <v>24042</v>
      </c>
      <c r="AS766" s="64"/>
      <c r="AT766" s="64"/>
      <c r="AU766" s="64"/>
      <c r="AV766" s="489">
        <f t="shared" si="1829"/>
        <v>1.9996157464125936E-2</v>
      </c>
      <c r="AW766" s="468"/>
      <c r="AX766" s="500"/>
    </row>
    <row r="767" spans="2:72" ht="15.6" x14ac:dyDescent="0.3">
      <c r="D767" s="428"/>
      <c r="AD767" s="1"/>
      <c r="AE767" s="507"/>
      <c r="AF767" s="546"/>
      <c r="AG767" s="1"/>
      <c r="AH767" s="1"/>
      <c r="AI767" s="485"/>
      <c r="AJ767" s="467"/>
      <c r="AK767" s="543"/>
      <c r="AL767" s="543" t="s">
        <v>153</v>
      </c>
      <c r="AM767" s="543"/>
      <c r="AN767" s="543"/>
      <c r="AO767" s="64"/>
      <c r="AP767" s="469">
        <f>SUM(D205:D230)</f>
        <v>1470960</v>
      </c>
      <c r="AQ767" s="64"/>
      <c r="AR767" s="469">
        <f>SUM(W205:W235)</f>
        <v>24156</v>
      </c>
      <c r="AS767" s="64"/>
      <c r="AT767" s="64"/>
      <c r="AU767" s="64"/>
      <c r="AV767" s="489">
        <f t="shared" si="1829"/>
        <v>1.6421928536465982E-2</v>
      </c>
      <c r="AW767" s="468"/>
      <c r="AX767" s="500"/>
      <c r="BA767" s="486">
        <f>+AV761-AV767</f>
        <v>4.5521892988085955E-2</v>
      </c>
    </row>
    <row r="768" spans="2:72" ht="15" thickBot="1" x14ac:dyDescent="0.35">
      <c r="B768" s="427"/>
      <c r="D768" s="235"/>
      <c r="AD768" s="1"/>
      <c r="AE768" s="507"/>
      <c r="AF768" s="546"/>
      <c r="AG768" s="1"/>
      <c r="AH768" s="1"/>
      <c r="AI768" s="485"/>
      <c r="AJ768" s="467"/>
      <c r="AK768" s="480"/>
      <c r="AL768" s="480"/>
      <c r="AM768" s="480"/>
      <c r="AN768" s="480"/>
      <c r="AO768" s="481"/>
      <c r="AP768" s="482"/>
      <c r="AQ768" s="481"/>
      <c r="AR768" s="482"/>
      <c r="AS768" s="481"/>
      <c r="AT768" s="481"/>
      <c r="AU768" s="481"/>
      <c r="AV768" s="483"/>
      <c r="AW768" s="468"/>
      <c r="AX768" s="500"/>
      <c r="BA768">
        <f>+BA767/AV761</f>
        <v>0.73488996751747038</v>
      </c>
    </row>
    <row r="769" spans="2:87" ht="15.6" x14ac:dyDescent="0.3">
      <c r="B769" s="427"/>
      <c r="D769" s="235"/>
      <c r="AD769" s="1"/>
      <c r="AE769" s="507"/>
      <c r="AF769" s="546"/>
      <c r="AG769" s="1"/>
      <c r="AH769" s="1"/>
      <c r="AI769" s="485"/>
      <c r="AJ769" s="467"/>
      <c r="AK769" s="623" t="s">
        <v>138</v>
      </c>
      <c r="AL769" s="623"/>
      <c r="AM769" s="623"/>
      <c r="AN769" s="623"/>
      <c r="AO769" s="64"/>
      <c r="AP769" s="469"/>
      <c r="AQ769" s="64"/>
      <c r="AR769" s="469">
        <f>+AR761</f>
        <v>55687</v>
      </c>
      <c r="AS769" s="64"/>
      <c r="AT769" s="64"/>
      <c r="AU769" s="64"/>
      <c r="AV769" s="144"/>
      <c r="AW769" s="468"/>
      <c r="AX769" s="500"/>
    </row>
    <row r="770" spans="2:87" ht="15.6" x14ac:dyDescent="0.3">
      <c r="B770" s="427"/>
      <c r="D770" s="235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10"/>
      <c r="AE770" s="507"/>
      <c r="AF770" s="546"/>
      <c r="AG770" s="33">
        <f>SUM(D113:D143)</f>
        <v>1970617</v>
      </c>
      <c r="AH770" s="1"/>
      <c r="AI770" s="485"/>
      <c r="AJ770" s="467"/>
      <c r="AK770" s="609" t="s">
        <v>153</v>
      </c>
      <c r="AL770" s="609"/>
      <c r="AM770" s="609"/>
      <c r="AN770" s="609"/>
      <c r="AO770" s="64"/>
      <c r="AP770" s="469"/>
      <c r="AQ770" s="64"/>
      <c r="AR770" s="469">
        <f>+AR767</f>
        <v>24156</v>
      </c>
      <c r="AS770" s="64"/>
      <c r="AT770" s="64"/>
      <c r="AU770" s="64"/>
      <c r="AV770" s="144"/>
      <c r="AW770" s="468"/>
      <c r="AX770" s="500"/>
    </row>
    <row r="771" spans="2:87" ht="15.6" x14ac:dyDescent="0.3">
      <c r="B771" s="427"/>
      <c r="D771" s="235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10"/>
      <c r="AE771" s="507"/>
      <c r="AF771" s="546"/>
      <c r="AG771" s="33">
        <f>SUM(W125:W138)</f>
        <v>12117</v>
      </c>
      <c r="AH771" s="1"/>
      <c r="AI771" s="485"/>
      <c r="AJ771" s="467"/>
      <c r="AK771" s="63"/>
      <c r="AL771" s="497" t="s">
        <v>3</v>
      </c>
      <c r="AM771" s="63"/>
      <c r="AN771" s="63"/>
      <c r="AO771" s="64"/>
      <c r="AP771" s="469"/>
      <c r="AQ771" s="64"/>
      <c r="AR771" s="469">
        <f>+AR769-AR770</f>
        <v>31531</v>
      </c>
      <c r="AS771" s="64"/>
      <c r="AT771" s="64"/>
      <c r="AU771" s="64"/>
      <c r="AV771" s="484">
        <f>+AR771/AR769</f>
        <v>0.5662183274372834</v>
      </c>
      <c r="AW771" s="468"/>
      <c r="AX771" s="500"/>
    </row>
    <row r="772" spans="2:87" ht="15" thickBot="1" x14ac:dyDescent="0.35">
      <c r="D772" s="427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10"/>
      <c r="AE772" s="507"/>
      <c r="AF772" s="548"/>
      <c r="AG772" s="33">
        <f>SUM(W113:W143)</f>
        <v>25901</v>
      </c>
      <c r="AH772" s="1"/>
      <c r="AI772" s="485"/>
      <c r="AJ772" s="470"/>
      <c r="AK772" s="471"/>
      <c r="AL772" s="471"/>
      <c r="AM772" s="471"/>
      <c r="AN772" s="471"/>
      <c r="AO772" s="471"/>
      <c r="AP772" s="471"/>
      <c r="AQ772" s="471"/>
      <c r="AR772" s="471"/>
      <c r="AS772" s="471"/>
      <c r="AT772" s="471"/>
      <c r="AU772" s="471"/>
      <c r="AV772" s="471"/>
      <c r="AW772" s="472"/>
      <c r="AX772" s="500"/>
      <c r="BD772" s="78"/>
      <c r="BE772" s="78"/>
      <c r="BF772" s="78"/>
      <c r="BG772" s="78"/>
      <c r="BH772" s="78"/>
      <c r="BI772" s="78"/>
      <c r="BJ772" s="78"/>
      <c r="BK772" s="78"/>
      <c r="BL772" s="78"/>
      <c r="BM772" s="78"/>
      <c r="BN772" s="78"/>
      <c r="BO772" s="78"/>
      <c r="BP772" s="78"/>
      <c r="BQ772" s="78"/>
      <c r="BR772" s="78"/>
      <c r="BS772" s="1"/>
      <c r="BT772" s="1"/>
      <c r="BU772" s="1"/>
      <c r="BV772" s="1"/>
      <c r="BW772" s="78"/>
      <c r="BX772" s="78"/>
      <c r="BY772" s="78"/>
      <c r="BZ772" s="78"/>
      <c r="CA772" s="78"/>
      <c r="CB772" s="78"/>
      <c r="CC772" s="78"/>
      <c r="CD772" s="78"/>
      <c r="CE772" s="78"/>
      <c r="CF772" s="78"/>
      <c r="CG772" s="78"/>
      <c r="CH772" s="78"/>
      <c r="CI772" s="78"/>
    </row>
    <row r="773" spans="2:87" x14ac:dyDescent="0.3"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10"/>
      <c r="AE773" s="507"/>
      <c r="AF773" s="507"/>
      <c r="AG773" s="507"/>
      <c r="AH773" s="507"/>
      <c r="AI773" s="507"/>
      <c r="AJ773" s="500"/>
      <c r="AK773" s="500"/>
      <c r="AL773" s="500"/>
      <c r="AM773" s="500"/>
      <c r="AN773" s="500"/>
      <c r="AO773" s="500"/>
      <c r="AP773" s="500"/>
      <c r="AQ773" s="500"/>
      <c r="AR773" s="500"/>
      <c r="AS773" s="500"/>
      <c r="AT773" s="500"/>
      <c r="AU773" s="500"/>
      <c r="AV773" s="500"/>
      <c r="AW773" s="500"/>
      <c r="AX773" s="500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77"/>
      <c r="BX773" s="77"/>
      <c r="BY773" s="77"/>
      <c r="BZ773" s="77"/>
      <c r="CA773" s="109"/>
      <c r="CB773" s="1"/>
      <c r="CC773" s="1"/>
      <c r="CD773" s="1"/>
      <c r="CE773" s="1"/>
      <c r="CF773" s="1"/>
      <c r="CG773" s="1"/>
      <c r="CH773" s="1"/>
      <c r="CI773" s="1"/>
    </row>
    <row r="774" spans="2:87" x14ac:dyDescent="0.3">
      <c r="D774">
        <v>10</v>
      </c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10"/>
      <c r="AE774" s="10"/>
      <c r="AF774" s="10"/>
      <c r="AG774" s="10"/>
      <c r="AH774" s="10"/>
      <c r="AI774" s="10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77"/>
      <c r="BX774" s="77"/>
      <c r="BY774" s="77"/>
      <c r="BZ774" s="77"/>
      <c r="CA774" s="77"/>
      <c r="CB774" s="1"/>
      <c r="CC774" s="1"/>
      <c r="CD774" s="1"/>
      <c r="CE774" s="1"/>
      <c r="CF774" s="1"/>
      <c r="CG774" s="1"/>
      <c r="CH774" s="1"/>
      <c r="CI774" s="1"/>
    </row>
    <row r="775" spans="2:87" x14ac:dyDescent="0.3">
      <c r="D775" s="1">
        <v>77000000</v>
      </c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10"/>
      <c r="AE775" s="10"/>
      <c r="AF775" s="10"/>
      <c r="AG775" s="10"/>
      <c r="AH775" s="10"/>
      <c r="AI775" s="10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77"/>
      <c r="BX775" s="77"/>
      <c r="BY775" s="77"/>
      <c r="BZ775" s="77"/>
      <c r="CA775" s="77"/>
      <c r="CB775" s="1"/>
      <c r="CC775" s="1"/>
      <c r="CD775" s="1"/>
      <c r="CE775" s="1"/>
      <c r="CF775" s="1"/>
      <c r="CG775" s="1"/>
    </row>
    <row r="776" spans="2:87" x14ac:dyDescent="0.3">
      <c r="D776" s="57">
        <f>+D775/D778</f>
        <v>0.23262839879154079</v>
      </c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10"/>
      <c r="AE776" s="10"/>
      <c r="AF776" s="10"/>
      <c r="AG776" s="501"/>
      <c r="AH776" s="10"/>
      <c r="AI776" s="10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77"/>
      <c r="BX776" s="77"/>
      <c r="BY776" s="77"/>
      <c r="BZ776" s="77"/>
      <c r="CA776" s="77"/>
      <c r="CB776" s="1"/>
      <c r="CC776" s="1"/>
      <c r="CD776" s="1"/>
      <c r="CE776" s="1"/>
      <c r="CF776" s="1"/>
      <c r="CG776" s="1"/>
    </row>
    <row r="777" spans="2:87" x14ac:dyDescent="0.3"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10"/>
      <c r="AE777" s="10"/>
      <c r="AF777" s="507"/>
      <c r="AG777" s="526"/>
      <c r="AH777" s="507"/>
      <c r="AI777" s="507"/>
      <c r="AJ777" s="500"/>
      <c r="AK777" s="500"/>
      <c r="AL777" s="500"/>
      <c r="AM777" s="500"/>
      <c r="AN777" s="500"/>
      <c r="AO777" s="500"/>
      <c r="AP777" s="500"/>
      <c r="AQ777" s="500"/>
      <c r="AR777" s="500"/>
      <c r="AS777" s="500"/>
      <c r="AT777" s="500"/>
      <c r="AU777" s="500"/>
      <c r="AV777" s="500"/>
      <c r="AW777" s="500"/>
      <c r="AX777" s="500"/>
      <c r="AY777" s="500"/>
      <c r="AZ777" s="500"/>
      <c r="BA777" s="500"/>
      <c r="BB777" s="500"/>
      <c r="BC777" s="500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77"/>
      <c r="BX777" s="77"/>
      <c r="BY777" s="110"/>
      <c r="BZ777" s="77"/>
      <c r="CA777" s="77"/>
    </row>
    <row r="778" spans="2:87" x14ac:dyDescent="0.3">
      <c r="D778" s="1">
        <v>331000000</v>
      </c>
      <c r="H778">
        <v>0.13400000000000001</v>
      </c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10"/>
      <c r="AE778" s="10"/>
      <c r="AF778" s="507"/>
      <c r="AG778" s="527"/>
      <c r="AH778" s="507"/>
      <c r="AI778" s="507"/>
      <c r="AJ778" s="524"/>
      <c r="AK778" s="524"/>
      <c r="AL778" s="525"/>
      <c r="AM778" s="525"/>
      <c r="AN778" s="525"/>
      <c r="AO778" s="525"/>
      <c r="AP778" s="525"/>
      <c r="AQ778" s="525"/>
      <c r="AR778" s="525"/>
      <c r="AS778" s="525"/>
      <c r="AT778" s="525"/>
      <c r="AU778" s="525"/>
      <c r="AV778" s="525"/>
      <c r="AW778" s="525"/>
      <c r="AX778" s="525"/>
      <c r="AY778" s="525"/>
      <c r="AZ778" s="525"/>
      <c r="BA778" s="525"/>
      <c r="BB778" s="524"/>
      <c r="BC778" s="524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77"/>
      <c r="BX778" s="77"/>
      <c r="BY778" s="77"/>
      <c r="BZ778" s="77"/>
      <c r="CA778" s="77"/>
    </row>
    <row r="779" spans="2:87" x14ac:dyDescent="0.3">
      <c r="D779" s="1">
        <f>+D778*H778</f>
        <v>44354000</v>
      </c>
      <c r="H779" s="1">
        <f>+D779*0.001</f>
        <v>44354</v>
      </c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10"/>
      <c r="AE779" s="10"/>
      <c r="AF779" s="507"/>
      <c r="AG779" s="526"/>
      <c r="AH779" s="507"/>
      <c r="AI779" s="507"/>
      <c r="AJ779" s="524"/>
      <c r="AK779" s="524"/>
      <c r="AL779" s="138"/>
      <c r="AM779" s="138"/>
      <c r="AN779" s="138"/>
      <c r="AO779" s="138"/>
      <c r="AP779" s="138"/>
      <c r="AQ779" s="138"/>
      <c r="AR779" s="138"/>
      <c r="AS779" s="78"/>
      <c r="AT779" s="78"/>
      <c r="AU779" s="78"/>
      <c r="AV779" s="98"/>
      <c r="AW779" s="98"/>
      <c r="AX779" s="98"/>
      <c r="AY779" s="98"/>
      <c r="AZ779" s="524"/>
      <c r="BA779" s="524"/>
      <c r="BB779" s="530"/>
      <c r="BC779" s="524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77"/>
      <c r="BX779" s="77"/>
      <c r="BY779" s="77"/>
      <c r="BZ779" s="77"/>
      <c r="CA779" s="77"/>
    </row>
    <row r="780" spans="2:87" x14ac:dyDescent="0.3">
      <c r="D780" s="425">
        <v>7.1999999999999995E-2</v>
      </c>
      <c r="H780" s="1">
        <f>+AA204*H778</f>
        <v>28746.886000000002</v>
      </c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10"/>
      <c r="AE780" s="10"/>
      <c r="AF780" s="507"/>
      <c r="AG780" s="526">
        <v>44031</v>
      </c>
      <c r="AH780" s="507"/>
      <c r="AI780" s="507"/>
      <c r="AJ780" s="524"/>
      <c r="AK780" s="524"/>
      <c r="AL780" s="138"/>
      <c r="AM780" s="138"/>
      <c r="AN780" s="138"/>
      <c r="AO780" s="138"/>
      <c r="AP780" s="138"/>
      <c r="AQ780" s="138"/>
      <c r="AR780" s="138"/>
      <c r="AS780" s="138"/>
      <c r="AT780" s="98"/>
      <c r="AU780" s="78"/>
      <c r="AV780" s="98"/>
      <c r="AW780" s="98"/>
      <c r="AX780" s="98"/>
      <c r="AY780" s="98"/>
      <c r="AZ780" s="524"/>
      <c r="BA780" s="524"/>
      <c r="BB780" s="530"/>
      <c r="BC780" s="524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77"/>
      <c r="BX780" s="77"/>
      <c r="BY780" s="77"/>
      <c r="BZ780" s="77"/>
      <c r="CA780" s="77"/>
    </row>
    <row r="781" spans="2:87" x14ac:dyDescent="0.3"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10"/>
      <c r="AE781" s="10"/>
      <c r="AF781" s="507"/>
      <c r="AG781" s="526">
        <v>44038</v>
      </c>
      <c r="AH781" s="507"/>
      <c r="AI781" s="507"/>
      <c r="AJ781" s="524"/>
      <c r="AK781" s="524"/>
      <c r="AL781" s="78"/>
      <c r="AM781" s="78"/>
      <c r="AN781" s="139"/>
      <c r="AO781" s="139"/>
      <c r="AP781" s="139"/>
      <c r="AQ781" s="139"/>
      <c r="AR781" s="139"/>
      <c r="AS781" s="78"/>
      <c r="AT781" s="78"/>
      <c r="AU781" s="78"/>
      <c r="AV781" s="98"/>
      <c r="AW781" s="98"/>
      <c r="AX781" s="98"/>
      <c r="AY781" s="98"/>
      <c r="AZ781" s="524"/>
      <c r="BA781" s="524"/>
      <c r="BB781" s="530"/>
      <c r="BC781" s="524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77"/>
      <c r="BX781" s="77"/>
      <c r="BY781" s="77"/>
      <c r="BZ781" s="77"/>
      <c r="CA781" s="77"/>
    </row>
    <row r="782" spans="2:87" x14ac:dyDescent="0.3">
      <c r="D782" s="235">
        <v>4.2000000000000003E-2</v>
      </c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10"/>
      <c r="AE782" s="10"/>
      <c r="AF782" s="507"/>
      <c r="AG782" s="526">
        <v>44045</v>
      </c>
      <c r="AH782" s="507"/>
      <c r="AI782" s="507"/>
      <c r="AJ782" s="524"/>
      <c r="AK782" s="524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98"/>
      <c r="AW782" s="98"/>
      <c r="AX782" s="98"/>
      <c r="AY782" s="98"/>
      <c r="AZ782" s="524"/>
      <c r="BA782" s="524"/>
      <c r="BB782" s="530"/>
      <c r="BC782" s="524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2:87" x14ac:dyDescent="0.3">
      <c r="D783" s="531">
        <f>+D778*D780*D782</f>
        <v>1000944.0000000001</v>
      </c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10"/>
      <c r="AE783" s="10"/>
      <c r="AF783" s="507"/>
      <c r="AG783" s="526">
        <v>44052</v>
      </c>
      <c r="AH783" s="507"/>
      <c r="AI783" s="507"/>
      <c r="AJ783" s="524"/>
      <c r="AK783" s="524"/>
      <c r="AL783" s="78"/>
      <c r="AM783" s="78"/>
      <c r="AN783" s="139"/>
      <c r="AO783" s="139"/>
      <c r="AP783" s="139"/>
      <c r="AQ783" s="139"/>
      <c r="AR783" s="139"/>
      <c r="AS783" s="139"/>
      <c r="AT783" s="139"/>
      <c r="AU783" s="78"/>
      <c r="AV783" s="98"/>
      <c r="AW783" s="98"/>
      <c r="AX783" s="98"/>
      <c r="AY783" s="98"/>
      <c r="AZ783" s="524"/>
      <c r="BA783" s="524"/>
      <c r="BB783" s="530"/>
      <c r="BC783" s="524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2:87" x14ac:dyDescent="0.3"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10"/>
      <c r="AE784" s="10"/>
      <c r="AF784" s="507"/>
      <c r="AG784" s="526"/>
      <c r="AH784" s="507"/>
      <c r="AI784" s="507"/>
      <c r="AJ784" s="524"/>
      <c r="AK784" s="524"/>
      <c r="AL784" s="78"/>
      <c r="AM784" s="78"/>
      <c r="AN784" s="139"/>
      <c r="AO784" s="139"/>
      <c r="AP784" s="139"/>
      <c r="AQ784" s="139"/>
      <c r="AR784" s="139"/>
      <c r="AS784" s="139"/>
      <c r="AT784" s="139"/>
      <c r="AU784" s="78"/>
      <c r="AV784" s="98"/>
      <c r="AW784" s="98"/>
      <c r="AX784" s="98"/>
      <c r="AY784" s="98"/>
      <c r="AZ784" s="524"/>
      <c r="BA784" s="524"/>
      <c r="BB784" s="530"/>
      <c r="BC784" s="524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2:79" x14ac:dyDescent="0.3"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10"/>
      <c r="AE785" s="10"/>
      <c r="AF785" s="507"/>
      <c r="AG785" s="526"/>
      <c r="AH785" s="507"/>
      <c r="AI785" s="507"/>
      <c r="AJ785" s="524"/>
      <c r="AK785" s="524"/>
      <c r="AL785" s="78"/>
      <c r="AM785" s="78"/>
      <c r="AN785" s="139"/>
      <c r="AO785" s="139"/>
      <c r="AP785" s="139"/>
      <c r="AQ785" s="139"/>
      <c r="AR785" s="139"/>
      <c r="AS785" s="139"/>
      <c r="AT785" s="139"/>
      <c r="AU785" s="78"/>
      <c r="AV785" s="98"/>
      <c r="AW785" s="98"/>
      <c r="AX785" s="98"/>
      <c r="AY785" s="98"/>
      <c r="AZ785" s="524"/>
      <c r="BA785" s="524"/>
      <c r="BB785" s="530"/>
      <c r="BC785" s="524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2:79" x14ac:dyDescent="0.3"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10"/>
      <c r="AE786" s="10"/>
      <c r="AF786" s="507"/>
      <c r="AG786" s="528"/>
      <c r="AH786" s="507"/>
      <c r="AI786" s="507"/>
      <c r="AJ786" s="524"/>
      <c r="AK786" s="524"/>
      <c r="AL786" s="78"/>
      <c r="AM786" s="78"/>
      <c r="AN786" s="139"/>
      <c r="AO786" s="139"/>
      <c r="AP786" s="139"/>
      <c r="AQ786" s="139"/>
      <c r="AR786" s="139"/>
      <c r="AS786" s="139"/>
      <c r="AT786" s="139"/>
      <c r="AU786" s="78"/>
      <c r="AV786" s="98"/>
      <c r="AW786" s="98"/>
      <c r="AX786" s="98"/>
      <c r="AY786" s="98"/>
      <c r="AZ786" s="524"/>
      <c r="BA786" s="524"/>
      <c r="BB786" s="530"/>
      <c r="BC786" s="524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2:79" x14ac:dyDescent="0.3"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10"/>
      <c r="AE787" s="10"/>
      <c r="AF787" s="507"/>
      <c r="AG787" s="507"/>
      <c r="AH787" s="507"/>
      <c r="AI787" s="507"/>
      <c r="AJ787" s="524"/>
      <c r="AK787" s="524"/>
      <c r="AL787" s="78"/>
      <c r="AM787" s="78"/>
      <c r="AN787" s="139"/>
      <c r="AO787" s="139"/>
      <c r="AP787" s="139"/>
      <c r="AQ787" s="139"/>
      <c r="AR787" s="139"/>
      <c r="AS787" s="139"/>
      <c r="AT787" s="139"/>
      <c r="AU787" s="78"/>
      <c r="AV787" s="98"/>
      <c r="AW787" s="98"/>
      <c r="AX787" s="98"/>
      <c r="AY787" s="98"/>
      <c r="AZ787" s="524"/>
      <c r="BA787" s="524"/>
      <c r="BB787" s="530"/>
      <c r="BC787" s="524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2:79" x14ac:dyDescent="0.3"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10"/>
      <c r="AE788" s="10"/>
      <c r="AF788" s="507"/>
      <c r="AG788" s="507"/>
      <c r="AH788" s="507"/>
      <c r="AI788" s="507"/>
      <c r="AJ788" s="524"/>
      <c r="AK788" s="524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78"/>
      <c r="AW788" s="78"/>
      <c r="AX788" s="78"/>
      <c r="AY788" s="78"/>
      <c r="AZ788" s="524"/>
      <c r="BA788" s="530"/>
      <c r="BB788" s="530"/>
      <c r="BC788" s="524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2:79" x14ac:dyDescent="0.3">
      <c r="AD789" s="10"/>
      <c r="AE789" s="10"/>
      <c r="AF789" s="507"/>
      <c r="AG789" s="507"/>
      <c r="AH789" s="507"/>
      <c r="AI789" s="507"/>
      <c r="AJ789" s="524"/>
      <c r="AK789" s="524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78"/>
      <c r="AW789" s="78"/>
      <c r="AX789" s="78"/>
      <c r="AY789" s="78"/>
      <c r="AZ789" s="524"/>
      <c r="BA789" s="530"/>
      <c r="BB789" s="530"/>
      <c r="BC789" s="524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2:79" ht="15" thickBot="1" x14ac:dyDescent="0.35">
      <c r="B790" s="500"/>
      <c r="C790" s="500"/>
      <c r="D790" s="500"/>
      <c r="E790" s="500"/>
      <c r="F790" s="500"/>
      <c r="G790" s="500"/>
      <c r="H790" s="500"/>
      <c r="I790" s="500"/>
      <c r="J790" s="500"/>
      <c r="K790" s="500"/>
      <c r="L790" s="500"/>
      <c r="M790" s="500"/>
      <c r="N790" s="500"/>
      <c r="O790" s="500"/>
      <c r="P790" s="500"/>
      <c r="Q790" s="500"/>
      <c r="R790" s="500"/>
      <c r="S790" s="500"/>
      <c r="T790" s="500"/>
      <c r="U790" s="500"/>
      <c r="V790" s="500"/>
      <c r="AD790" s="10"/>
      <c r="AE790" s="10"/>
      <c r="AF790" s="507"/>
      <c r="AG790" s="507"/>
      <c r="AH790" s="507"/>
      <c r="AI790" s="507"/>
      <c r="AJ790" s="524"/>
      <c r="AK790" s="524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78"/>
      <c r="AW790" s="78"/>
      <c r="AX790" s="78"/>
      <c r="AY790" s="78"/>
      <c r="AZ790" s="524"/>
      <c r="BA790" s="530"/>
      <c r="BB790" s="530"/>
      <c r="BC790" s="524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2:79" x14ac:dyDescent="0.3">
      <c r="B791" s="500"/>
      <c r="C791" s="510"/>
      <c r="D791" s="357"/>
      <c r="E791" s="357"/>
      <c r="F791" s="357"/>
      <c r="G791" s="357"/>
      <c r="H791" s="357"/>
      <c r="I791" s="357"/>
      <c r="J791" s="357"/>
      <c r="K791" s="357"/>
      <c r="L791" s="357"/>
      <c r="M791" s="357"/>
      <c r="N791" s="357"/>
      <c r="O791" s="357"/>
      <c r="P791" s="511"/>
      <c r="V791" s="500"/>
      <c r="AD791" s="10"/>
      <c r="AE791" s="10"/>
      <c r="AF791" s="507"/>
      <c r="AG791" s="507"/>
      <c r="AH791" s="507"/>
      <c r="AI791" s="507"/>
      <c r="AJ791" s="524"/>
      <c r="AK791" s="524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78"/>
      <c r="AW791" s="78"/>
      <c r="AX791" s="78"/>
      <c r="AY791" s="78"/>
      <c r="AZ791" s="524"/>
      <c r="BA791" s="530"/>
      <c r="BB791" s="530"/>
      <c r="BC791" s="524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2:79" x14ac:dyDescent="0.3">
      <c r="B792" s="500"/>
      <c r="C792" s="512"/>
      <c r="D792" s="502" t="s">
        <v>149</v>
      </c>
      <c r="E792" s="387"/>
      <c r="F792" s="387"/>
      <c r="G792" s="387"/>
      <c r="H792" s="627" t="s">
        <v>20</v>
      </c>
      <c r="I792" s="627"/>
      <c r="J792" s="627"/>
      <c r="K792" s="387"/>
      <c r="L792" s="387"/>
      <c r="M792" s="387"/>
      <c r="N792" s="387"/>
      <c r="O792" s="387"/>
      <c r="P792" s="513"/>
      <c r="V792" s="500"/>
      <c r="AD792" s="10"/>
      <c r="AE792" s="10"/>
      <c r="AF792" s="507"/>
      <c r="AG792" s="507"/>
      <c r="AH792" s="507"/>
      <c r="AI792" s="507"/>
      <c r="AJ792" s="524"/>
      <c r="AK792" s="524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78"/>
      <c r="AW792" s="78"/>
      <c r="AX792" s="78"/>
      <c r="AY792" s="78"/>
      <c r="AZ792" s="524"/>
      <c r="BA792" s="530"/>
      <c r="BB792" s="530"/>
      <c r="BC792" s="524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2:79" x14ac:dyDescent="0.3">
      <c r="B793" s="500"/>
      <c r="C793" s="512"/>
      <c r="D793" s="514" t="s">
        <v>150</v>
      </c>
      <c r="E793" s="387"/>
      <c r="F793" s="387"/>
      <c r="G793" s="387"/>
      <c r="H793" s="515" t="s">
        <v>147</v>
      </c>
      <c r="I793" s="502"/>
      <c r="J793" s="516" t="s">
        <v>148</v>
      </c>
      <c r="K793" s="502"/>
      <c r="L793" s="502"/>
      <c r="M793" s="502"/>
      <c r="N793" s="502"/>
      <c r="O793" s="517" t="s">
        <v>3</v>
      </c>
      <c r="P793" s="513"/>
      <c r="V793" s="500"/>
      <c r="AD793" s="10"/>
      <c r="AE793" s="10"/>
      <c r="AF793" s="507"/>
      <c r="AG793" s="507"/>
      <c r="AH793" s="507"/>
      <c r="AI793" s="507"/>
      <c r="AJ793" s="524"/>
      <c r="AK793" s="524"/>
      <c r="AL793" s="529"/>
      <c r="AM793" s="529"/>
      <c r="AN793" s="529"/>
      <c r="AO793" s="529"/>
      <c r="AP793" s="529"/>
      <c r="AQ793" s="529"/>
      <c r="AR793" s="529"/>
      <c r="AS793" s="529"/>
      <c r="AT793" s="529"/>
      <c r="AU793" s="529"/>
      <c r="AV793" s="524"/>
      <c r="AW793" s="524"/>
      <c r="AX793" s="524"/>
      <c r="AY793" s="524"/>
      <c r="AZ793" s="524"/>
      <c r="BA793" s="530"/>
      <c r="BB793" s="530"/>
      <c r="BC793" s="524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2:79" x14ac:dyDescent="0.3">
      <c r="B794" s="500"/>
      <c r="C794" s="512"/>
      <c r="D794" s="503" t="s">
        <v>146</v>
      </c>
      <c r="E794" s="15"/>
      <c r="F794" s="15"/>
      <c r="G794" s="15"/>
      <c r="H794" s="518">
        <f>SUM(D133:D139)</f>
        <v>471981</v>
      </c>
      <c r="I794" s="15"/>
      <c r="J794" s="16">
        <f>+H794/7</f>
        <v>67425.857142857145</v>
      </c>
      <c r="K794" s="15"/>
      <c r="L794" s="15"/>
      <c r="M794" s="15"/>
      <c r="N794" s="15"/>
      <c r="O794" s="15"/>
      <c r="P794" s="513"/>
      <c r="V794" s="500"/>
      <c r="AD794" s="10"/>
      <c r="AE794" s="10"/>
      <c r="AF794" s="507"/>
      <c r="AG794" s="507"/>
      <c r="AH794" s="507"/>
      <c r="AI794" s="507"/>
      <c r="AJ794" s="524"/>
      <c r="AK794" s="524"/>
      <c r="AL794" s="529"/>
      <c r="AM794" s="529"/>
      <c r="AN794" s="529"/>
      <c r="AO794" s="529"/>
      <c r="AP794" s="529"/>
      <c r="AQ794" s="529"/>
      <c r="AR794" s="529"/>
      <c r="AS794" s="529"/>
      <c r="AT794" s="529"/>
      <c r="AU794" s="529"/>
      <c r="AV794" s="529"/>
      <c r="AW794" s="529"/>
      <c r="AX794" s="529"/>
      <c r="AY794" s="529"/>
      <c r="AZ794" s="524"/>
      <c r="BA794" s="524"/>
      <c r="BB794" s="530"/>
      <c r="BC794" s="524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2:79" x14ac:dyDescent="0.3">
      <c r="B795" s="500"/>
      <c r="C795" s="512"/>
      <c r="D795" s="503" t="s">
        <v>145</v>
      </c>
      <c r="E795" s="15"/>
      <c r="F795" s="15"/>
      <c r="G795" s="15"/>
      <c r="H795" s="16">
        <f>SUM(D140:D146)</f>
        <v>427527</v>
      </c>
      <c r="I795" s="15"/>
      <c r="J795" s="16">
        <f>+H795/7</f>
        <v>61075.285714285717</v>
      </c>
      <c r="K795" s="15"/>
      <c r="L795" s="15"/>
      <c r="M795" s="15"/>
      <c r="N795" s="15"/>
      <c r="O795" s="15"/>
      <c r="P795" s="513"/>
      <c r="V795" s="500"/>
      <c r="AJ795" s="98"/>
      <c r="AK795" s="98"/>
      <c r="AL795" s="98"/>
      <c r="AM795" s="98"/>
      <c r="AN795" s="98"/>
      <c r="AO795" s="98"/>
      <c r="AP795" s="98"/>
      <c r="AQ795" s="98"/>
      <c r="AR795" s="98"/>
      <c r="AS795" s="98"/>
      <c r="AT795" s="78"/>
      <c r="AU795" s="98"/>
      <c r="AV795" s="140"/>
      <c r="AW795" s="140"/>
      <c r="AX795" s="140"/>
      <c r="AY795" s="140"/>
      <c r="AZ795" s="98"/>
      <c r="BA795" s="98"/>
      <c r="BB795" s="98"/>
      <c r="BC795" s="98"/>
    </row>
    <row r="796" spans="2:79" x14ac:dyDescent="0.3">
      <c r="B796" s="506"/>
      <c r="C796" s="512"/>
      <c r="D796" s="503" t="s">
        <v>144</v>
      </c>
      <c r="E796" s="15"/>
      <c r="F796" s="15"/>
      <c r="G796" s="15"/>
      <c r="H796" s="16">
        <f>SUM(D147:D153)</f>
        <v>383516</v>
      </c>
      <c r="I796" s="15"/>
      <c r="J796" s="16">
        <f>+H796/7</f>
        <v>54788</v>
      </c>
      <c r="K796" s="15"/>
      <c r="L796" s="15"/>
      <c r="M796" s="15"/>
      <c r="N796" s="15"/>
      <c r="O796" s="518">
        <f>+H794-H796</f>
        <v>88465</v>
      </c>
      <c r="P796" s="513"/>
      <c r="V796" s="500"/>
      <c r="AA796">
        <f>+O796/7</f>
        <v>12637.857142857143</v>
      </c>
      <c r="AJ796" s="98"/>
      <c r="AK796" s="98"/>
      <c r="AL796" s="98"/>
      <c r="AM796" s="98"/>
      <c r="AN796" s="98"/>
      <c r="AO796" s="98"/>
      <c r="AP796" s="98"/>
      <c r="AQ796" s="98"/>
      <c r="AR796" s="98"/>
      <c r="AS796" s="98"/>
      <c r="AT796" s="98"/>
      <c r="AU796" s="98"/>
      <c r="AV796" s="78"/>
      <c r="AW796" s="78"/>
      <c r="AX796" s="78"/>
      <c r="AY796" s="78"/>
      <c r="AZ796" s="98"/>
      <c r="BA796" s="141"/>
      <c r="BB796" s="98"/>
      <c r="BC796" s="98"/>
    </row>
    <row r="797" spans="2:79" x14ac:dyDescent="0.3">
      <c r="B797" s="507"/>
      <c r="C797" s="512"/>
      <c r="D797" s="519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60">
        <f>+O796/H794</f>
        <v>0.18743339244588236</v>
      </c>
      <c r="P797" s="513"/>
      <c r="V797" s="500"/>
      <c r="X797" s="61"/>
      <c r="Y797" s="61"/>
      <c r="Z797" s="98"/>
      <c r="AA797" s="98"/>
      <c r="AB797" s="98"/>
      <c r="AC797" s="98"/>
      <c r="AD797" s="98"/>
      <c r="AE797" s="98"/>
      <c r="AF797" s="98"/>
      <c r="AG797" s="98"/>
      <c r="AH797" s="98"/>
      <c r="AI797" s="98"/>
      <c r="AJ797" s="98"/>
      <c r="AK797" s="98"/>
      <c r="AL797" s="98"/>
      <c r="AM797" s="98"/>
      <c r="AN797" s="98"/>
      <c r="AO797" s="98"/>
      <c r="AP797" s="78">
        <v>480454</v>
      </c>
      <c r="AQ797" s="98"/>
      <c r="AR797" s="98"/>
      <c r="AS797" s="98"/>
      <c r="AT797" s="98"/>
      <c r="AU797" s="98"/>
      <c r="AV797" s="98"/>
      <c r="AW797" s="98"/>
      <c r="AX797" s="98"/>
      <c r="AY797" s="98"/>
      <c r="AZ797" s="98"/>
      <c r="BA797" s="98"/>
      <c r="BB797" s="98"/>
      <c r="BC797" s="98"/>
    </row>
    <row r="798" spans="2:79" ht="15" thickBot="1" x14ac:dyDescent="0.35">
      <c r="B798" s="507"/>
      <c r="C798" s="520"/>
      <c r="D798" s="521"/>
      <c r="E798" s="521"/>
      <c r="F798" s="521"/>
      <c r="G798" s="521"/>
      <c r="H798" s="521"/>
      <c r="I798" s="521"/>
      <c r="J798" s="522"/>
      <c r="K798" s="521"/>
      <c r="L798" s="521"/>
      <c r="M798" s="521"/>
      <c r="N798" s="521"/>
      <c r="O798" s="521"/>
      <c r="P798" s="523"/>
      <c r="V798" s="500"/>
      <c r="X798" s="61"/>
      <c r="Y798" s="61"/>
      <c r="Z798" s="98"/>
      <c r="AA798" s="98"/>
      <c r="AB798" s="98"/>
      <c r="AC798" s="98"/>
      <c r="AD798" s="98"/>
      <c r="AE798" s="98"/>
      <c r="AF798" s="98"/>
      <c r="AG798" s="98"/>
      <c r="AH798" s="98"/>
      <c r="AI798" s="98"/>
      <c r="AJ798" s="98"/>
      <c r="AK798" s="98"/>
      <c r="AL798" s="98"/>
      <c r="AM798" s="98"/>
      <c r="AN798" s="98"/>
      <c r="AO798" s="98"/>
      <c r="AP798" s="140">
        <f>+N201</f>
        <v>290088</v>
      </c>
      <c r="AQ798" s="98"/>
      <c r="AR798" s="98"/>
      <c r="AS798" s="98"/>
      <c r="AT798" s="98"/>
      <c r="AU798" s="98"/>
      <c r="AV798" s="98"/>
      <c r="AW798" s="98"/>
      <c r="AX798" s="98"/>
      <c r="AY798" s="98"/>
      <c r="AZ798" s="98"/>
      <c r="BA798" s="98"/>
      <c r="BB798" s="98"/>
      <c r="BC798" s="98"/>
    </row>
    <row r="799" spans="2:79" x14ac:dyDescent="0.3">
      <c r="B799" s="507"/>
      <c r="C799" s="500"/>
      <c r="D799" s="508"/>
      <c r="E799" s="500"/>
      <c r="F799" s="500"/>
      <c r="G799" s="500"/>
      <c r="H799" s="509"/>
      <c r="I799" s="500"/>
      <c r="J799" s="500"/>
      <c r="K799" s="500"/>
      <c r="L799" s="500"/>
      <c r="M799" s="500"/>
      <c r="N799" s="500"/>
      <c r="O799" s="500"/>
      <c r="P799" s="500"/>
      <c r="Q799" s="500"/>
      <c r="R799" s="500"/>
      <c r="S799" s="500"/>
      <c r="T799" s="500"/>
      <c r="U799" s="500"/>
      <c r="V799" s="500"/>
      <c r="X799" s="61"/>
      <c r="Y799" s="61"/>
      <c r="Z799" s="98"/>
      <c r="AA799" s="98"/>
      <c r="AB799" s="98"/>
      <c r="AC799" s="98"/>
      <c r="AD799" s="98"/>
      <c r="AE799" s="98"/>
      <c r="AF799" s="98"/>
      <c r="AG799" s="98"/>
      <c r="AH799" s="98"/>
      <c r="AI799" s="98"/>
      <c r="AJ799" s="98"/>
      <c r="AK799" s="98"/>
      <c r="AL799" s="98"/>
      <c r="AM799" s="98"/>
      <c r="AN799" s="98"/>
      <c r="AO799" s="98"/>
      <c r="AP799" s="140">
        <f>+AP797-AP798</f>
        <v>190366</v>
      </c>
      <c r="AQ799" s="98"/>
      <c r="AR799" s="98"/>
    </row>
    <row r="800" spans="2:79" x14ac:dyDescent="0.3">
      <c r="B800" s="1"/>
      <c r="D800" s="55"/>
      <c r="X800" s="61"/>
      <c r="Y800" s="61"/>
      <c r="Z800" s="98"/>
      <c r="AA800" s="98"/>
      <c r="AB800" s="98"/>
      <c r="AC800" s="98"/>
      <c r="AD800" s="98"/>
      <c r="AE800" s="98"/>
      <c r="AF800" s="98"/>
      <c r="AG800" s="98"/>
      <c r="AH800" s="98"/>
      <c r="AI800" s="98"/>
      <c r="AJ800" s="98"/>
      <c r="AK800" s="98"/>
      <c r="AL800" s="98"/>
      <c r="AM800" s="98"/>
      <c r="AN800" s="98"/>
      <c r="AO800" s="98"/>
      <c r="AP800" s="84">
        <f>+AP799/AP797</f>
        <v>0.3962210742339537</v>
      </c>
      <c r="AQ800" s="98"/>
      <c r="AR800" s="98"/>
    </row>
    <row r="801" spans="2:61" x14ac:dyDescent="0.3">
      <c r="B801" s="55"/>
      <c r="D801" s="55"/>
      <c r="J801" s="56">
        <f>+J794-J796</f>
        <v>12637.857142857145</v>
      </c>
      <c r="X801" s="61"/>
      <c r="Y801" s="61"/>
      <c r="Z801" s="98"/>
      <c r="AA801" s="98"/>
      <c r="AB801" s="98"/>
      <c r="AC801" s="98"/>
      <c r="AD801" s="98"/>
      <c r="AE801" s="98"/>
      <c r="AF801" s="98"/>
      <c r="AG801" s="98"/>
      <c r="AH801" s="98"/>
      <c r="AI801" s="98"/>
      <c r="AJ801" s="98"/>
      <c r="AK801" s="98"/>
      <c r="AL801" s="98"/>
      <c r="AM801" s="98"/>
      <c r="AN801" s="98"/>
      <c r="AO801" s="98"/>
      <c r="AP801" s="98"/>
      <c r="AQ801" s="98"/>
      <c r="AR801" s="98"/>
    </row>
    <row r="802" spans="2:61" x14ac:dyDescent="0.3">
      <c r="B802" s="57"/>
      <c r="D802" s="55"/>
      <c r="X802" s="61"/>
      <c r="Y802" s="61"/>
      <c r="Z802" s="98"/>
      <c r="AA802" s="98"/>
      <c r="AB802" s="98"/>
      <c r="AC802" s="98"/>
      <c r="AD802" s="98"/>
      <c r="AE802" s="98"/>
      <c r="AF802" s="98"/>
      <c r="AG802" s="98"/>
      <c r="AH802" s="98"/>
      <c r="AI802" s="98"/>
      <c r="AJ802" s="98"/>
      <c r="AK802" s="98"/>
      <c r="AL802" s="98"/>
      <c r="AM802" s="98"/>
      <c r="AN802" s="98"/>
      <c r="AO802" s="98"/>
      <c r="AP802" s="98"/>
      <c r="AQ802" s="98"/>
      <c r="AR802" s="98"/>
    </row>
    <row r="803" spans="2:61" x14ac:dyDescent="0.3">
      <c r="B803" s="1"/>
      <c r="D803" s="55"/>
      <c r="X803" s="61"/>
      <c r="Y803" s="61"/>
      <c r="Z803" s="98"/>
      <c r="AA803" s="98"/>
      <c r="AB803" s="98"/>
      <c r="AC803" s="98"/>
      <c r="AD803" s="98"/>
      <c r="AE803" s="98"/>
      <c r="AF803" s="98"/>
      <c r="AG803" s="98"/>
      <c r="AH803" s="98"/>
      <c r="AI803" s="98"/>
      <c r="AJ803" s="98"/>
      <c r="AK803" s="98"/>
      <c r="AL803" s="98"/>
      <c r="AM803" s="98"/>
      <c r="AN803" s="98"/>
      <c r="AO803" s="98"/>
      <c r="AP803" s="98"/>
      <c r="AQ803" s="98"/>
      <c r="AR803" s="98"/>
    </row>
    <row r="804" spans="2:61" x14ac:dyDescent="0.3">
      <c r="B804" s="1"/>
      <c r="D804" s="55"/>
      <c r="Z804" s="106"/>
      <c r="AA804" s="106"/>
      <c r="AB804" s="106"/>
      <c r="AC804" s="106"/>
      <c r="AD804" s="106"/>
      <c r="AE804" s="106"/>
      <c r="AF804" s="106"/>
      <c r="AG804" s="106"/>
      <c r="AH804" s="106"/>
      <c r="AI804" s="106"/>
      <c r="AJ804" s="106"/>
      <c r="AK804" s="106"/>
      <c r="AL804" s="106"/>
      <c r="AM804" s="106"/>
      <c r="AN804" s="106"/>
      <c r="AO804" s="106"/>
      <c r="AP804" s="106"/>
      <c r="AQ804" s="106"/>
      <c r="AR804" s="106"/>
    </row>
    <row r="805" spans="2:61" x14ac:dyDescent="0.3">
      <c r="B805" s="1"/>
      <c r="D805" s="55"/>
      <c r="AT805" s="500"/>
      <c r="AU805" s="500"/>
      <c r="AV805" s="500"/>
      <c r="AW805" s="500"/>
      <c r="AX805" s="500"/>
      <c r="AY805" s="500"/>
      <c r="AZ805" s="500"/>
      <c r="BA805" s="500"/>
      <c r="BB805" s="500"/>
      <c r="BC805" s="500"/>
      <c r="BD805" s="500"/>
      <c r="BE805" s="500"/>
      <c r="BF805" s="500"/>
      <c r="BG805" s="500"/>
      <c r="BH805" s="500"/>
      <c r="BI805" s="500"/>
    </row>
    <row r="806" spans="2:61" ht="15.6" x14ac:dyDescent="0.3">
      <c r="B806" s="1"/>
      <c r="D806" s="55"/>
      <c r="AT806" s="500"/>
      <c r="AU806" s="533"/>
      <c r="AV806" s="534"/>
      <c r="AW806" s="534"/>
      <c r="AX806" s="534"/>
      <c r="AY806" s="534"/>
      <c r="AZ806" s="534"/>
      <c r="BA806" s="534"/>
      <c r="BB806" s="534"/>
      <c r="BC806" s="534"/>
      <c r="BD806" s="534"/>
      <c r="BE806" s="534" t="s">
        <v>156</v>
      </c>
      <c r="BF806" s="534"/>
      <c r="BG806" s="534" t="s">
        <v>2</v>
      </c>
      <c r="BH806" s="533"/>
      <c r="BI806" s="500"/>
    </row>
    <row r="807" spans="2:61" ht="16.2" thickBot="1" x14ac:dyDescent="0.35">
      <c r="B807" s="57" t="e">
        <f>+B806/B805</f>
        <v>#DIV/0!</v>
      </c>
      <c r="D807" s="55"/>
      <c r="AT807" s="500"/>
      <c r="AU807" s="533"/>
      <c r="AV807" s="634" t="s">
        <v>155</v>
      </c>
      <c r="AW807" s="634"/>
      <c r="AX807" s="634"/>
      <c r="AY807" s="534"/>
      <c r="AZ807" s="534"/>
      <c r="BA807" s="535" t="s">
        <v>20</v>
      </c>
      <c r="BB807" s="534"/>
      <c r="BC807" s="535" t="s">
        <v>3</v>
      </c>
      <c r="BD807" s="534"/>
      <c r="BE807" s="535" t="s">
        <v>65</v>
      </c>
      <c r="BF807" s="534"/>
      <c r="BG807" s="535" t="s">
        <v>65</v>
      </c>
      <c r="BH807" s="533"/>
      <c r="BI807" s="500"/>
    </row>
    <row r="808" spans="2:61" ht="21" x14ac:dyDescent="0.4">
      <c r="B808" s="1"/>
      <c r="D808" s="55"/>
      <c r="AT808" s="500"/>
      <c r="AU808" s="533"/>
      <c r="AV808" s="536" t="s">
        <v>143</v>
      </c>
      <c r="AW808" s="533"/>
      <c r="AX808" s="537"/>
      <c r="AY808" s="533"/>
      <c r="AZ808" s="533"/>
      <c r="BA808" s="538">
        <f>+N143</f>
        <v>1970617</v>
      </c>
      <c r="BB808" s="537"/>
      <c r="BC808" s="537"/>
      <c r="BD808" s="537"/>
      <c r="BE808" s="537"/>
      <c r="BF808" s="537"/>
      <c r="BG808" s="537"/>
      <c r="BH808" s="533"/>
      <c r="BI808" s="500"/>
    </row>
    <row r="809" spans="2:61" ht="21" x14ac:dyDescent="0.4">
      <c r="B809" s="1"/>
      <c r="D809" s="55"/>
      <c r="AT809" s="500"/>
      <c r="AU809" s="533"/>
      <c r="AV809" s="536" t="s">
        <v>151</v>
      </c>
      <c r="AW809" s="533"/>
      <c r="AX809" s="537"/>
      <c r="AY809" s="533"/>
      <c r="AZ809" s="533"/>
      <c r="BA809" s="538">
        <f>+N174</f>
        <v>1493931</v>
      </c>
      <c r="BB809" s="537"/>
      <c r="BC809" s="538">
        <f>+BA809-BA808</f>
        <v>-476686</v>
      </c>
      <c r="BD809" s="537"/>
      <c r="BE809" s="539">
        <f>+BC809/BA808</f>
        <v>-0.24189682723735764</v>
      </c>
      <c r="BF809" s="537"/>
      <c r="BG809" s="537"/>
      <c r="BH809" s="533"/>
      <c r="BI809" s="500"/>
    </row>
    <row r="810" spans="2:61" ht="21" x14ac:dyDescent="0.4">
      <c r="B810" s="1">
        <f>+B806*50</f>
        <v>0</v>
      </c>
      <c r="D810" s="55"/>
      <c r="AT810" s="500"/>
      <c r="AU810" s="533"/>
      <c r="AV810" s="536" t="s">
        <v>152</v>
      </c>
      <c r="AW810" s="533"/>
      <c r="AX810" s="537"/>
      <c r="AY810" s="533"/>
      <c r="AZ810" s="533"/>
      <c r="BA810" s="538">
        <f>+N204</f>
        <v>1202331</v>
      </c>
      <c r="BB810" s="537"/>
      <c r="BC810" s="538">
        <f>+BA810-BA809</f>
        <v>-291600</v>
      </c>
      <c r="BD810" s="537"/>
      <c r="BE810" s="539">
        <f>+BC810/BA809</f>
        <v>-0.19518973767864781</v>
      </c>
      <c r="BF810" s="537"/>
      <c r="BG810" s="537"/>
      <c r="BH810" s="533"/>
      <c r="BI810" s="500"/>
    </row>
    <row r="811" spans="2:61" ht="21" x14ac:dyDescent="0.4">
      <c r="B811" s="1"/>
      <c r="D811" s="55"/>
      <c r="AT811" s="500"/>
      <c r="AU811" s="533"/>
      <c r="AV811" s="536" t="s">
        <v>153</v>
      </c>
      <c r="AW811" s="533"/>
      <c r="AX811" s="537"/>
      <c r="AY811" s="533"/>
      <c r="AZ811" s="540" t="s">
        <v>26</v>
      </c>
      <c r="BA811" s="538">
        <f>+N218</f>
        <v>371489</v>
      </c>
      <c r="BB811" s="537"/>
      <c r="BC811" s="538">
        <f>+BA811-BA810</f>
        <v>-830842</v>
      </c>
      <c r="BD811" s="537"/>
      <c r="BE811" s="539">
        <f>+BC811/BA810</f>
        <v>-0.69102601529861574</v>
      </c>
      <c r="BF811" s="537"/>
      <c r="BG811" s="539">
        <f>+(BA811-BA808)/BA808</f>
        <v>-0.81148594577231392</v>
      </c>
      <c r="BH811" s="533"/>
      <c r="BI811" s="500"/>
    </row>
    <row r="812" spans="2:61" x14ac:dyDescent="0.3">
      <c r="B812" s="1"/>
      <c r="D812" s="55"/>
      <c r="AT812" s="500"/>
      <c r="AU812" s="533"/>
      <c r="AV812" s="533"/>
      <c r="AW812" s="533"/>
      <c r="AX812" s="533"/>
      <c r="AY812" s="533"/>
      <c r="AZ812" s="533"/>
      <c r="BA812" s="533"/>
      <c r="BB812" s="533"/>
      <c r="BC812" s="533"/>
      <c r="BD812" s="533"/>
      <c r="BE812" s="533"/>
      <c r="BF812" s="533"/>
      <c r="BG812" s="533"/>
      <c r="BH812" s="533"/>
      <c r="BI812" s="500"/>
    </row>
    <row r="813" spans="2:61" ht="16.2" x14ac:dyDescent="0.3">
      <c r="B813" s="1"/>
      <c r="D813" s="55"/>
      <c r="AT813" s="500"/>
      <c r="AU813" s="533"/>
      <c r="AV813" s="533"/>
      <c r="AW813" s="533"/>
      <c r="AX813" s="541" t="s">
        <v>26</v>
      </c>
      <c r="AY813" s="533"/>
      <c r="AZ813" s="542" t="s">
        <v>154</v>
      </c>
      <c r="BA813" s="533"/>
      <c r="BB813" s="533"/>
      <c r="BC813" s="533"/>
      <c r="BD813" s="533"/>
      <c r="BE813" s="533"/>
      <c r="BF813" s="533"/>
      <c r="BG813" s="533"/>
      <c r="BH813" s="533"/>
      <c r="BI813" s="500"/>
    </row>
    <row r="814" spans="2:61" x14ac:dyDescent="0.3">
      <c r="B814" s="1"/>
      <c r="D814" s="55"/>
      <c r="AT814" s="500"/>
      <c r="AU814" s="533"/>
      <c r="AV814" s="533"/>
      <c r="AW814" s="533"/>
      <c r="AX814" s="533"/>
      <c r="AY814" s="533"/>
      <c r="AZ814" s="533"/>
      <c r="BA814" s="533"/>
      <c r="BB814" s="533"/>
      <c r="BC814" s="533"/>
      <c r="BD814" s="533"/>
      <c r="BE814" s="533"/>
      <c r="BF814" s="533"/>
      <c r="BG814" s="533"/>
      <c r="BH814" s="533"/>
      <c r="BI814" s="500"/>
    </row>
    <row r="815" spans="2:61" x14ac:dyDescent="0.3">
      <c r="B815" s="1"/>
      <c r="D815" s="55"/>
      <c r="AT815" s="532"/>
      <c r="AU815" s="532"/>
      <c r="AV815" s="532"/>
      <c r="AW815" s="532"/>
      <c r="AX815" s="532"/>
      <c r="AY815" s="532"/>
      <c r="AZ815" s="532"/>
      <c r="BA815" s="532"/>
      <c r="BB815" s="532"/>
      <c r="BC815" s="532"/>
      <c r="BD815" s="532"/>
      <c r="BE815" s="532"/>
      <c r="BF815" s="532"/>
      <c r="BG815" s="532"/>
      <c r="BH815" s="532"/>
      <c r="BI815" s="532"/>
    </row>
    <row r="816" spans="2:61" x14ac:dyDescent="0.3">
      <c r="B816" s="1"/>
      <c r="D816" s="55"/>
    </row>
    <row r="817" spans="2:61" x14ac:dyDescent="0.3">
      <c r="B817" s="1"/>
      <c r="D817" s="55"/>
      <c r="AS817" s="61"/>
      <c r="AT817" s="500"/>
      <c r="AU817" s="500"/>
      <c r="AV817" s="500"/>
      <c r="AW817" s="500"/>
      <c r="AX817" s="500"/>
      <c r="AY817" s="500"/>
      <c r="AZ817" s="500"/>
      <c r="BA817" s="500"/>
      <c r="BB817" s="500"/>
      <c r="BC817" s="500"/>
      <c r="BD817" s="500"/>
      <c r="BE817" s="500"/>
      <c r="BF817" s="500"/>
      <c r="BG817" s="500"/>
      <c r="BH817" s="500"/>
      <c r="BI817" s="500"/>
    </row>
    <row r="818" spans="2:61" x14ac:dyDescent="0.3">
      <c r="B818" s="1"/>
      <c r="D818" s="55"/>
      <c r="AT818" s="500"/>
      <c r="AU818" s="550"/>
      <c r="AV818" s="550"/>
      <c r="AW818" s="550"/>
      <c r="AX818" s="550"/>
      <c r="AY818" s="550"/>
      <c r="AZ818" s="550"/>
      <c r="BA818" s="550"/>
      <c r="BB818" s="550"/>
      <c r="BC818" s="550"/>
      <c r="BD818" s="550"/>
      <c r="BE818" s="550"/>
      <c r="BF818" s="550"/>
      <c r="BG818" s="550"/>
      <c r="BH818" s="550"/>
      <c r="BI818" s="500"/>
    </row>
    <row r="819" spans="2:61" ht="15" thickBot="1" x14ac:dyDescent="0.35">
      <c r="B819" s="1"/>
      <c r="D819" s="55"/>
      <c r="AT819" s="500"/>
      <c r="AU819" s="550"/>
      <c r="AV819" s="610" t="s">
        <v>160</v>
      </c>
      <c r="AW819" s="610"/>
      <c r="AX819" s="610"/>
      <c r="AY819" s="551"/>
      <c r="AZ819" s="551"/>
      <c r="BA819" s="552" t="s">
        <v>23</v>
      </c>
      <c r="BB819" s="553"/>
      <c r="BC819" s="552" t="s">
        <v>3</v>
      </c>
      <c r="BD819" s="553"/>
      <c r="BE819" s="552" t="s">
        <v>20</v>
      </c>
      <c r="BF819" s="553"/>
      <c r="BG819" s="552" t="s">
        <v>21</v>
      </c>
      <c r="BH819" s="550"/>
      <c r="BI819" s="500"/>
    </row>
    <row r="820" spans="2:61" x14ac:dyDescent="0.3">
      <c r="B820" s="1"/>
      <c r="AT820" s="500"/>
      <c r="AU820" s="550"/>
      <c r="AV820" s="551" t="s">
        <v>143</v>
      </c>
      <c r="AW820" s="551"/>
      <c r="AX820" s="551"/>
      <c r="AY820" s="551"/>
      <c r="AZ820" s="551"/>
      <c r="BA820" s="554">
        <f>+BK275</f>
        <v>13351981</v>
      </c>
      <c r="BB820" s="551"/>
      <c r="BC820" s="551"/>
      <c r="BD820" s="551"/>
      <c r="BE820" s="555">
        <f>+N143</f>
        <v>1970617</v>
      </c>
      <c r="BF820" s="551"/>
      <c r="BG820" s="556">
        <f>+BE820/BA820</f>
        <v>0.14758985951223269</v>
      </c>
      <c r="BH820" s="550"/>
      <c r="BI820" s="500"/>
    </row>
    <row r="821" spans="2:61" x14ac:dyDescent="0.3">
      <c r="B821" s="1"/>
      <c r="AT821" s="500"/>
      <c r="AU821" s="550"/>
      <c r="AV821" s="551"/>
      <c r="AW821" s="551"/>
      <c r="AX821" s="551"/>
      <c r="AY821" s="551"/>
      <c r="AZ821" s="551"/>
      <c r="BA821" s="554"/>
      <c r="BB821" s="551"/>
      <c r="BC821" s="551"/>
      <c r="BD821" s="551"/>
      <c r="BE821" s="551"/>
      <c r="BF821" s="551"/>
      <c r="BG821" s="556"/>
      <c r="BH821" s="550"/>
      <c r="BI821" s="500"/>
    </row>
    <row r="822" spans="2:61" x14ac:dyDescent="0.3">
      <c r="B822" s="1"/>
      <c r="AT822" s="500"/>
      <c r="AU822" s="550"/>
      <c r="AV822" s="551" t="s">
        <v>159</v>
      </c>
      <c r="AW822" s="551"/>
      <c r="AX822" s="551"/>
      <c r="AY822" s="551"/>
      <c r="AZ822" s="551"/>
      <c r="BA822" s="554">
        <v>52440389</v>
      </c>
      <c r="BB822" s="551"/>
      <c r="BC822" s="556">
        <f>+(BA822-BA820)/BA820</f>
        <v>2.9275362210296736</v>
      </c>
      <c r="BD822" s="551"/>
      <c r="BE822" s="555">
        <f>+N273</f>
        <v>1462688</v>
      </c>
      <c r="BF822" s="551"/>
      <c r="BG822" s="556">
        <f>+BE822/BA822</f>
        <v>2.7892394162064665E-2</v>
      </c>
      <c r="BH822" s="550"/>
      <c r="BI822" s="500"/>
    </row>
    <row r="823" spans="2:61" x14ac:dyDescent="0.3">
      <c r="B823" s="1"/>
      <c r="AT823" s="500"/>
      <c r="AU823" s="550"/>
      <c r="AV823" s="551"/>
      <c r="AW823" s="551"/>
      <c r="AX823" s="551"/>
      <c r="AY823" s="551"/>
      <c r="AZ823" s="551"/>
      <c r="BA823" s="554"/>
      <c r="BB823" s="551"/>
      <c r="BC823" s="551"/>
      <c r="BD823" s="551"/>
      <c r="BE823" s="551"/>
      <c r="BF823" s="551"/>
      <c r="BG823" s="551"/>
      <c r="BH823" s="550"/>
      <c r="BI823" s="500"/>
    </row>
    <row r="824" spans="2:61" x14ac:dyDescent="0.3">
      <c r="B824" s="1"/>
      <c r="AT824" s="500"/>
      <c r="AU824" s="550"/>
      <c r="AV824" s="631" t="s">
        <v>105</v>
      </c>
      <c r="AW824" s="631"/>
      <c r="AX824" s="631"/>
      <c r="AY824" s="631"/>
      <c r="AZ824" s="551"/>
      <c r="BA824" s="555">
        <f>+BA822-BA820</f>
        <v>39088408</v>
      </c>
      <c r="BB824" s="551"/>
      <c r="BC824" s="551"/>
      <c r="BD824" s="551"/>
      <c r="BE824" s="555">
        <f>+BE822-BE820</f>
        <v>-507929</v>
      </c>
      <c r="BF824" s="551"/>
      <c r="BG824" s="558"/>
      <c r="BH824" s="550"/>
      <c r="BI824" s="500"/>
    </row>
    <row r="825" spans="2:61" x14ac:dyDescent="0.3">
      <c r="B825" s="1"/>
      <c r="AT825" s="500"/>
      <c r="AU825" s="550"/>
      <c r="AV825" s="550"/>
      <c r="AW825" s="550"/>
      <c r="AX825" s="550"/>
      <c r="AY825" s="550"/>
      <c r="AZ825" s="550"/>
      <c r="BA825" s="550"/>
      <c r="BB825" s="550"/>
      <c r="BC825" s="550"/>
      <c r="BD825" s="550"/>
      <c r="BE825" s="550"/>
      <c r="BF825" s="550"/>
      <c r="BG825" s="550"/>
      <c r="BH825" s="550"/>
      <c r="BI825" s="500"/>
    </row>
    <row r="826" spans="2:61" x14ac:dyDescent="0.3">
      <c r="B826" s="1"/>
      <c r="AT826" s="500"/>
      <c r="AU826" s="500"/>
      <c r="AV826" s="500"/>
      <c r="AW826" s="500"/>
      <c r="AX826" s="500"/>
      <c r="AY826" s="500"/>
      <c r="AZ826" s="500"/>
      <c r="BA826" s="500"/>
      <c r="BB826" s="500"/>
      <c r="BC826" s="500"/>
      <c r="BD826" s="500"/>
      <c r="BE826" s="557"/>
      <c r="BF826" s="500"/>
      <c r="BG826" s="507"/>
      <c r="BH826" s="500"/>
      <c r="BI826" s="500"/>
    </row>
    <row r="827" spans="2:61" x14ac:dyDescent="0.3">
      <c r="B827" s="1"/>
    </row>
    <row r="828" spans="2:61" x14ac:dyDescent="0.3">
      <c r="B828" s="1"/>
    </row>
    <row r="829" spans="2:61" x14ac:dyDescent="0.3">
      <c r="B829" s="1"/>
      <c r="H829" s="1">
        <v>4000000</v>
      </c>
      <c r="AR829" s="500"/>
      <c r="AS829" s="500"/>
      <c r="AT829" s="500"/>
      <c r="AU829" s="500"/>
      <c r="AV829" s="500"/>
      <c r="AW829" s="500"/>
      <c r="AX829" s="500"/>
      <c r="AY829" s="500"/>
      <c r="AZ829" s="500"/>
      <c r="BA829" s="500"/>
      <c r="BB829" s="500"/>
      <c r="BC829" s="500"/>
      <c r="BD829" s="500"/>
      <c r="BE829" s="500"/>
      <c r="BF829" s="500"/>
      <c r="BG829" s="500"/>
      <c r="BH829" s="500"/>
      <c r="BI829" s="500"/>
    </row>
    <row r="830" spans="2:61" ht="15.6" x14ac:dyDescent="0.3">
      <c r="B830" s="1"/>
      <c r="H830" s="1"/>
      <c r="AR830" s="500"/>
      <c r="AS830" s="626" t="s">
        <v>170</v>
      </c>
      <c r="AT830" s="626"/>
      <c r="AU830" s="626"/>
      <c r="AV830" s="626"/>
      <c r="AW830" s="626"/>
      <c r="AX830" s="626"/>
      <c r="AY830" s="626"/>
      <c r="AZ830" s="626"/>
      <c r="BA830" s="626"/>
      <c r="BB830" s="626"/>
      <c r="BC830" s="626"/>
      <c r="BD830" s="626"/>
      <c r="BE830" s="626"/>
      <c r="BF830" s="626"/>
      <c r="BG830" s="626"/>
      <c r="BH830" s="626"/>
      <c r="BI830" s="500"/>
    </row>
    <row r="831" spans="2:61" x14ac:dyDescent="0.3">
      <c r="H831" s="1">
        <f>+H829/7</f>
        <v>571428.57142857148</v>
      </c>
      <c r="AR831" s="500"/>
      <c r="AS831" s="533"/>
      <c r="AT831" s="561"/>
      <c r="AU831" s="561"/>
      <c r="AV831" s="561"/>
      <c r="AW831" s="561"/>
      <c r="AX831" s="561"/>
      <c r="AY831" s="561"/>
      <c r="AZ831" s="561"/>
      <c r="BA831" s="561"/>
      <c r="BB831" s="561"/>
      <c r="BC831" s="561"/>
      <c r="BD831" s="561"/>
      <c r="BE831" s="632" t="s">
        <v>166</v>
      </c>
      <c r="BF831" s="561"/>
      <c r="BG831" s="638" t="s">
        <v>167</v>
      </c>
      <c r="BH831" s="533"/>
      <c r="BI831" s="500"/>
    </row>
    <row r="832" spans="2:61" x14ac:dyDescent="0.3">
      <c r="AR832" s="500"/>
      <c r="AS832" s="533"/>
      <c r="AT832" s="608" t="s">
        <v>19</v>
      </c>
      <c r="AU832" s="608"/>
      <c r="AV832" s="608"/>
      <c r="AW832" s="608"/>
      <c r="AX832" s="608"/>
      <c r="AY832" s="608"/>
      <c r="AZ832" s="561"/>
      <c r="BA832" s="560" t="s">
        <v>20</v>
      </c>
      <c r="BB832" s="561"/>
      <c r="BC832" s="560" t="s">
        <v>165</v>
      </c>
      <c r="BD832" s="561"/>
      <c r="BE832" s="633"/>
      <c r="BF832" s="561"/>
      <c r="BG832" s="636"/>
      <c r="BH832" s="533"/>
      <c r="BI832" s="500"/>
    </row>
    <row r="833" spans="4:72" x14ac:dyDescent="0.3">
      <c r="H833" t="s">
        <v>168</v>
      </c>
      <c r="J833">
        <v>28</v>
      </c>
      <c r="N833" s="1">
        <f>+H831*J833</f>
        <v>16000000.000000002</v>
      </c>
      <c r="AR833" s="500"/>
      <c r="AS833" s="533"/>
      <c r="AT833" s="628" t="s">
        <v>162</v>
      </c>
      <c r="AU833" s="628"/>
      <c r="AV833" s="628"/>
      <c r="AW833" s="628"/>
      <c r="AX833" s="628"/>
      <c r="AY833" s="561"/>
      <c r="AZ833" s="561"/>
      <c r="BA833" s="562">
        <f>+H174</f>
        <v>6826001</v>
      </c>
      <c r="BB833" s="561"/>
      <c r="BC833" s="561">
        <v>10</v>
      </c>
      <c r="BD833" s="561"/>
      <c r="BE833" s="563">
        <f>+BA833*BC833</f>
        <v>68260010</v>
      </c>
      <c r="BF833" s="561"/>
      <c r="BG833" s="561"/>
      <c r="BH833" s="533"/>
      <c r="BI833" s="500"/>
      <c r="BP833" s="56">
        <f>+BE833-BA833</f>
        <v>61434009</v>
      </c>
    </row>
    <row r="834" spans="4:72" x14ac:dyDescent="0.3">
      <c r="D834" s="56">
        <f>+N833+N834</f>
        <v>33714285.714285716</v>
      </c>
      <c r="H834" t="s">
        <v>169</v>
      </c>
      <c r="J834">
        <v>31</v>
      </c>
      <c r="N834" s="1">
        <f>+J834*H$831</f>
        <v>17714285.714285716</v>
      </c>
      <c r="AR834" s="500"/>
      <c r="AS834" s="533"/>
      <c r="AT834" s="628" t="s">
        <v>171</v>
      </c>
      <c r="AU834" s="628"/>
      <c r="AV834" s="628"/>
      <c r="AW834" s="628"/>
      <c r="AX834" s="628"/>
      <c r="AY834" s="561"/>
      <c r="AZ834" s="561"/>
      <c r="BA834" s="562">
        <f>+BA846-BA833</f>
        <v>3109228</v>
      </c>
      <c r="BB834" s="561"/>
      <c r="BC834" s="561">
        <v>5</v>
      </c>
      <c r="BD834" s="561"/>
      <c r="BE834" s="563">
        <f>+BA834*BC834</f>
        <v>15546140</v>
      </c>
      <c r="BF834" s="561"/>
      <c r="BG834" s="561"/>
      <c r="BH834" s="533"/>
      <c r="BI834" s="500"/>
      <c r="BP834" s="56">
        <f>+BE834-BA834</f>
        <v>12436912</v>
      </c>
    </row>
    <row r="835" spans="4:72" x14ac:dyDescent="0.3">
      <c r="D835" s="56">
        <f>+D834+N835</f>
        <v>50857142.857142866</v>
      </c>
      <c r="H835" t="s">
        <v>138</v>
      </c>
      <c r="J835">
        <v>30</v>
      </c>
      <c r="N835" s="1">
        <f>+J835*H$831</f>
        <v>17142857.142857146</v>
      </c>
      <c r="AR835" s="500"/>
      <c r="AS835" s="533"/>
      <c r="AT835" s="628" t="s">
        <v>163</v>
      </c>
      <c r="AU835" s="628"/>
      <c r="AV835" s="628"/>
      <c r="AW835" s="628"/>
      <c r="AX835" s="628"/>
      <c r="AY835" s="628"/>
      <c r="AZ835" s="628"/>
      <c r="BA835" s="562">
        <f>+BA848-BA846</f>
        <v>16784558</v>
      </c>
      <c r="BB835" s="561"/>
      <c r="BC835" s="561">
        <v>1</v>
      </c>
      <c r="BD835" s="561"/>
      <c r="BE835" s="563">
        <f>+BC835*BA835</f>
        <v>16784558</v>
      </c>
      <c r="BF835" s="561"/>
      <c r="BG835" s="561"/>
      <c r="BH835" s="533"/>
      <c r="BI835" s="500"/>
      <c r="BP835" s="56">
        <f>+BE835-BA835</f>
        <v>0</v>
      </c>
    </row>
    <row r="836" spans="4:72" x14ac:dyDescent="0.3">
      <c r="D836" s="56">
        <f>+D835+N836</f>
        <v>68571428.571428582</v>
      </c>
      <c r="H836" t="s">
        <v>139</v>
      </c>
      <c r="J836">
        <v>31</v>
      </c>
      <c r="N836" s="1">
        <f>+J836*H$831</f>
        <v>17714285.714285716</v>
      </c>
      <c r="AR836" s="500"/>
      <c r="AS836" s="533"/>
      <c r="AT836" s="569" t="s">
        <v>183</v>
      </c>
      <c r="AU836" s="561"/>
      <c r="AV836" s="561"/>
      <c r="AW836" s="561"/>
      <c r="AX836" s="561"/>
      <c r="AY836" s="561"/>
      <c r="AZ836" s="561"/>
      <c r="BA836" s="562">
        <f>SUM(D328:D386)</f>
        <v>4197929</v>
      </c>
      <c r="BB836" s="561"/>
      <c r="BC836" s="561">
        <v>1</v>
      </c>
      <c r="BD836" s="561"/>
      <c r="BE836" s="563">
        <f>+BC836*BA836</f>
        <v>4197929</v>
      </c>
      <c r="BF836" s="561"/>
      <c r="BG836" s="561"/>
      <c r="BH836" s="533"/>
      <c r="BI836" s="500"/>
      <c r="BP836" s="56">
        <f>+BE836-BA836</f>
        <v>0</v>
      </c>
    </row>
    <row r="837" spans="4:72" x14ac:dyDescent="0.3">
      <c r="D837" s="56"/>
      <c r="N837" s="1"/>
      <c r="AR837" s="500"/>
      <c r="AS837" s="533"/>
      <c r="AT837" s="569" t="s">
        <v>188</v>
      </c>
      <c r="AU837" s="561"/>
      <c r="AV837" s="561"/>
      <c r="AW837" s="561"/>
      <c r="AX837" s="561"/>
      <c r="AY837" s="561"/>
      <c r="AZ837" s="561"/>
      <c r="BA837" s="562">
        <f>SUM(D387:D509)</f>
        <v>4225210</v>
      </c>
      <c r="BB837" s="561"/>
      <c r="BC837" s="561">
        <v>1</v>
      </c>
      <c r="BD837" s="561"/>
      <c r="BE837" s="563">
        <f>+BC837*BA837</f>
        <v>4225210</v>
      </c>
      <c r="BF837" s="561"/>
      <c r="BG837" s="561"/>
      <c r="BH837" s="533"/>
      <c r="BI837" s="500"/>
      <c r="BP837" s="56"/>
    </row>
    <row r="838" spans="4:72" x14ac:dyDescent="0.3">
      <c r="AR838" s="500"/>
      <c r="AS838" s="533"/>
      <c r="AT838" s="628" t="s">
        <v>189</v>
      </c>
      <c r="AU838" s="628"/>
      <c r="AV838" s="628"/>
      <c r="AW838" s="628"/>
      <c r="AX838" s="628"/>
      <c r="AY838" s="628"/>
      <c r="AZ838" s="628"/>
      <c r="BA838" s="585">
        <f>SUM(D510:D635)</f>
        <v>11511436</v>
      </c>
      <c r="BB838" s="561"/>
      <c r="BC838" s="561"/>
      <c r="BD838" s="561"/>
      <c r="BE838" s="563"/>
      <c r="BF838" s="561"/>
      <c r="BG838" s="561"/>
      <c r="BH838" s="533"/>
      <c r="BI838" s="500"/>
      <c r="BP838" s="56">
        <f>+BA836-BA837</f>
        <v>-27281</v>
      </c>
    </row>
    <row r="839" spans="4:72" ht="15" thickBot="1" x14ac:dyDescent="0.35">
      <c r="D839" s="56">
        <f>+BE839+D836</f>
        <v>177585275.5714286</v>
      </c>
      <c r="H839" s="59">
        <f>+D839/320000000</f>
        <v>0.55495398616071434</v>
      </c>
      <c r="AR839" s="500"/>
      <c r="AS839" s="533"/>
      <c r="AT839" s="561"/>
      <c r="AU839" s="561"/>
      <c r="AV839" s="561"/>
      <c r="AW839" s="561"/>
      <c r="AX839" s="561"/>
      <c r="AY839" s="561"/>
      <c r="AZ839" s="561"/>
      <c r="BA839" s="564">
        <f>SUM(BA833:BA838)</f>
        <v>46654362</v>
      </c>
      <c r="BB839" s="561"/>
      <c r="BC839" s="561"/>
      <c r="BD839" s="561"/>
      <c r="BE839" s="564">
        <f>SUM(BE833:BE838)</f>
        <v>109013847</v>
      </c>
      <c r="BF839" s="561"/>
      <c r="BG839" s="565">
        <f>+BE839/320000000</f>
        <v>0.34066827187499998</v>
      </c>
      <c r="BH839" s="533"/>
      <c r="BI839" s="500"/>
      <c r="BP839" s="59">
        <f>+BP838/BA836</f>
        <v>-6.4986806589630271E-3</v>
      </c>
    </row>
    <row r="840" spans="4:72" ht="15" thickTop="1" x14ac:dyDescent="0.3">
      <c r="D840" s="56"/>
      <c r="H840" s="59"/>
      <c r="AR840" s="500"/>
      <c r="AS840" s="533"/>
      <c r="AT840" s="575" t="s">
        <v>185</v>
      </c>
      <c r="AU840" s="561"/>
      <c r="AV840" s="561"/>
      <c r="AW840" s="561"/>
      <c r="AX840" s="561"/>
      <c r="AY840" s="561"/>
      <c r="AZ840" s="561"/>
      <c r="BA840" s="484">
        <f>+BY860</f>
        <v>0.61144144144144141</v>
      </c>
      <c r="BB840" s="561"/>
      <c r="BC840" s="561"/>
      <c r="BD840" s="561"/>
      <c r="BE840" s="574"/>
      <c r="BF840" s="561"/>
      <c r="BG840" s="484"/>
      <c r="BH840" s="533"/>
      <c r="BI840" s="500"/>
      <c r="BP840" s="59"/>
    </row>
    <row r="841" spans="4:72" x14ac:dyDescent="0.3">
      <c r="D841" s="56"/>
      <c r="H841" s="59"/>
      <c r="AR841" s="500"/>
      <c r="AS841" s="533"/>
      <c r="AT841" s="575" t="s">
        <v>187</v>
      </c>
      <c r="AU841" s="561"/>
      <c r="AV841" s="561"/>
      <c r="AW841" s="561"/>
      <c r="AX841" s="561"/>
      <c r="AY841" s="561"/>
      <c r="AZ841" s="561"/>
      <c r="BA841" s="576">
        <f>+BA839*BA840</f>
        <v>28526410.350810811</v>
      </c>
      <c r="BB841" s="561"/>
      <c r="BC841" s="561"/>
      <c r="BD841" s="561"/>
      <c r="BE841" s="574"/>
      <c r="BF841" s="561"/>
      <c r="BG841" s="484"/>
      <c r="BH841" s="533"/>
      <c r="BI841" s="500"/>
      <c r="BP841" s="59"/>
    </row>
    <row r="842" spans="4:72" ht="15" thickBot="1" x14ac:dyDescent="0.35">
      <c r="D842" s="56"/>
      <c r="H842" s="59"/>
      <c r="AR842" s="500"/>
      <c r="AS842" s="533"/>
      <c r="AT842" s="575" t="s">
        <v>186</v>
      </c>
      <c r="AU842" s="561"/>
      <c r="AV842" s="561"/>
      <c r="AW842" s="561"/>
      <c r="AX842" s="561"/>
      <c r="AY842" s="561"/>
      <c r="AZ842" s="561"/>
      <c r="BA842" s="564">
        <f>+BA839-BA841</f>
        <v>18127951.649189189</v>
      </c>
      <c r="BB842" s="561"/>
      <c r="BC842" s="561"/>
      <c r="BD842" s="561"/>
      <c r="BE842" s="574"/>
      <c r="BF842" s="561"/>
      <c r="BG842" s="484"/>
      <c r="BH842" s="533"/>
      <c r="BI842" s="500"/>
      <c r="BP842" s="59"/>
    </row>
    <row r="843" spans="4:72" ht="15" thickTop="1" x14ac:dyDescent="0.3">
      <c r="AR843" s="500"/>
      <c r="AS843" s="533"/>
      <c r="AT843" s="561"/>
      <c r="AU843" s="561"/>
      <c r="AV843" s="561"/>
      <c r="AW843" s="561"/>
      <c r="AX843" s="561"/>
      <c r="AY843" s="561"/>
      <c r="AZ843" s="561"/>
      <c r="BA843" s="561"/>
      <c r="BB843" s="561"/>
      <c r="BC843" s="561"/>
      <c r="BD843" s="561"/>
      <c r="BE843" s="561"/>
      <c r="BF843" s="561"/>
      <c r="BG843" s="561"/>
      <c r="BH843" s="533"/>
      <c r="BI843" s="500"/>
      <c r="BP843">
        <v>35761323</v>
      </c>
      <c r="BR843" s="56">
        <f>+BA839-BP843</f>
        <v>10893039</v>
      </c>
    </row>
    <row r="844" spans="4:72" x14ac:dyDescent="0.3">
      <c r="AR844" s="500"/>
      <c r="AS844" s="500"/>
      <c r="AT844" s="500"/>
      <c r="AU844" s="500"/>
      <c r="AV844" s="500"/>
      <c r="AW844" s="500"/>
      <c r="AX844" s="500"/>
      <c r="AY844" s="500"/>
      <c r="AZ844" s="500"/>
      <c r="BA844" s="500"/>
      <c r="BB844" s="500"/>
      <c r="BC844" s="500"/>
      <c r="BD844" s="500"/>
      <c r="BE844" s="500"/>
      <c r="BF844" s="500"/>
      <c r="BG844" s="500"/>
      <c r="BH844" s="500"/>
      <c r="BI844" s="500"/>
    </row>
    <row r="845" spans="4:72" x14ac:dyDescent="0.3">
      <c r="BP845" s="586">
        <v>221538504.58886749</v>
      </c>
      <c r="BQ845" s="587"/>
      <c r="BR845" s="587"/>
      <c r="BS845" s="587"/>
      <c r="BT845" s="587"/>
    </row>
    <row r="846" spans="4:72" x14ac:dyDescent="0.3">
      <c r="AV846" t="s">
        <v>153</v>
      </c>
      <c r="BA846" s="56">
        <f>+H235</f>
        <v>9935229</v>
      </c>
    </row>
    <row r="848" spans="4:72" x14ac:dyDescent="0.3">
      <c r="AV848" t="s">
        <v>164</v>
      </c>
      <c r="BA848" s="56">
        <f>+H327</f>
        <v>26719787</v>
      </c>
    </row>
    <row r="849" spans="44:90" x14ac:dyDescent="0.3">
      <c r="BA849" s="56"/>
    </row>
    <row r="850" spans="44:90" x14ac:dyDescent="0.3">
      <c r="AR850" s="500"/>
      <c r="AS850" s="500"/>
      <c r="AT850" s="500"/>
      <c r="AU850" s="500"/>
      <c r="AV850" s="500"/>
      <c r="AW850" s="500"/>
      <c r="AX850" s="500"/>
      <c r="AY850" s="500"/>
      <c r="AZ850" s="500"/>
      <c r="BA850" s="557"/>
      <c r="BB850" s="500"/>
      <c r="BC850" s="500"/>
      <c r="BD850" s="500"/>
      <c r="BE850" s="500"/>
      <c r="BF850" s="500"/>
      <c r="BG850" s="500"/>
      <c r="BH850" s="500"/>
      <c r="BI850" s="500"/>
      <c r="BJ850" s="500"/>
      <c r="BK850" s="500"/>
      <c r="BL850" s="500"/>
      <c r="BM850" s="500"/>
      <c r="BN850" s="500"/>
      <c r="BO850" s="500"/>
      <c r="BP850" s="500"/>
      <c r="BQ850" s="500"/>
      <c r="BR850" s="500"/>
      <c r="BS850" s="500"/>
      <c r="BT850" s="500"/>
      <c r="BU850" s="500"/>
      <c r="BV850" s="500"/>
      <c r="BW850" s="500"/>
    </row>
    <row r="851" spans="44:90" ht="14.4" customHeight="1" x14ac:dyDescent="0.3">
      <c r="AR851" s="500"/>
      <c r="AS851" s="533"/>
      <c r="AT851" s="608" t="s">
        <v>176</v>
      </c>
      <c r="AU851" s="608"/>
      <c r="AV851" s="608"/>
      <c r="AW851" s="608"/>
      <c r="AX851" s="608"/>
      <c r="AY851" s="608"/>
      <c r="AZ851" s="608"/>
      <c r="BA851" s="608"/>
      <c r="BB851" s="608"/>
      <c r="BC851" s="608"/>
      <c r="BD851" s="608"/>
      <c r="BE851" s="608"/>
      <c r="BF851" s="608"/>
      <c r="BG851" s="608"/>
      <c r="BH851" s="608"/>
      <c r="BI851" s="608"/>
      <c r="BJ851" s="608"/>
      <c r="BK851" s="608"/>
      <c r="BL851" s="608"/>
      <c r="BM851" s="608"/>
      <c r="BN851" s="608"/>
      <c r="BO851" s="608"/>
      <c r="BP851" s="608"/>
      <c r="BQ851" s="608"/>
      <c r="BR851" s="608"/>
      <c r="BS851" s="608"/>
      <c r="BT851" s="608"/>
      <c r="BU851" s="608"/>
      <c r="BV851" s="608"/>
      <c r="BW851" s="500"/>
    </row>
    <row r="852" spans="44:90" ht="14.4" customHeight="1" x14ac:dyDescent="0.3">
      <c r="AR852" s="500"/>
      <c r="AS852" s="533"/>
      <c r="AT852" s="533"/>
      <c r="AU852" s="533"/>
      <c r="AV852" s="533"/>
      <c r="AW852" s="533"/>
      <c r="AX852" s="533"/>
      <c r="AY852" s="533"/>
      <c r="AZ852" s="533"/>
      <c r="BA852" s="629" t="s">
        <v>172</v>
      </c>
      <c r="BB852" s="629"/>
      <c r="BC852" s="629"/>
      <c r="BD852" s="629"/>
      <c r="BE852" s="629"/>
      <c r="BF852" s="561"/>
      <c r="BG852" s="608" t="s">
        <v>180</v>
      </c>
      <c r="BH852" s="608"/>
      <c r="BI852" s="608"/>
      <c r="BJ852" s="608"/>
      <c r="BK852" s="608"/>
      <c r="BL852" s="608"/>
      <c r="BM852" s="608"/>
      <c r="BN852" s="608"/>
      <c r="BO852" s="608"/>
      <c r="BP852" s="608"/>
      <c r="BQ852" s="533"/>
      <c r="BR852" s="635" t="s">
        <v>176</v>
      </c>
      <c r="BS852" s="635"/>
      <c r="BT852" s="635"/>
      <c r="BU852" s="635"/>
      <c r="BV852" s="635"/>
      <c r="BW852" s="500"/>
    </row>
    <row r="853" spans="44:90" x14ac:dyDescent="0.3">
      <c r="AR853" s="500"/>
      <c r="AS853" s="533"/>
      <c r="AT853" s="533"/>
      <c r="AU853" s="533"/>
      <c r="AV853" s="533"/>
      <c r="AW853" s="533"/>
      <c r="AX853" s="533"/>
      <c r="AY853" s="533"/>
      <c r="AZ853" s="533"/>
      <c r="BA853" s="570" t="s">
        <v>177</v>
      </c>
      <c r="BB853" s="571"/>
      <c r="BC853" s="572" t="s">
        <v>182</v>
      </c>
      <c r="BD853" s="571"/>
      <c r="BE853" s="572" t="s">
        <v>178</v>
      </c>
      <c r="BF853" s="561"/>
      <c r="BG853" s="570"/>
      <c r="BH853" s="571"/>
      <c r="BI853" s="630"/>
      <c r="BJ853" s="630"/>
      <c r="BK853" s="630"/>
      <c r="BL853" s="630"/>
      <c r="BM853" s="630"/>
      <c r="BN853" s="630"/>
      <c r="BO853" s="473"/>
      <c r="BP853" s="572"/>
      <c r="BQ853" s="533"/>
      <c r="BR853" s="636"/>
      <c r="BS853" s="636"/>
      <c r="BT853" s="636"/>
      <c r="BU853" s="636"/>
      <c r="BV853" s="636"/>
      <c r="BW853" s="500"/>
    </row>
    <row r="854" spans="44:90" x14ac:dyDescent="0.3">
      <c r="AR854" s="500"/>
      <c r="AS854" s="533"/>
      <c r="AT854" s="533"/>
      <c r="AU854" s="533"/>
      <c r="AV854" s="533"/>
      <c r="AW854" s="533"/>
      <c r="AX854" s="533"/>
      <c r="AY854" s="533"/>
      <c r="AZ854" s="533"/>
      <c r="BA854" s="568" t="s">
        <v>173</v>
      </c>
      <c r="BB854" s="566"/>
      <c r="BC854" s="568" t="s">
        <v>175</v>
      </c>
      <c r="BD854" s="566"/>
      <c r="BE854" s="568" t="s">
        <v>174</v>
      </c>
      <c r="BF854" s="561"/>
      <c r="BG854" s="567" t="s">
        <v>180</v>
      </c>
      <c r="BH854" s="561"/>
      <c r="BI854" s="595" t="s">
        <v>184</v>
      </c>
      <c r="BJ854" s="595"/>
      <c r="BK854" s="595"/>
      <c r="BL854" s="595"/>
      <c r="BM854" s="595"/>
      <c r="BN854" s="595"/>
      <c r="BO854" s="561"/>
      <c r="BP854" s="568" t="s">
        <v>181</v>
      </c>
      <c r="BQ854" s="533"/>
      <c r="BR854" s="637" t="s">
        <v>179</v>
      </c>
      <c r="BS854" s="637"/>
      <c r="BT854" s="637"/>
      <c r="BU854" s="637"/>
      <c r="BV854" s="637"/>
      <c r="BW854" s="500"/>
    </row>
    <row r="855" spans="44:90" x14ac:dyDescent="0.3">
      <c r="AR855" s="500"/>
      <c r="AS855" s="533"/>
      <c r="AT855" s="628" t="s">
        <v>162</v>
      </c>
      <c r="AU855" s="628"/>
      <c r="AV855" s="628"/>
      <c r="AW855" s="628"/>
      <c r="AX855" s="628"/>
      <c r="AY855" s="561"/>
      <c r="AZ855" s="561"/>
      <c r="BA855" s="562">
        <f>+BA833</f>
        <v>6826001</v>
      </c>
      <c r="BB855" s="561"/>
      <c r="BC855" s="562">
        <f>+BE855-BA855</f>
        <v>61434009</v>
      </c>
      <c r="BD855" s="561"/>
      <c r="BE855" s="562">
        <f>+BE833</f>
        <v>68260010</v>
      </c>
      <c r="BF855" s="533"/>
      <c r="BG855" s="563">
        <v>0</v>
      </c>
      <c r="BH855" s="563"/>
      <c r="BI855" s="563"/>
      <c r="BJ855" s="563"/>
      <c r="BK855" s="563"/>
      <c r="BL855" s="563"/>
      <c r="BM855" s="563"/>
      <c r="BN855" s="563">
        <f>+BG855</f>
        <v>0</v>
      </c>
      <c r="BO855" s="563"/>
      <c r="BP855" s="563">
        <f>+BN855*0.5</f>
        <v>0</v>
      </c>
      <c r="BQ855" s="561"/>
      <c r="BR855" s="586">
        <f t="shared" ref="BR855:BR860" si="1830">+BE855+BP855</f>
        <v>68260010</v>
      </c>
      <c r="BS855" s="587"/>
      <c r="BT855" s="587"/>
      <c r="BU855" s="587"/>
      <c r="BV855" s="587"/>
      <c r="BW855" s="500"/>
      <c r="CA855" s="56">
        <f>+BR855</f>
        <v>68260010</v>
      </c>
    </row>
    <row r="856" spans="44:90" x14ac:dyDescent="0.3">
      <c r="AR856" s="500"/>
      <c r="AS856" s="533"/>
      <c r="AT856" s="628" t="s">
        <v>171</v>
      </c>
      <c r="AU856" s="628"/>
      <c r="AV856" s="628"/>
      <c r="AW856" s="628"/>
      <c r="AX856" s="628"/>
      <c r="AY856" s="561"/>
      <c r="AZ856" s="561"/>
      <c r="BA856" s="562">
        <f>+BA855+BA834</f>
        <v>9935229</v>
      </c>
      <c r="BB856" s="561"/>
      <c r="BC856" s="562">
        <f>+BE856-BA856</f>
        <v>73870921</v>
      </c>
      <c r="BD856" s="561"/>
      <c r="BE856" s="562">
        <f>+BE855+BE834</f>
        <v>83806150</v>
      </c>
      <c r="BF856" s="533"/>
      <c r="BG856" s="563">
        <v>0</v>
      </c>
      <c r="BH856" s="563"/>
      <c r="BI856" s="563"/>
      <c r="BJ856" s="563"/>
      <c r="BK856" s="563"/>
      <c r="BL856" s="563"/>
      <c r="BM856" s="563"/>
      <c r="BN856" s="563">
        <f>+BN855+BG856</f>
        <v>0</v>
      </c>
      <c r="BO856" s="563"/>
      <c r="BP856" s="563">
        <f>+BN856*0.5</f>
        <v>0</v>
      </c>
      <c r="BQ856" s="561"/>
      <c r="BR856" s="586">
        <f t="shared" si="1830"/>
        <v>83806150</v>
      </c>
      <c r="BS856" s="587"/>
      <c r="BT856" s="587"/>
      <c r="BU856" s="587"/>
      <c r="BV856" s="587"/>
      <c r="BW856" s="500"/>
    </row>
    <row r="857" spans="44:90" x14ac:dyDescent="0.3">
      <c r="AR857" s="500"/>
      <c r="AS857" s="533"/>
      <c r="AT857" s="628" t="s">
        <v>163</v>
      </c>
      <c r="AU857" s="628"/>
      <c r="AV857" s="628"/>
      <c r="AW857" s="628"/>
      <c r="AX857" s="628"/>
      <c r="AY857" s="628"/>
      <c r="AZ857" s="628"/>
      <c r="BA857" s="562">
        <f>+BA856+BA835</f>
        <v>26719787</v>
      </c>
      <c r="BB857" s="561"/>
      <c r="BC857" s="562">
        <f>(+BE857-BA857)*(1-0.2)</f>
        <v>59096736.800000004</v>
      </c>
      <c r="BD857" s="561"/>
      <c r="BE857" s="562">
        <f>+BE856+BE835</f>
        <v>100590708</v>
      </c>
      <c r="BF857" s="533"/>
      <c r="BG857" s="563">
        <f>13400000+5660000</f>
        <v>19060000</v>
      </c>
      <c r="BH857" s="563"/>
      <c r="BI857" s="588"/>
      <c r="BJ857" s="588"/>
      <c r="BK857" s="588"/>
      <c r="BL857" s="588"/>
      <c r="BM857" s="588"/>
      <c r="BN857" s="588"/>
      <c r="BO857" s="563"/>
      <c r="BP857" s="563">
        <f>+BG857</f>
        <v>19060000</v>
      </c>
      <c r="BQ857" s="561"/>
      <c r="BR857" s="586">
        <f t="shared" si="1830"/>
        <v>119650708</v>
      </c>
      <c r="BS857" s="587"/>
      <c r="BT857" s="587"/>
      <c r="BU857" s="587"/>
      <c r="BV857" s="587"/>
      <c r="BW857" s="500"/>
    </row>
    <row r="858" spans="44:90" x14ac:dyDescent="0.3">
      <c r="AR858" s="500"/>
      <c r="AS858" s="533"/>
      <c r="AT858" s="569" t="s">
        <v>183</v>
      </c>
      <c r="AU858" s="561"/>
      <c r="AV858" s="561"/>
      <c r="AW858" s="561"/>
      <c r="AX858" s="561"/>
      <c r="AY858" s="561"/>
      <c r="AZ858" s="561"/>
      <c r="BA858" s="562">
        <f>+BA857+BA836</f>
        <v>30917716</v>
      </c>
      <c r="BB858" s="561"/>
      <c r="BC858" s="562">
        <f>(+BE858-BA858)*(1-0.34)</f>
        <v>48754807.859999992</v>
      </c>
      <c r="BD858" s="561"/>
      <c r="BE858" s="562">
        <f>+BE857+BE836</f>
        <v>104788637</v>
      </c>
      <c r="BF858" s="533"/>
      <c r="BG858" s="563">
        <f>53420000-BG857</f>
        <v>34360000</v>
      </c>
      <c r="BH858" s="563"/>
      <c r="BI858" s="588"/>
      <c r="BJ858" s="588"/>
      <c r="BK858" s="588"/>
      <c r="BL858" s="588"/>
      <c r="BM858" s="588"/>
      <c r="BN858" s="588"/>
      <c r="BO858" s="563"/>
      <c r="BP858" s="563">
        <f>+BP857+BG858</f>
        <v>53420000</v>
      </c>
      <c r="BQ858" s="561"/>
      <c r="BR858" s="586">
        <f t="shared" si="1830"/>
        <v>158208637</v>
      </c>
      <c r="BS858" s="587"/>
      <c r="BT858" s="587"/>
      <c r="BU858" s="587"/>
      <c r="BV858" s="587"/>
      <c r="BW858" s="500"/>
    </row>
    <row r="859" spans="44:90" x14ac:dyDescent="0.3">
      <c r="AR859" s="500"/>
      <c r="AS859" s="533"/>
      <c r="AT859" s="569" t="s">
        <v>188</v>
      </c>
      <c r="AU859" s="561"/>
      <c r="AV859" s="561"/>
      <c r="AW859" s="561"/>
      <c r="AX859" s="561"/>
      <c r="AY859" s="561"/>
      <c r="AZ859" s="561"/>
      <c r="BA859" s="562">
        <v>17702720</v>
      </c>
      <c r="BB859" s="561"/>
      <c r="BC859" s="562">
        <v>36659557</v>
      </c>
      <c r="BD859" s="561"/>
      <c r="BE859" s="562">
        <f>+BA859+BC859</f>
        <v>54362277</v>
      </c>
      <c r="BF859" s="533"/>
      <c r="BG859" s="563">
        <f>164760000-BP858</f>
        <v>111340000</v>
      </c>
      <c r="BH859" s="563"/>
      <c r="BI859" s="588"/>
      <c r="BJ859" s="588"/>
      <c r="BK859" s="588"/>
      <c r="BL859" s="588"/>
      <c r="BM859" s="588"/>
      <c r="BN859" s="588"/>
      <c r="BO859" s="563"/>
      <c r="BP859" s="563">
        <f>+BP858+BG859</f>
        <v>164760000</v>
      </c>
      <c r="BQ859" s="561"/>
      <c r="BR859" s="586">
        <f t="shared" si="1830"/>
        <v>219122277</v>
      </c>
      <c r="BS859" s="587"/>
      <c r="BT859" s="587"/>
      <c r="BU859" s="587"/>
      <c r="BV859" s="587"/>
      <c r="BW859" s="500"/>
      <c r="CL859" s="1">
        <v>333000000</v>
      </c>
    </row>
    <row r="860" spans="44:90" x14ac:dyDescent="0.3">
      <c r="AR860" s="500"/>
      <c r="AS860" s="533"/>
      <c r="AT860" s="569" t="s">
        <v>189</v>
      </c>
      <c r="AU860" s="561"/>
      <c r="AV860" s="561"/>
      <c r="AW860" s="561"/>
      <c r="AX860" s="561"/>
      <c r="AY860" s="561"/>
      <c r="AZ860" s="561"/>
      <c r="BA860" s="562">
        <f>+BA842</f>
        <v>18127951.649189189</v>
      </c>
      <c r="BB860" s="561"/>
      <c r="BC860" s="562">
        <f>+BC856*BY860</f>
        <v>45167742.416846842</v>
      </c>
      <c r="BD860" s="561"/>
      <c r="BE860" s="562">
        <f>+BA860+BC860</f>
        <v>63295694.066036031</v>
      </c>
      <c r="BF860" s="533"/>
      <c r="BG860" s="563">
        <f>203610000-BP859</f>
        <v>38850000</v>
      </c>
      <c r="BH860" s="563"/>
      <c r="BI860" s="588"/>
      <c r="BJ860" s="588"/>
      <c r="BK860" s="588"/>
      <c r="BL860" s="588"/>
      <c r="BM860" s="588"/>
      <c r="BN860" s="588"/>
      <c r="BO860" s="563"/>
      <c r="BP860" s="563">
        <f>+BP859+BG860</f>
        <v>203610000</v>
      </c>
      <c r="BQ860" s="561"/>
      <c r="BR860" s="586">
        <f t="shared" si="1830"/>
        <v>266905694.06603605</v>
      </c>
      <c r="BS860" s="586"/>
      <c r="BT860" s="586"/>
      <c r="BU860" s="586"/>
      <c r="BV860" s="586"/>
      <c r="BW860" s="500"/>
      <c r="BY860" s="59">
        <f>+BP860/CL859</f>
        <v>0.61144144144144141</v>
      </c>
      <c r="CL860" s="1"/>
    </row>
    <row r="861" spans="44:90" x14ac:dyDescent="0.3">
      <c r="AR861" s="500"/>
      <c r="AS861" s="500"/>
      <c r="AT861" s="500"/>
      <c r="AU861" s="500"/>
      <c r="AV861" s="500"/>
      <c r="AW861" s="500"/>
      <c r="AX861" s="500"/>
      <c r="AY861" s="500"/>
      <c r="AZ861" s="500"/>
      <c r="BA861" s="500"/>
      <c r="BB861" s="500"/>
      <c r="BC861" s="500"/>
      <c r="BD861" s="500"/>
      <c r="BE861" s="500"/>
      <c r="BF861" s="500"/>
      <c r="BG861" s="500"/>
      <c r="BH861" s="500"/>
      <c r="BI861" s="500"/>
      <c r="BJ861" s="500"/>
      <c r="BK861" s="500"/>
      <c r="BL861" s="500"/>
      <c r="BM861" s="500"/>
      <c r="BN861" s="500"/>
      <c r="BO861" s="500"/>
      <c r="BP861" s="500"/>
      <c r="BQ861" s="500"/>
      <c r="BR861" s="500"/>
      <c r="BS861" s="500"/>
      <c r="BT861" s="500"/>
      <c r="BU861" s="500"/>
      <c r="BV861" s="500"/>
      <c r="BW861" s="500"/>
      <c r="CL861" s="59">
        <f>+BR860/CL859</f>
        <v>0.80151860079890702</v>
      </c>
    </row>
    <row r="863" spans="44:90" x14ac:dyDescent="0.3">
      <c r="BA863" s="56">
        <f>+BR859+BA841</f>
        <v>247648687.35081083</v>
      </c>
      <c r="BC863" s="59">
        <f>+BA863/CL859</f>
        <v>0.74368975180423669</v>
      </c>
      <c r="BE863" s="56"/>
      <c r="BG863" s="1">
        <v>202530000</v>
      </c>
      <c r="BP863" s="1">
        <f>+(BP860-BP859)/2</f>
        <v>19425000</v>
      </c>
      <c r="CL863" s="56">
        <f>+CL859-BR859</f>
        <v>113877723</v>
      </c>
    </row>
    <row r="864" spans="44:90" x14ac:dyDescent="0.3">
      <c r="BG864" s="56">
        <f>+BP860-BG863</f>
        <v>1080000</v>
      </c>
      <c r="BP864" s="56">
        <v>1800000</v>
      </c>
    </row>
    <row r="865" spans="42:90" ht="15" thickBot="1" x14ac:dyDescent="0.35">
      <c r="BP865" s="578">
        <f>+BP863-BP864</f>
        <v>17625000</v>
      </c>
    </row>
    <row r="866" spans="42:90" ht="15" thickTop="1" x14ac:dyDescent="0.3">
      <c r="CL866" s="59">
        <f>+BP859/CL859</f>
        <v>0.49477477477477477</v>
      </c>
    </row>
    <row r="868" spans="42:90" x14ac:dyDescent="0.3">
      <c r="BE868" s="500"/>
      <c r="BF868" s="500"/>
      <c r="BG868" s="500"/>
      <c r="BH868" s="500"/>
      <c r="BI868" s="500"/>
      <c r="BJ868" s="500"/>
      <c r="BK868" s="500"/>
      <c r="BL868" s="500"/>
      <c r="BM868" s="500"/>
      <c r="BN868" s="500"/>
      <c r="BO868" s="500"/>
      <c r="BP868" s="500"/>
      <c r="BQ868" s="500"/>
      <c r="BR868" s="500"/>
      <c r="BS868" s="500"/>
      <c r="BT868" s="500"/>
      <c r="BU868" s="500"/>
      <c r="BV868" s="500"/>
      <c r="BW868" s="500"/>
      <c r="BX868" s="500"/>
      <c r="BY868" s="500"/>
    </row>
    <row r="869" spans="42:90" x14ac:dyDescent="0.3">
      <c r="BE869" s="500"/>
      <c r="BF869" s="500"/>
      <c r="BG869" s="500"/>
      <c r="BH869" s="500"/>
      <c r="BI869" s="500"/>
      <c r="BJ869" s="500"/>
      <c r="BK869" s="500"/>
      <c r="BL869" s="500"/>
      <c r="BM869" s="500"/>
      <c r="BN869" s="500"/>
      <c r="BO869" s="500"/>
      <c r="BP869" s="500"/>
      <c r="BQ869" s="500"/>
      <c r="BR869" s="500"/>
      <c r="BS869" s="500"/>
      <c r="BT869" s="500"/>
      <c r="BU869" s="500"/>
      <c r="BV869" s="500"/>
      <c r="BW869" s="500"/>
      <c r="BX869" s="500"/>
      <c r="BY869" s="500"/>
    </row>
    <row r="870" spans="42:90" x14ac:dyDescent="0.3">
      <c r="AP870" s="1">
        <v>1500000</v>
      </c>
      <c r="BE870" s="500"/>
      <c r="BF870" s="500"/>
      <c r="BG870" s="500"/>
      <c r="BH870" s="500"/>
      <c r="BI870" s="500"/>
      <c r="BJ870" s="500"/>
      <c r="BK870" s="500"/>
      <c r="BL870" s="500"/>
      <c r="BM870" s="500"/>
      <c r="BN870" s="500"/>
      <c r="BO870" s="500"/>
      <c r="BP870" s="500"/>
      <c r="BQ870" s="500"/>
      <c r="BR870" s="500"/>
      <c r="BS870" s="500"/>
      <c r="BT870" s="500"/>
      <c r="BU870" s="500"/>
      <c r="BV870" s="500"/>
      <c r="BW870" s="500"/>
      <c r="BX870" s="500"/>
      <c r="BY870" s="500"/>
    </row>
    <row r="871" spans="42:90" x14ac:dyDescent="0.3">
      <c r="AP871">
        <v>7</v>
      </c>
      <c r="BE871" s="500"/>
      <c r="BY871" s="500"/>
      <c r="CL871">
        <v>177090000</v>
      </c>
    </row>
    <row r="872" spans="42:90" x14ac:dyDescent="0.3">
      <c r="AP872" s="1">
        <f>+AP870*AP871</f>
        <v>10500000</v>
      </c>
      <c r="BE872" s="500"/>
      <c r="BY872" s="500"/>
      <c r="CL872" s="231">
        <f>+CL871/CL859</f>
        <v>0.53180180180180181</v>
      </c>
    </row>
    <row r="873" spans="42:90" x14ac:dyDescent="0.3">
      <c r="BE873" s="500"/>
      <c r="BY873" s="500"/>
    </row>
    <row r="874" spans="42:90" x14ac:dyDescent="0.3">
      <c r="BE874" s="500"/>
      <c r="BY874" s="500"/>
    </row>
    <row r="875" spans="42:90" x14ac:dyDescent="0.3">
      <c r="BE875" s="500"/>
      <c r="BY875" s="500"/>
      <c r="CL875" s="56">
        <f>+BR859+27420000</f>
        <v>246542277</v>
      </c>
    </row>
    <row r="876" spans="42:90" x14ac:dyDescent="0.3">
      <c r="BE876" s="500"/>
      <c r="BY876" s="500"/>
    </row>
    <row r="877" spans="42:90" x14ac:dyDescent="0.3">
      <c r="BE877" s="500"/>
      <c r="BY877" s="500"/>
      <c r="CL877" s="59">
        <f>+CL875/CL859</f>
        <v>0.74036719819819818</v>
      </c>
    </row>
    <row r="878" spans="42:90" x14ac:dyDescent="0.3">
      <c r="BE878" s="500"/>
      <c r="BY878" s="500"/>
    </row>
    <row r="879" spans="42:90" x14ac:dyDescent="0.3">
      <c r="BE879" s="500"/>
      <c r="BY879" s="500"/>
    </row>
    <row r="880" spans="42:90" x14ac:dyDescent="0.3">
      <c r="BE880" s="500"/>
      <c r="BY880" s="500"/>
    </row>
    <row r="881" spans="57:77" x14ac:dyDescent="0.3">
      <c r="BE881" s="500"/>
      <c r="BY881" s="500"/>
    </row>
    <row r="882" spans="57:77" x14ac:dyDescent="0.3">
      <c r="BE882" s="500"/>
      <c r="BY882" s="500"/>
    </row>
    <row r="883" spans="57:77" x14ac:dyDescent="0.3">
      <c r="BE883" s="500"/>
      <c r="BY883" s="500"/>
    </row>
    <row r="884" spans="57:77" x14ac:dyDescent="0.3">
      <c r="BE884" s="500"/>
      <c r="BF884" s="500"/>
      <c r="BG884" s="500"/>
      <c r="BH884" s="500"/>
      <c r="BI884" s="500"/>
      <c r="BJ884" s="500"/>
      <c r="BK884" s="500"/>
      <c r="BL884" s="500"/>
      <c r="BM884" s="500"/>
      <c r="BN884" s="500"/>
      <c r="BO884" s="500"/>
      <c r="BP884" s="500"/>
      <c r="BQ884" s="500"/>
      <c r="BR884" s="500"/>
      <c r="BS884" s="500"/>
      <c r="BT884" s="500"/>
      <c r="BU884" s="500"/>
      <c r="BV884" s="500"/>
      <c r="BW884" s="500"/>
      <c r="BX884" s="500"/>
      <c r="BY884" s="500"/>
    </row>
    <row r="885" spans="57:77" x14ac:dyDescent="0.3">
      <c r="BE885" s="500"/>
      <c r="BF885" s="500"/>
      <c r="BG885" s="500"/>
      <c r="BH885" s="500"/>
      <c r="BI885" s="500"/>
      <c r="BJ885" s="500"/>
      <c r="BK885" s="500"/>
      <c r="BL885" s="500"/>
      <c r="BM885" s="500"/>
      <c r="BN885" s="500"/>
      <c r="BO885" s="500"/>
      <c r="BP885" s="500"/>
      <c r="BQ885" s="500"/>
      <c r="BR885" s="500"/>
      <c r="BS885" s="500"/>
      <c r="BT885" s="500"/>
      <c r="BU885" s="500"/>
      <c r="BV885" s="500"/>
      <c r="BW885" s="500"/>
      <c r="BX885" s="500"/>
      <c r="BY885" s="500"/>
    </row>
    <row r="886" spans="57:77" x14ac:dyDescent="0.3">
      <c r="BE886" s="500"/>
      <c r="BF886" s="500"/>
      <c r="BG886" s="500"/>
      <c r="BH886" s="500"/>
      <c r="BI886" s="500"/>
      <c r="BJ886" s="500"/>
      <c r="BK886" s="500"/>
      <c r="BL886" s="500"/>
      <c r="BM886" s="500"/>
      <c r="BN886" s="500"/>
      <c r="BO886" s="500"/>
      <c r="BP886" s="500"/>
      <c r="BQ886" s="500"/>
      <c r="BR886" s="500"/>
      <c r="BS886" s="500"/>
      <c r="BT886" s="500"/>
      <c r="BU886" s="500"/>
      <c r="BV886" s="500"/>
      <c r="BW886" s="500"/>
      <c r="BX886" s="500"/>
      <c r="BY886" s="500"/>
    </row>
    <row r="887" spans="57:77" x14ac:dyDescent="0.3">
      <c r="BE887" s="500"/>
      <c r="BF887" s="500"/>
      <c r="BG887" s="500"/>
      <c r="BH887" s="500"/>
      <c r="BI887" s="500"/>
      <c r="BJ887" s="500"/>
      <c r="BK887" s="500"/>
      <c r="BL887" s="500"/>
      <c r="BM887" s="500"/>
      <c r="BN887" s="500"/>
      <c r="BO887" s="500"/>
      <c r="BP887" s="500"/>
      <c r="BQ887" s="500"/>
      <c r="BR887" s="500"/>
      <c r="BS887" s="500"/>
      <c r="BT887" s="500"/>
      <c r="BU887" s="500"/>
      <c r="BV887" s="500"/>
      <c r="BW887" s="500"/>
      <c r="BX887" s="500"/>
      <c r="BY887" s="500"/>
    </row>
    <row r="888" spans="57:77" x14ac:dyDescent="0.3">
      <c r="BE888" s="500"/>
      <c r="BF888" s="500"/>
      <c r="BG888" s="500"/>
      <c r="BH888" s="500"/>
      <c r="BI888" s="500"/>
      <c r="BJ888" s="500"/>
      <c r="BK888" s="500"/>
      <c r="BL888" s="500"/>
      <c r="BM888" s="500"/>
      <c r="BN888" s="500"/>
      <c r="BO888" s="500"/>
      <c r="BP888" s="500"/>
      <c r="BQ888" s="500"/>
      <c r="BR888" s="500"/>
      <c r="BS888" s="500"/>
      <c r="BT888" s="500"/>
      <c r="BU888" s="500"/>
      <c r="BV888" s="500"/>
      <c r="BW888" s="500"/>
      <c r="BX888" s="500"/>
      <c r="BY888" s="500"/>
    </row>
    <row r="889" spans="57:77" x14ac:dyDescent="0.3">
      <c r="BE889" s="500"/>
      <c r="BF889" s="500"/>
      <c r="BG889" s="500"/>
      <c r="BH889" s="500"/>
      <c r="BI889" s="500"/>
      <c r="BJ889" s="500"/>
      <c r="BK889" s="500"/>
      <c r="BL889" s="500"/>
      <c r="BM889" s="500"/>
      <c r="BN889" s="500"/>
      <c r="BO889" s="500"/>
      <c r="BP889" s="500"/>
      <c r="BQ889" s="500"/>
      <c r="BR889" s="500"/>
      <c r="BS889" s="500"/>
      <c r="BT889" s="500"/>
      <c r="BU889" s="500"/>
      <c r="BV889" s="500"/>
      <c r="BW889" s="500"/>
      <c r="BX889" s="500"/>
      <c r="BY889" s="500"/>
    </row>
    <row r="890" spans="57:77" x14ac:dyDescent="0.3">
      <c r="BE890" s="500"/>
      <c r="BF890" s="500"/>
      <c r="BG890" s="500"/>
      <c r="BH890" s="500"/>
      <c r="BI890" s="500"/>
      <c r="BJ890" s="500"/>
      <c r="BK890" s="500"/>
      <c r="BL890" s="500"/>
      <c r="BM890" s="500"/>
      <c r="BN890" s="500"/>
      <c r="BO890" s="500"/>
      <c r="BP890" s="500"/>
      <c r="BQ890" s="500"/>
      <c r="BR890" s="500"/>
      <c r="BS890" s="500"/>
      <c r="BT890" s="500"/>
      <c r="BU890" s="500"/>
      <c r="BV890" s="500"/>
      <c r="BW890" s="500"/>
      <c r="BX890" s="500"/>
      <c r="BY890" s="500"/>
    </row>
    <row r="891" spans="57:77" x14ac:dyDescent="0.3">
      <c r="BE891" s="500"/>
      <c r="BF891" s="500"/>
      <c r="BG891" s="500"/>
      <c r="BH891" s="500"/>
      <c r="BI891" s="500"/>
      <c r="BJ891" s="500"/>
      <c r="BK891" s="500"/>
      <c r="BL891" s="500"/>
      <c r="BM891" s="500"/>
      <c r="BN891" s="500"/>
      <c r="BO891" s="500"/>
      <c r="BP891" s="500"/>
      <c r="BQ891" s="500"/>
      <c r="BR891" s="500"/>
      <c r="BS891" s="500"/>
      <c r="BT891" s="500"/>
      <c r="BU891" s="500"/>
      <c r="BV891" s="500"/>
      <c r="BW891" s="500"/>
      <c r="BX891" s="500"/>
      <c r="BY891" s="500"/>
    </row>
  </sheetData>
  <mergeCells count="60">
    <mergeCell ref="BR860:BV860"/>
    <mergeCell ref="AV824:AY824"/>
    <mergeCell ref="BE831:BE832"/>
    <mergeCell ref="AV807:AX807"/>
    <mergeCell ref="BR852:BV853"/>
    <mergeCell ref="BR854:BV854"/>
    <mergeCell ref="AT834:AX834"/>
    <mergeCell ref="AT838:AZ838"/>
    <mergeCell ref="AT832:AY832"/>
    <mergeCell ref="AT835:AZ835"/>
    <mergeCell ref="AT851:BV851"/>
    <mergeCell ref="BG831:BG832"/>
    <mergeCell ref="AT833:AX833"/>
    <mergeCell ref="BP845:BT845"/>
    <mergeCell ref="BI859:BN859"/>
    <mergeCell ref="BR855:BV855"/>
    <mergeCell ref="AK764:AN764"/>
    <mergeCell ref="AS830:BH830"/>
    <mergeCell ref="H792:J792"/>
    <mergeCell ref="AK769:AN769"/>
    <mergeCell ref="BI860:BN860"/>
    <mergeCell ref="AT855:AX855"/>
    <mergeCell ref="AT856:AX856"/>
    <mergeCell ref="AT857:AZ857"/>
    <mergeCell ref="BA852:BE852"/>
    <mergeCell ref="BG852:BP852"/>
    <mergeCell ref="BI854:BN854"/>
    <mergeCell ref="BI853:BN853"/>
    <mergeCell ref="AK760:AN760"/>
    <mergeCell ref="AK770:AN770"/>
    <mergeCell ref="AV819:AX819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759:AV759"/>
    <mergeCell ref="AK761:AN761"/>
    <mergeCell ref="AK762:AN762"/>
    <mergeCell ref="AK763:AN763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BR856:BV856"/>
    <mergeCell ref="BR857:BV857"/>
    <mergeCell ref="BR859:BV859"/>
    <mergeCell ref="BI858:BN858"/>
    <mergeCell ref="BR858:BV858"/>
    <mergeCell ref="BI857:BN857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765:AP767 AR765:AR767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758"/>
  <sheetViews>
    <sheetView topLeftCell="A716" workbookViewId="0">
      <selection activeCell="AM28" sqref="AM28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1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+K746</f>
        <v>7883883</v>
      </c>
      <c r="AG16" s="187"/>
      <c r="AH16" s="201">
        <f>+AJ31</f>
        <v>24747.27627311695</v>
      </c>
      <c r="AI16" s="201"/>
      <c r="AJ16" s="202">
        <f>+S746</f>
        <v>111697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1685937</v>
      </c>
      <c r="AG17" s="188"/>
      <c r="AH17" s="149">
        <v>24460</v>
      </c>
      <c r="AI17" s="201"/>
      <c r="AJ17" s="148">
        <v>20029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2774815</v>
      </c>
      <c r="AG18" s="188"/>
      <c r="AH18" s="149">
        <v>21675</v>
      </c>
      <c r="AI18" s="201"/>
      <c r="AJ18" s="148">
        <v>44049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12344635</v>
      </c>
      <c r="AG19" s="188"/>
      <c r="AH19" s="188"/>
      <c r="AI19" s="188"/>
      <c r="AJ19" s="206">
        <f>SUM(AJ16:AJ18)</f>
        <v>175775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Table'!H746</f>
        <v>0.17263218345572331</v>
      </c>
      <c r="AG21" s="188"/>
      <c r="AH21" s="188"/>
      <c r="AI21" s="188"/>
      <c r="AJ21" s="208">
        <f>+AJ19/'Main Table'!AA746</f>
        <v>0.2000475721150016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+E746</f>
        <v>4963787</v>
      </c>
      <c r="AE27" s="155"/>
      <c r="AF27" s="186">
        <v>25516</v>
      </c>
      <c r="AG27" s="155"/>
      <c r="AH27" s="177">
        <f>+AD27/AD$31</f>
        <v>0.51869178312653741</v>
      </c>
      <c r="AI27" s="177"/>
      <c r="AJ27" s="155">
        <f>+AF27*AH27</f>
        <v>13234.939538256729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+G746</f>
        <v>2188228</v>
      </c>
      <c r="AE28" s="155"/>
      <c r="AF28" s="186">
        <v>24636</v>
      </c>
      <c r="AG28" s="155"/>
      <c r="AH28" s="177">
        <f>+AD28/AD$31</f>
        <v>0.22865926422858529</v>
      </c>
      <c r="AI28" s="177"/>
      <c r="AJ28" s="155">
        <f>+AF28*AH28</f>
        <v>5633.2496335354272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+I746</f>
        <v>731868</v>
      </c>
      <c r="AE29" s="155"/>
      <c r="AF29" s="186">
        <v>20528</v>
      </c>
      <c r="AG29" s="155"/>
      <c r="AH29" s="177">
        <f>+AD29/AD$31</f>
        <v>7.6476673542449081E-2</v>
      </c>
      <c r="AI29" s="177"/>
      <c r="AJ29" s="155">
        <f>+AF29*AH29</f>
        <v>1569.9131544793947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1685937</v>
      </c>
      <c r="AE30" s="237"/>
      <c r="AF30" s="155">
        <f>+AH17</f>
        <v>24460</v>
      </c>
      <c r="AG30" s="237"/>
      <c r="AH30" s="177">
        <f>+AD30/AD$31</f>
        <v>0.17617227910242825</v>
      </c>
      <c r="AI30" s="237"/>
      <c r="AJ30" s="155">
        <f>+AF30*AH30</f>
        <v>4309.1739468453952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9569820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24747.27627311695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Table'!AA746</f>
        <v>878666</v>
      </c>
      <c r="AJ49" s="56">
        <f>+AJ19</f>
        <v>175775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175775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702891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295214.21999999997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407676.78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0.4639724081732991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744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41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3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3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3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3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3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3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3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3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3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3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3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3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3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3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3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3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3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3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3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3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3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3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3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3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3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3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3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3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3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3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3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3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3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3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3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3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3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3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3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3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3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3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3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3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3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3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3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3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3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3">
      <c r="C680" s="158">
        <f t="shared" ref="C680:C720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3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3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3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3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3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3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3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3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3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3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3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3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3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3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3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3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3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3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3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3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3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3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3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3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3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3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3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3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3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3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3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3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3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3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3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3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3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3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3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3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25" x14ac:dyDescent="0.3">
      <c r="C721" s="158">
        <f>+C720+1</f>
        <v>44620</v>
      </c>
      <c r="E721" s="241">
        <v>4925221</v>
      </c>
      <c r="F721" s="7"/>
      <c r="G721" s="7">
        <v>2167515</v>
      </c>
      <c r="H721" s="7"/>
      <c r="I721" s="7">
        <v>723389</v>
      </c>
      <c r="J721" s="244"/>
      <c r="K721" s="7">
        <f t="shared" ref="K721" si="241">SUM(E721:I721)</f>
        <v>7816125</v>
      </c>
      <c r="L721" s="6"/>
      <c r="M721" s="438">
        <f t="shared" ref="M721" si="242">+(K721-K720)/K720</f>
        <v>3.7859167735695395E-4</v>
      </c>
      <c r="N721" s="29"/>
      <c r="O721" s="29"/>
      <c r="P721" s="29"/>
      <c r="Q721" s="332">
        <f t="shared" ref="Q721" si="243">+K721-K720</f>
        <v>2958</v>
      </c>
      <c r="R721" s="6"/>
      <c r="S721" s="7">
        <f>67358+32915+10470</f>
        <v>110743</v>
      </c>
      <c r="T721" s="6"/>
      <c r="U721" s="243">
        <v>2.402125115017657E-2</v>
      </c>
      <c r="W721">
        <f t="shared" si="97"/>
        <v>711</v>
      </c>
      <c r="Y721" s="56"/>
    </row>
    <row r="722" spans="3:25" x14ac:dyDescent="0.3">
      <c r="C722" s="158">
        <f t="shared" ref="C722:C743" si="244">+C721+1</f>
        <v>44621</v>
      </c>
      <c r="E722" s="241">
        <v>4926708</v>
      </c>
      <c r="F722" s="7"/>
      <c r="G722" s="7">
        <v>2168631</v>
      </c>
      <c r="H722" s="7"/>
      <c r="I722" s="7">
        <v>723559</v>
      </c>
      <c r="J722" s="244"/>
      <c r="K722" s="7">
        <f t="shared" ref="K722" si="245">SUM(E722:I722)</f>
        <v>7818898</v>
      </c>
      <c r="L722" s="6"/>
      <c r="M722" s="438">
        <f t="shared" ref="M722" si="246">+(K722-K721)/K721</f>
        <v>3.5477938236658192E-4</v>
      </c>
      <c r="N722" s="29"/>
      <c r="O722" s="29"/>
      <c r="P722" s="29"/>
      <c r="Q722" s="332">
        <f t="shared" ref="Q722" si="247">+K722-K721</f>
        <v>2773</v>
      </c>
      <c r="R722" s="6"/>
      <c r="S722" s="7">
        <f>67409+32951+10471</f>
        <v>110831</v>
      </c>
      <c r="T722" s="6"/>
      <c r="U722" s="243">
        <v>2.402125115017657E-2</v>
      </c>
      <c r="W722">
        <f t="shared" si="97"/>
        <v>712</v>
      </c>
      <c r="Y722" s="56"/>
    </row>
    <row r="723" spans="3:25" x14ac:dyDescent="0.3">
      <c r="C723" s="158">
        <f t="shared" si="244"/>
        <v>44622</v>
      </c>
      <c r="E723" s="241">
        <v>4928597</v>
      </c>
      <c r="F723" s="7"/>
      <c r="G723" s="7">
        <v>2170061</v>
      </c>
      <c r="H723" s="7"/>
      <c r="I723" s="7">
        <v>723812</v>
      </c>
      <c r="J723" s="244"/>
      <c r="K723" s="7">
        <f t="shared" ref="K723" si="248">SUM(E723:I723)</f>
        <v>7822470</v>
      </c>
      <c r="L723" s="6"/>
      <c r="M723" s="438">
        <f t="shared" ref="M723" si="249">+(K723-K722)/K722</f>
        <v>4.5684187208990321E-4</v>
      </c>
      <c r="N723" s="29"/>
      <c r="O723" s="29"/>
      <c r="P723" s="29"/>
      <c r="Q723" s="332">
        <f t="shared" ref="Q723" si="250">+K723-K722</f>
        <v>3572</v>
      </c>
      <c r="R723" s="6"/>
      <c r="S723" s="7">
        <f>67447+32966+10512</f>
        <v>110925</v>
      </c>
      <c r="T723" s="6"/>
      <c r="U723" s="243">
        <v>2.402125115017657E-2</v>
      </c>
      <c r="W723">
        <f t="shared" si="97"/>
        <v>713</v>
      </c>
      <c r="Y723" s="56"/>
    </row>
    <row r="724" spans="3:25" x14ac:dyDescent="0.3">
      <c r="C724" s="158">
        <f t="shared" si="244"/>
        <v>44623</v>
      </c>
      <c r="E724" s="241">
        <v>4930987</v>
      </c>
      <c r="F724" s="7"/>
      <c r="G724" s="7">
        <v>2171339</v>
      </c>
      <c r="H724" s="7"/>
      <c r="I724" s="7">
        <v>724401</v>
      </c>
      <c r="J724" s="244"/>
      <c r="K724" s="7">
        <f t="shared" ref="K724" si="251">SUM(E724:I724)</f>
        <v>7826727</v>
      </c>
      <c r="L724" s="6"/>
      <c r="M724" s="438">
        <f t="shared" ref="M724" si="252">+(K724-K723)/K723</f>
        <v>5.4420151179870294E-4</v>
      </c>
      <c r="N724" s="29"/>
      <c r="O724" s="29"/>
      <c r="P724" s="29"/>
      <c r="Q724" s="332">
        <f t="shared" ref="Q724" si="253">+K724-K723</f>
        <v>4257</v>
      </c>
      <c r="R724" s="6"/>
      <c r="S724" s="7">
        <f>67479+32982+10515</f>
        <v>110976</v>
      </c>
      <c r="T724" s="6"/>
      <c r="U724" s="243">
        <v>2.402125115017657E-2</v>
      </c>
      <c r="W724">
        <f t="shared" si="97"/>
        <v>714</v>
      </c>
      <c r="Y724" s="56"/>
    </row>
    <row r="725" spans="3:25" x14ac:dyDescent="0.3">
      <c r="C725" s="158">
        <f t="shared" si="244"/>
        <v>44624</v>
      </c>
      <c r="E725" s="241">
        <v>4931337</v>
      </c>
      <c r="F725" s="7"/>
      <c r="G725" s="7">
        <v>2172771</v>
      </c>
      <c r="H725" s="7"/>
      <c r="I725" s="7">
        <v>724833</v>
      </c>
      <c r="J725" s="244"/>
      <c r="K725" s="7">
        <f t="shared" ref="K725" si="254">SUM(E725:I725)</f>
        <v>7828941</v>
      </c>
      <c r="L725" s="6"/>
      <c r="M725" s="438">
        <f t="shared" ref="M725" si="255">+(K725-K724)/K724</f>
        <v>2.8287686538702576E-4</v>
      </c>
      <c r="N725" s="29"/>
      <c r="O725" s="29"/>
      <c r="P725" s="29"/>
      <c r="Q725" s="332">
        <f t="shared" ref="Q725" si="256">+K725-K724</f>
        <v>2214</v>
      </c>
      <c r="R725" s="6"/>
      <c r="S725" s="7">
        <f>67511+32999+10543</f>
        <v>111053</v>
      </c>
      <c r="T725" s="6"/>
      <c r="U725" s="243">
        <v>2.402125115017657E-2</v>
      </c>
      <c r="W725">
        <f t="shared" si="97"/>
        <v>715</v>
      </c>
      <c r="Y725" s="56"/>
    </row>
    <row r="726" spans="3:25" x14ac:dyDescent="0.3">
      <c r="C726" s="158">
        <f t="shared" si="244"/>
        <v>44625</v>
      </c>
      <c r="E726" s="241">
        <v>4934709</v>
      </c>
      <c r="F726" s="7"/>
      <c r="G726" s="7">
        <v>2173813</v>
      </c>
      <c r="H726" s="7"/>
      <c r="I726" s="7">
        <v>724833</v>
      </c>
      <c r="J726" s="244"/>
      <c r="K726" s="7">
        <f t="shared" ref="K726" si="257">SUM(E726:I726)</f>
        <v>7833355</v>
      </c>
      <c r="L726" s="6"/>
      <c r="M726" s="438">
        <f t="shared" ref="M726" si="258">+(K726-K725)/K725</f>
        <v>5.6380550064178542E-4</v>
      </c>
      <c r="N726" s="29"/>
      <c r="O726" s="29"/>
      <c r="P726" s="29"/>
      <c r="Q726" s="332">
        <f t="shared" ref="Q726" si="259">+K726-K725</f>
        <v>4414</v>
      </c>
      <c r="R726" s="6"/>
      <c r="S726" s="7">
        <f>67523+33005+10543</f>
        <v>111071</v>
      </c>
      <c r="T726" s="6"/>
      <c r="U726" s="243">
        <v>2.402125115017657E-2</v>
      </c>
      <c r="W726">
        <f t="shared" si="97"/>
        <v>716</v>
      </c>
      <c r="Y726" s="56"/>
    </row>
    <row r="727" spans="3:25" x14ac:dyDescent="0.3">
      <c r="C727" s="347">
        <f t="shared" si="244"/>
        <v>44626</v>
      </c>
      <c r="E727" s="241">
        <v>4937052</v>
      </c>
      <c r="F727" s="7"/>
      <c r="G727" s="7">
        <v>2174473</v>
      </c>
      <c r="H727" s="7"/>
      <c r="I727" s="7">
        <v>724833</v>
      </c>
      <c r="J727" s="244"/>
      <c r="K727" s="7">
        <f t="shared" ref="K727" si="260">SUM(E727:I727)</f>
        <v>7836358</v>
      </c>
      <c r="L727" s="6"/>
      <c r="M727" s="438">
        <f t="shared" ref="M727" si="261">+(K727-K726)/K726</f>
        <v>3.8336064176843767E-4</v>
      </c>
      <c r="N727" s="29"/>
      <c r="O727" s="29"/>
      <c r="P727" s="29"/>
      <c r="Q727" s="332">
        <f t="shared" ref="Q727" si="262">+K727-K726</f>
        <v>3003</v>
      </c>
      <c r="R727" s="6"/>
      <c r="S727" s="7">
        <f>67556+33011+10543</f>
        <v>111110</v>
      </c>
      <c r="T727" s="6"/>
      <c r="U727" s="243">
        <v>2.402125115017657E-2</v>
      </c>
      <c r="W727">
        <f t="shared" si="97"/>
        <v>717</v>
      </c>
      <c r="Y727" s="56"/>
    </row>
    <row r="728" spans="3:25" x14ac:dyDescent="0.3">
      <c r="C728" s="158">
        <f t="shared" si="244"/>
        <v>44627</v>
      </c>
      <c r="E728" s="241">
        <v>4938085</v>
      </c>
      <c r="F728" s="7"/>
      <c r="G728" s="7">
        <v>2175439</v>
      </c>
      <c r="H728" s="7"/>
      <c r="I728" s="7">
        <v>727542</v>
      </c>
      <c r="J728" s="244"/>
      <c r="K728" s="7">
        <f t="shared" ref="K728" si="263">SUM(E728:I728)</f>
        <v>7841066</v>
      </c>
      <c r="L728" s="6"/>
      <c r="M728" s="438">
        <f t="shared" ref="M728" si="264">+(K728-K727)/K727</f>
        <v>6.0078929523127965E-4</v>
      </c>
      <c r="N728" s="29"/>
      <c r="O728" s="29"/>
      <c r="P728" s="29"/>
      <c r="Q728" s="332">
        <f t="shared" ref="Q728" si="265">+K728-K727</f>
        <v>4708</v>
      </c>
      <c r="R728" s="6"/>
      <c r="S728" s="7">
        <f>67571+33027+10542</f>
        <v>111140</v>
      </c>
      <c r="T728" s="6"/>
      <c r="U728" s="243">
        <v>2.402125115017657E-2</v>
      </c>
      <c r="W728">
        <f t="shared" si="97"/>
        <v>718</v>
      </c>
      <c r="Y728" s="56"/>
    </row>
    <row r="729" spans="3:25" x14ac:dyDescent="0.3">
      <c r="C729" s="158">
        <f t="shared" si="244"/>
        <v>44628</v>
      </c>
      <c r="E729" s="241">
        <v>4939110</v>
      </c>
      <c r="F729" s="7"/>
      <c r="G729" s="7">
        <v>2176633</v>
      </c>
      <c r="H729" s="7"/>
      <c r="I729" s="7">
        <v>728733</v>
      </c>
      <c r="J729" s="244"/>
      <c r="K729" s="7">
        <f t="shared" ref="K729" si="266">SUM(E729:I729)</f>
        <v>7844476</v>
      </c>
      <c r="L729" s="6"/>
      <c r="M729" s="438">
        <f t="shared" ref="M729" si="267">+(K729-K728)/K728</f>
        <v>4.3488984788547883E-4</v>
      </c>
      <c r="N729" s="29"/>
      <c r="O729" s="29"/>
      <c r="P729" s="29"/>
      <c r="Q729" s="332">
        <f t="shared" ref="Q729" si="268">+K729-K728</f>
        <v>3410</v>
      </c>
      <c r="R729" s="6"/>
      <c r="S729" s="7">
        <f>67607+33050+10591</f>
        <v>111248</v>
      </c>
      <c r="T729" s="6"/>
      <c r="U729" s="243">
        <v>2.402125115017657E-2</v>
      </c>
      <c r="W729">
        <f t="shared" si="97"/>
        <v>719</v>
      </c>
      <c r="Y729" s="56"/>
    </row>
    <row r="730" spans="3:25" x14ac:dyDescent="0.3">
      <c r="C730" s="158">
        <f t="shared" si="244"/>
        <v>44629</v>
      </c>
      <c r="E730" s="241">
        <v>4940801</v>
      </c>
      <c r="F730" s="7"/>
      <c r="G730" s="7">
        <v>2177598</v>
      </c>
      <c r="H730" s="7"/>
      <c r="I730" s="7">
        <v>729063</v>
      </c>
      <c r="J730" s="244"/>
      <c r="K730" s="7">
        <f t="shared" ref="K730" si="269">SUM(E730:I730)</f>
        <v>7847462</v>
      </c>
      <c r="L730" s="6"/>
      <c r="M730" s="438">
        <f t="shared" ref="M730" si="270">+(K730-K729)/K729</f>
        <v>3.8065002684691749E-4</v>
      </c>
      <c r="N730" s="29"/>
      <c r="O730" s="29"/>
      <c r="P730" s="29"/>
      <c r="Q730" s="332">
        <f t="shared" ref="Q730" si="271">+K730-K729</f>
        <v>2986</v>
      </c>
      <c r="R730" s="6"/>
      <c r="S730" s="7">
        <f>67611+33054+10609</f>
        <v>111274</v>
      </c>
      <c r="T730" s="6"/>
      <c r="U730" s="243">
        <v>2.402125115017657E-2</v>
      </c>
      <c r="W730">
        <f t="shared" si="97"/>
        <v>720</v>
      </c>
      <c r="Y730" s="56"/>
    </row>
    <row r="731" spans="3:25" x14ac:dyDescent="0.3">
      <c r="C731" s="158">
        <f t="shared" si="244"/>
        <v>44630</v>
      </c>
      <c r="E731" s="241">
        <v>4942548</v>
      </c>
      <c r="F731" s="7"/>
      <c r="G731" s="7">
        <v>2178976</v>
      </c>
      <c r="H731" s="7"/>
      <c r="I731" s="7">
        <v>729354</v>
      </c>
      <c r="J731" s="244"/>
      <c r="K731" s="7">
        <f t="shared" ref="K731" si="272">SUM(E731:I731)</f>
        <v>7850878</v>
      </c>
      <c r="L731" s="6"/>
      <c r="M731" s="438">
        <f t="shared" ref="M731" si="273">+(K731-K730)/K730</f>
        <v>4.3529997341815738E-4</v>
      </c>
      <c r="N731" s="29"/>
      <c r="O731" s="29"/>
      <c r="P731" s="29"/>
      <c r="Q731" s="332">
        <f t="shared" ref="Q731" si="274">+K731-K730</f>
        <v>3416</v>
      </c>
      <c r="R731" s="6"/>
      <c r="S731" s="7">
        <f>67611+33054+10609</f>
        <v>111274</v>
      </c>
      <c r="T731" s="6"/>
      <c r="U731" s="243">
        <v>2.402125115017657E-2</v>
      </c>
      <c r="W731">
        <f t="shared" si="97"/>
        <v>721</v>
      </c>
      <c r="Y731" s="56"/>
    </row>
    <row r="732" spans="3:25" x14ac:dyDescent="0.3">
      <c r="C732" s="158">
        <f t="shared" si="244"/>
        <v>44631</v>
      </c>
      <c r="E732" s="241">
        <v>4944777</v>
      </c>
      <c r="F732" s="7"/>
      <c r="G732" s="7">
        <v>2180216</v>
      </c>
      <c r="H732" s="7"/>
      <c r="I732" s="7">
        <v>729697</v>
      </c>
      <c r="J732" s="244"/>
      <c r="K732" s="7">
        <f t="shared" ref="K732" si="275">SUM(E732:I732)</f>
        <v>7854690</v>
      </c>
      <c r="L732" s="6"/>
      <c r="M732" s="438">
        <f t="shared" ref="M732" si="276">+(K732-K731)/K731</f>
        <v>4.8555078807746089E-4</v>
      </c>
      <c r="N732" s="29"/>
      <c r="O732" s="29"/>
      <c r="P732" s="29"/>
      <c r="Q732" s="332">
        <f t="shared" ref="Q732" si="277">+K732-K731</f>
        <v>3812</v>
      </c>
      <c r="R732" s="6"/>
      <c r="S732" s="7">
        <f>67643+33087+10648</f>
        <v>111378</v>
      </c>
      <c r="T732" s="6"/>
      <c r="U732" s="243">
        <v>2.402125115017657E-2</v>
      </c>
      <c r="W732">
        <f t="shared" si="97"/>
        <v>722</v>
      </c>
      <c r="Y732" s="56"/>
    </row>
    <row r="733" spans="3:25" x14ac:dyDescent="0.3">
      <c r="C733" s="158">
        <f t="shared" si="244"/>
        <v>44632</v>
      </c>
      <c r="E733" s="241">
        <f>4946173-500</f>
        <v>4945673</v>
      </c>
      <c r="F733" s="7"/>
      <c r="G733" s="7">
        <f>2180930-350</f>
        <v>2180580</v>
      </c>
      <c r="H733" s="579" t="s">
        <v>26</v>
      </c>
      <c r="I733" s="7">
        <f>729697-100</f>
        <v>729597</v>
      </c>
      <c r="J733" s="244"/>
      <c r="K733" s="7">
        <f t="shared" ref="K733" si="278">SUM(E733:I733)</f>
        <v>7855850</v>
      </c>
      <c r="L733" s="6"/>
      <c r="M733" s="438">
        <f t="shared" ref="M733" si="279">+(K733-K732)/K732</f>
        <v>1.4768246741755562E-4</v>
      </c>
      <c r="N733" s="29"/>
      <c r="O733" s="29"/>
      <c r="P733" s="29"/>
      <c r="Q733" s="332">
        <f t="shared" ref="Q733" si="280">+K733-K732</f>
        <v>1160</v>
      </c>
      <c r="R733" s="6"/>
      <c r="S733" s="7">
        <f>67657+33102+10648</f>
        <v>111407</v>
      </c>
      <c r="T733" s="6"/>
      <c r="U733" s="243">
        <v>2.402125115017657E-2</v>
      </c>
      <c r="W733">
        <f t="shared" si="97"/>
        <v>723</v>
      </c>
      <c r="Y733" s="56"/>
    </row>
    <row r="734" spans="3:25" x14ac:dyDescent="0.3">
      <c r="C734" s="347">
        <f t="shared" si="244"/>
        <v>44633</v>
      </c>
      <c r="E734" s="241">
        <v>4946173</v>
      </c>
      <c r="F734" s="7"/>
      <c r="G734" s="7">
        <v>2180930</v>
      </c>
      <c r="H734" s="7"/>
      <c r="I734" s="7">
        <v>729697</v>
      </c>
      <c r="J734" s="244"/>
      <c r="K734" s="7">
        <f t="shared" ref="K734" si="281">SUM(E734:I734)</f>
        <v>7856800</v>
      </c>
      <c r="L734" s="6"/>
      <c r="M734" s="438">
        <f t="shared" ref="M734" si="282">+(K734-K733)/K733</f>
        <v>1.2092898922459059E-4</v>
      </c>
      <c r="N734" s="29"/>
      <c r="O734" s="29"/>
      <c r="P734" s="29"/>
      <c r="Q734" s="332">
        <f t="shared" ref="Q734" si="283">+K734-K733</f>
        <v>950</v>
      </c>
      <c r="R734" s="6"/>
      <c r="S734" s="7">
        <f>67657+33102+10648</f>
        <v>111407</v>
      </c>
      <c r="T734" s="6"/>
      <c r="U734" s="243">
        <v>2.402125115017657E-2</v>
      </c>
      <c r="W734">
        <f t="shared" si="97"/>
        <v>724</v>
      </c>
      <c r="Y734" s="56"/>
    </row>
    <row r="735" spans="3:25" x14ac:dyDescent="0.3">
      <c r="C735" s="158">
        <f t="shared" si="244"/>
        <v>44634</v>
      </c>
      <c r="E735" s="241">
        <f>4952485-3000</f>
        <v>4949485</v>
      </c>
      <c r="F735" s="7"/>
      <c r="G735" s="7">
        <f>2182557+1500</f>
        <v>2184057</v>
      </c>
      <c r="H735" s="579" t="s">
        <v>26</v>
      </c>
      <c r="I735" s="7">
        <v>730811</v>
      </c>
      <c r="J735" s="244"/>
      <c r="K735" s="7">
        <f t="shared" ref="K735" si="284">SUM(E735:I735)</f>
        <v>7864353</v>
      </c>
      <c r="L735" s="6"/>
      <c r="M735" s="438">
        <f t="shared" ref="M735" si="285">+(K735-K734)/K734</f>
        <v>9.6133285816108339E-4</v>
      </c>
      <c r="N735" s="29"/>
      <c r="O735" s="29"/>
      <c r="P735" s="29"/>
      <c r="Q735" s="332">
        <f t="shared" ref="Q735" si="286">+K735-K734</f>
        <v>7553</v>
      </c>
      <c r="R735" s="6"/>
      <c r="S735" s="7">
        <f>67724+33126+10675</f>
        <v>111525</v>
      </c>
      <c r="T735" s="6"/>
      <c r="U735" s="243">
        <v>2.402125115017657E-2</v>
      </c>
      <c r="W735">
        <f t="shared" si="97"/>
        <v>725</v>
      </c>
      <c r="Y735" s="56"/>
    </row>
    <row r="736" spans="3:25" x14ac:dyDescent="0.3">
      <c r="C736" s="158">
        <f t="shared" si="244"/>
        <v>44635</v>
      </c>
      <c r="E736" s="241">
        <v>4952485</v>
      </c>
      <c r="F736" s="7"/>
      <c r="G736" s="7">
        <v>2182557</v>
      </c>
      <c r="H736" s="7"/>
      <c r="I736" s="7">
        <v>730811</v>
      </c>
      <c r="J736" s="244"/>
      <c r="K736" s="7">
        <f t="shared" ref="K736" si="287">SUM(E736:I736)</f>
        <v>7865853</v>
      </c>
      <c r="L736" s="6"/>
      <c r="M736" s="438">
        <f t="shared" ref="M736" si="288">+(K736-K735)/K735</f>
        <v>1.9073406292927084E-4</v>
      </c>
      <c r="N736" s="29"/>
      <c r="O736" s="29"/>
      <c r="P736" s="29"/>
      <c r="Q736" s="332">
        <f t="shared" ref="Q736" si="289">+K736-K735</f>
        <v>1500</v>
      </c>
      <c r="R736" s="6"/>
      <c r="S736" s="7">
        <f>67724+33126+10675</f>
        <v>111525</v>
      </c>
      <c r="T736" s="6"/>
      <c r="U736" s="243">
        <v>2.402125115017657E-2</v>
      </c>
      <c r="W736">
        <f t="shared" si="97"/>
        <v>726</v>
      </c>
      <c r="Y736" s="56"/>
    </row>
    <row r="737" spans="3:25" x14ac:dyDescent="0.3">
      <c r="C737" s="158">
        <f t="shared" si="244"/>
        <v>44636</v>
      </c>
      <c r="E737" s="241">
        <v>4954524</v>
      </c>
      <c r="F737" s="7"/>
      <c r="G737" s="7">
        <v>2184240</v>
      </c>
      <c r="H737" s="7"/>
      <c r="I737" s="7">
        <v>731128</v>
      </c>
      <c r="J737" s="244"/>
      <c r="K737" s="7">
        <f t="shared" ref="K737" si="290">SUM(E737:I737)</f>
        <v>7869892</v>
      </c>
      <c r="L737" s="6"/>
      <c r="M737" s="438">
        <f t="shared" ref="M737" si="291">+(K737-K736)/K736</f>
        <v>5.1348531430729768E-4</v>
      </c>
      <c r="N737" s="29"/>
      <c r="O737" s="29"/>
      <c r="P737" s="29"/>
      <c r="Q737" s="332">
        <f t="shared" ref="Q737" si="292">+K737-K736</f>
        <v>4039</v>
      </c>
      <c r="R737" s="6"/>
      <c r="S737" s="7">
        <f>67764+33135+10677</f>
        <v>111576</v>
      </c>
      <c r="T737" s="6"/>
      <c r="U737" s="243">
        <v>2.402125115017657E-2</v>
      </c>
      <c r="W737">
        <f t="shared" si="97"/>
        <v>727</v>
      </c>
      <c r="Y737" s="56"/>
    </row>
    <row r="738" spans="3:25" x14ac:dyDescent="0.3">
      <c r="C738" s="158">
        <f t="shared" si="244"/>
        <v>44637</v>
      </c>
      <c r="E738" s="241">
        <v>4956880</v>
      </c>
      <c r="F738" s="7"/>
      <c r="G738" s="7">
        <v>2186323</v>
      </c>
      <c r="H738" s="7"/>
      <c r="I738" s="7">
        <v>731532</v>
      </c>
      <c r="J738" s="244"/>
      <c r="K738" s="7">
        <f t="shared" ref="K738" si="293">SUM(E738:I738)</f>
        <v>7874735</v>
      </c>
      <c r="L738" s="6"/>
      <c r="M738" s="438">
        <f t="shared" ref="M738" si="294">+(K738-K737)/K737</f>
        <v>6.1538328607304898E-4</v>
      </c>
      <c r="N738" s="29"/>
      <c r="O738" s="29"/>
      <c r="P738" s="29"/>
      <c r="Q738" s="332">
        <f t="shared" ref="Q738" si="295">+K738-K737</f>
        <v>4843</v>
      </c>
      <c r="R738" s="6"/>
      <c r="S738" s="7">
        <f>67792+33149+10677</f>
        <v>111618</v>
      </c>
      <c r="T738" s="6"/>
      <c r="U738" s="243">
        <v>2.402125115017657E-2</v>
      </c>
      <c r="W738">
        <f t="shared" si="97"/>
        <v>728</v>
      </c>
      <c r="Y738" s="56"/>
    </row>
    <row r="739" spans="3:25" x14ac:dyDescent="0.3">
      <c r="C739" s="158">
        <f t="shared" si="244"/>
        <v>44638</v>
      </c>
      <c r="E739" s="241">
        <v>4958932</v>
      </c>
      <c r="F739" s="7"/>
      <c r="G739" s="7">
        <v>2186846</v>
      </c>
      <c r="H739" s="7"/>
      <c r="I739" s="7">
        <v>731868</v>
      </c>
      <c r="J739" s="244"/>
      <c r="K739" s="7">
        <f t="shared" ref="K739" si="296">SUM(E739:I739)</f>
        <v>7877646</v>
      </c>
      <c r="L739" s="6"/>
      <c r="M739" s="438">
        <f t="shared" ref="M739" si="297">+(K739-K738)/K738</f>
        <v>3.696632331119714E-4</v>
      </c>
      <c r="N739" s="29"/>
      <c r="O739" s="29"/>
      <c r="P739" s="29"/>
      <c r="Q739" s="332">
        <f t="shared" ref="Q739" si="298">+K739-K738</f>
        <v>2911</v>
      </c>
      <c r="R739" s="6"/>
      <c r="S739" s="7">
        <f>67810+33155+10717</f>
        <v>111682</v>
      </c>
      <c r="T739" s="6"/>
      <c r="U739" s="243">
        <v>2.402125115017657E-2</v>
      </c>
      <c r="W739">
        <f t="shared" si="97"/>
        <v>729</v>
      </c>
      <c r="Y739" s="56"/>
    </row>
    <row r="740" spans="3:25" x14ac:dyDescent="0.3">
      <c r="C740" s="158">
        <f t="shared" si="244"/>
        <v>44639</v>
      </c>
      <c r="E740" s="241">
        <f>4961120+500</f>
        <v>4961620</v>
      </c>
      <c r="F740" s="7"/>
      <c r="G740" s="7">
        <v>2187715</v>
      </c>
      <c r="H740" s="579" t="s">
        <v>26</v>
      </c>
      <c r="I740" s="7">
        <v>731868</v>
      </c>
      <c r="J740" s="244"/>
      <c r="K740" s="7">
        <f t="shared" ref="K740" si="299">SUM(E740:I740)</f>
        <v>7881203</v>
      </c>
      <c r="L740" s="6"/>
      <c r="M740" s="438">
        <f t="shared" ref="M740" si="300">+(K740-K739)/K739</f>
        <v>4.5153082532523042E-4</v>
      </c>
      <c r="N740" s="29"/>
      <c r="O740" s="29"/>
      <c r="P740" s="29"/>
      <c r="Q740" s="332">
        <f t="shared" ref="Q740" si="301">+K740-K739</f>
        <v>3557</v>
      </c>
      <c r="R740" s="6"/>
      <c r="S740" s="7">
        <f>67813+33167+10717</f>
        <v>111697</v>
      </c>
      <c r="T740" s="6"/>
      <c r="U740" s="243">
        <v>2.402125115017657E-2</v>
      </c>
      <c r="W740">
        <f t="shared" si="97"/>
        <v>730</v>
      </c>
      <c r="Y740" s="56"/>
    </row>
    <row r="741" spans="3:25" x14ac:dyDescent="0.3">
      <c r="C741" s="158">
        <f t="shared" si="244"/>
        <v>44640</v>
      </c>
      <c r="E741" s="241">
        <v>4963787</v>
      </c>
      <c r="F741" s="7"/>
      <c r="G741" s="7">
        <v>2188228</v>
      </c>
      <c r="H741" s="581"/>
      <c r="I741" s="7">
        <v>731868</v>
      </c>
      <c r="J741" s="244"/>
      <c r="K741" s="7">
        <f t="shared" ref="K741" si="302">SUM(E741:I741)</f>
        <v>7883883</v>
      </c>
      <c r="L741" s="6"/>
      <c r="M741" s="438">
        <f t="shared" ref="M741" si="303">+(K741-K740)/K740</f>
        <v>3.4004960917768517E-4</v>
      </c>
      <c r="N741" s="29"/>
      <c r="O741" s="29"/>
      <c r="P741" s="29"/>
      <c r="Q741" s="332">
        <f t="shared" ref="Q741" si="304">+K741-K740</f>
        <v>2680</v>
      </c>
      <c r="R741" s="6"/>
      <c r="S741" s="7">
        <f>67813+33167+10717</f>
        <v>111697</v>
      </c>
      <c r="T741" s="6"/>
      <c r="U741" s="243">
        <v>2.402125115017657E-2</v>
      </c>
      <c r="W741">
        <f t="shared" si="97"/>
        <v>731</v>
      </c>
      <c r="Y741" s="56"/>
    </row>
    <row r="742" spans="3:25" x14ac:dyDescent="0.3">
      <c r="C742" s="158">
        <f t="shared" si="244"/>
        <v>44641</v>
      </c>
      <c r="E742" s="241"/>
      <c r="F742" s="7"/>
      <c r="G742" s="7"/>
      <c r="H742" s="7"/>
      <c r="I742" s="7"/>
      <c r="J742" s="244"/>
      <c r="K742" s="7"/>
      <c r="L742" s="6"/>
      <c r="M742" s="438"/>
      <c r="N742" s="29"/>
      <c r="O742" s="29"/>
      <c r="P742" s="29"/>
      <c r="Q742" s="332"/>
      <c r="R742" s="6"/>
      <c r="S742" s="7"/>
      <c r="T742" s="6"/>
      <c r="U742" s="243"/>
      <c r="Y742" s="56"/>
    </row>
    <row r="743" spans="3:25" x14ac:dyDescent="0.3">
      <c r="C743" s="158">
        <f t="shared" si="244"/>
        <v>44642</v>
      </c>
      <c r="E743" s="241"/>
      <c r="F743" s="7"/>
      <c r="G743" s="7"/>
      <c r="H743" s="7"/>
      <c r="I743" s="7"/>
      <c r="J743" s="244"/>
      <c r="K743" s="7"/>
      <c r="L743" s="6"/>
      <c r="M743" s="438"/>
      <c r="N743" s="29"/>
      <c r="O743" s="29"/>
      <c r="P743" s="29"/>
      <c r="Q743" s="332"/>
      <c r="R743" s="6"/>
      <c r="S743" s="7"/>
      <c r="T743" s="6"/>
      <c r="U743" s="243"/>
      <c r="Y743" s="56"/>
    </row>
    <row r="744" spans="3:25" ht="15" thickBot="1" x14ac:dyDescent="0.35">
      <c r="C744" s="157">
        <f t="shared" si="93"/>
        <v>44643</v>
      </c>
      <c r="E744" s="245"/>
      <c r="F744" s="246"/>
      <c r="G744" s="246"/>
      <c r="H744" s="246"/>
      <c r="I744" s="246"/>
      <c r="J744" s="246"/>
      <c r="K744" s="246"/>
      <c r="L744" s="247"/>
      <c r="M744" s="248"/>
      <c r="N744" s="248"/>
      <c r="O744" s="248"/>
      <c r="P744" s="248"/>
      <c r="Q744" s="331"/>
      <c r="R744" s="247"/>
      <c r="S744" s="247"/>
      <c r="T744" s="247"/>
      <c r="U744" s="249"/>
      <c r="W744">
        <f>+W405+1</f>
        <v>396</v>
      </c>
      <c r="Y744" s="59"/>
    </row>
    <row r="745" spans="3:25" x14ac:dyDescent="0.3">
      <c r="E745" s="56"/>
      <c r="F745" s="1"/>
      <c r="G745" s="56"/>
      <c r="H745" s="56"/>
      <c r="I745" s="56"/>
      <c r="J745" s="1"/>
      <c r="K745" s="56"/>
      <c r="S745" s="56"/>
    </row>
    <row r="746" spans="3:25" x14ac:dyDescent="0.3">
      <c r="C746" s="166" t="s">
        <v>73</v>
      </c>
      <c r="E746" s="56">
        <f>+E741</f>
        <v>4963787</v>
      </c>
      <c r="F746" s="56"/>
      <c r="G746" s="56">
        <f t="shared" ref="G746:U746" si="305">+G741</f>
        <v>2188228</v>
      </c>
      <c r="H746" s="56">
        <f t="shared" si="305"/>
        <v>0</v>
      </c>
      <c r="I746" s="56">
        <f t="shared" si="305"/>
        <v>731868</v>
      </c>
      <c r="J746" s="56">
        <f t="shared" si="305"/>
        <v>0</v>
      </c>
      <c r="K746" s="56">
        <f t="shared" si="305"/>
        <v>7883883</v>
      </c>
      <c r="L746" s="56">
        <f t="shared" si="305"/>
        <v>0</v>
      </c>
      <c r="M746" s="56">
        <f t="shared" si="305"/>
        <v>3.4004960917768517E-4</v>
      </c>
      <c r="N746" s="56">
        <f t="shared" si="305"/>
        <v>0</v>
      </c>
      <c r="O746" s="56">
        <f t="shared" si="305"/>
        <v>0</v>
      </c>
      <c r="P746" s="56">
        <f t="shared" si="305"/>
        <v>0</v>
      </c>
      <c r="Q746" s="56">
        <f t="shared" si="305"/>
        <v>2680</v>
      </c>
      <c r="R746" s="56">
        <f t="shared" si="305"/>
        <v>0</v>
      </c>
      <c r="S746" s="56">
        <f t="shared" si="305"/>
        <v>111697</v>
      </c>
      <c r="T746" s="56">
        <f t="shared" si="305"/>
        <v>0</v>
      </c>
      <c r="U746" s="56">
        <f t="shared" si="305"/>
        <v>2.402125115017657E-2</v>
      </c>
      <c r="V746" s="56">
        <f>+V259</f>
        <v>0</v>
      </c>
    </row>
    <row r="747" spans="3:25" x14ac:dyDescent="0.3">
      <c r="E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</row>
    <row r="748" spans="3:25" x14ac:dyDescent="0.3">
      <c r="E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3:25" x14ac:dyDescent="0.3">
      <c r="C749" s="111"/>
      <c r="D749" s="112"/>
      <c r="E749" s="349"/>
      <c r="F749" s="10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</row>
    <row r="750" spans="3:25" x14ac:dyDescent="0.3">
      <c r="E750" s="56"/>
      <c r="K750" s="56"/>
      <c r="Q750" s="56"/>
    </row>
    <row r="751" spans="3:25" x14ac:dyDescent="0.3">
      <c r="D751" s="549" t="s">
        <v>26</v>
      </c>
      <c r="E751" t="s">
        <v>158</v>
      </c>
      <c r="K751" s="549"/>
      <c r="Q751" s="56"/>
      <c r="S751" s="59"/>
    </row>
    <row r="753" spans="3:41" x14ac:dyDescent="0.3">
      <c r="U753" s="549"/>
    </row>
    <row r="754" spans="3:41" x14ac:dyDescent="0.3">
      <c r="AO754" s="1">
        <v>3797000</v>
      </c>
    </row>
    <row r="755" spans="3:41" x14ac:dyDescent="0.3">
      <c r="C755" s="1"/>
    </row>
    <row r="756" spans="3:41" x14ac:dyDescent="0.3">
      <c r="C756" s="1"/>
      <c r="AO756" s="1">
        <v>30000</v>
      </c>
    </row>
    <row r="757" spans="3:41" x14ac:dyDescent="0.3">
      <c r="C757" s="59"/>
    </row>
    <row r="758" spans="3:41" x14ac:dyDescent="0.3">
      <c r="AO758" s="235">
        <f>+AO756/AO754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735"/>
  <sheetViews>
    <sheetView topLeftCell="A681" workbookViewId="0">
      <selection activeCell="I21" sqref="I21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715" t="s">
        <v>101</v>
      </c>
      <c r="U3" s="716"/>
      <c r="V3" s="716"/>
      <c r="W3" s="716"/>
      <c r="X3" s="716"/>
      <c r="Y3" s="716"/>
      <c r="Z3" s="716"/>
      <c r="AA3" s="716"/>
      <c r="AB3" s="716"/>
      <c r="AC3" s="716"/>
      <c r="AD3" s="717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3.0928714770561061E-3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718" t="s">
        <v>91</v>
      </c>
      <c r="F15" s="718"/>
      <c r="G15" s="718"/>
      <c r="H15" s="718"/>
      <c r="I15" s="718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724" t="s">
        <v>44</v>
      </c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6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727" t="s">
        <v>67</v>
      </c>
      <c r="F19" s="727"/>
      <c r="G19" s="727"/>
      <c r="H19" s="727"/>
      <c r="I19" s="134" t="s">
        <v>66</v>
      </c>
      <c r="J19" s="135"/>
      <c r="K19" s="732" t="s">
        <v>64</v>
      </c>
      <c r="L19" s="732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Table'!$H$730</f>
        <v>71290269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Table'!AA746</f>
        <v>878666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3129</v>
      </c>
      <c r="J22" s="116"/>
      <c r="K22" s="127"/>
      <c r="L22" s="238">
        <v>3214</v>
      </c>
      <c r="M22" s="127"/>
      <c r="N22" s="147">
        <f>+(I22-L22)/I22</f>
        <v>-2.7165228507510387E-2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70408474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Table'!AP746</f>
        <v>63006762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728" t="s">
        <v>47</v>
      </c>
      <c r="E25" s="729"/>
      <c r="F25" s="729"/>
      <c r="G25" s="729"/>
      <c r="H25" s="729"/>
      <c r="I25" s="119">
        <f>+I23-I24</f>
        <v>7401712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63006762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728" t="s">
        <v>44</v>
      </c>
      <c r="E27" s="729"/>
      <c r="F27" s="729"/>
      <c r="G27" s="729"/>
      <c r="H27" s="729"/>
      <c r="I27" s="136">
        <f>+I25+I26</f>
        <v>70408474</v>
      </c>
      <c r="J27" s="116"/>
      <c r="K27" s="733">
        <v>70370439</v>
      </c>
      <c r="L27" s="733"/>
      <c r="M27" s="127"/>
      <c r="N27" s="137">
        <f>+I27-K27</f>
        <v>38035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730" t="s">
        <v>61</v>
      </c>
      <c r="F28" s="730"/>
      <c r="G28" s="730"/>
      <c r="H28" s="124"/>
      <c r="I28" s="232">
        <f>+I27/I32</f>
        <v>0.98461952098263938</v>
      </c>
      <c r="J28" s="127"/>
      <c r="K28" s="127"/>
      <c r="L28" s="127"/>
      <c r="M28" s="98"/>
      <c r="N28" s="463">
        <f>+N27/K27</f>
        <v>5.4049684129439635E-4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709" t="s">
        <v>101</v>
      </c>
      <c r="F31" s="710"/>
      <c r="G31" s="710"/>
      <c r="H31" s="710"/>
      <c r="I31" s="710"/>
      <c r="J31" s="711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704">
        <f>+'Main Table'!H746</f>
        <v>71508306</v>
      </c>
      <c r="J32" s="704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705">
        <f>+I27</f>
        <v>70408474</v>
      </c>
      <c r="J34" s="706"/>
      <c r="K34" s="22"/>
      <c r="L34" s="25">
        <f>+I34/$I$32</f>
        <v>0.98461952098263938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712">
        <f>+I21</f>
        <v>878666</v>
      </c>
      <c r="J35" s="713"/>
      <c r="K35" s="22"/>
      <c r="L35" s="25">
        <f>+I35/$I$32</f>
        <v>1.2287607540304479E-2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731" t="s">
        <v>101</v>
      </c>
      <c r="F36" s="731"/>
      <c r="G36" s="731"/>
      <c r="H36" s="233"/>
      <c r="I36" s="707">
        <f>+I32-I34-I35</f>
        <v>221166</v>
      </c>
      <c r="J36" s="708"/>
      <c r="K36" s="259"/>
      <c r="L36" s="234">
        <f>+I36/$I$32</f>
        <v>3.0928714770561061E-3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719" t="s">
        <v>114</v>
      </c>
      <c r="E41" s="720"/>
      <c r="F41" s="720"/>
      <c r="G41" s="720"/>
      <c r="H41" s="720"/>
      <c r="I41" s="720"/>
      <c r="J41" s="720"/>
      <c r="K41" s="720"/>
      <c r="L41" s="720"/>
      <c r="M41" s="720"/>
      <c r="N41" s="720"/>
      <c r="O41" s="721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722" t="s">
        <v>67</v>
      </c>
      <c r="F42" s="722"/>
      <c r="G42" s="722"/>
      <c r="H42" s="722"/>
      <c r="I42" s="260" t="s">
        <v>66</v>
      </c>
      <c r="J42" s="261"/>
      <c r="K42" s="723" t="s">
        <v>35</v>
      </c>
      <c r="L42" s="723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Table'!AP764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88" t="s">
        <v>47</v>
      </c>
      <c r="E48" s="689"/>
      <c r="F48" s="689"/>
      <c r="G48" s="689"/>
      <c r="H48" s="689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88" t="s">
        <v>44</v>
      </c>
      <c r="E50" s="689"/>
      <c r="F50" s="689"/>
      <c r="G50" s="689"/>
      <c r="H50" s="689"/>
      <c r="I50" s="340">
        <f>+I48+I49</f>
        <v>22172</v>
      </c>
      <c r="J50" s="336"/>
      <c r="K50" s="690">
        <v>30167</v>
      </c>
      <c r="L50" s="690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691" t="s">
        <v>61</v>
      </c>
      <c r="F51" s="691"/>
      <c r="G51" s="691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92" t="s">
        <v>115</v>
      </c>
      <c r="F54" s="693"/>
      <c r="G54" s="693"/>
      <c r="H54" s="693"/>
      <c r="I54" s="693"/>
      <c r="J54" s="694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695">
        <f>+K50</f>
        <v>30167</v>
      </c>
      <c r="J55" s="695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696">
        <f>+I50</f>
        <v>22172</v>
      </c>
      <c r="J57" s="697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698">
        <f>+I44</f>
        <v>1836</v>
      </c>
      <c r="J58" s="699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0" t="s">
        <v>101</v>
      </c>
      <c r="F59" s="700"/>
      <c r="G59" s="700"/>
      <c r="H59" s="267"/>
      <c r="I59" s="701">
        <f>+I55-I57-I58</f>
        <v>6159</v>
      </c>
      <c r="J59" s="702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3">
        <f>+I45</f>
        <v>1397</v>
      </c>
      <c r="J60" s="703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701">
        <f>+I59-I60</f>
        <v>4762</v>
      </c>
      <c r="J61" s="701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92" t="s">
        <v>104</v>
      </c>
      <c r="F64" s="693"/>
      <c r="G64" s="693"/>
      <c r="H64" s="693"/>
      <c r="I64" s="693"/>
      <c r="J64" s="693"/>
      <c r="K64" s="693"/>
      <c r="L64" s="693"/>
      <c r="M64" s="694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87">
        <v>11690000</v>
      </c>
      <c r="J65" s="687"/>
      <c r="K65" s="687"/>
      <c r="L65" s="687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714" t="s">
        <v>95</v>
      </c>
      <c r="G67" s="714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662" t="s">
        <v>118</v>
      </c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4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665" t="s">
        <v>67</v>
      </c>
      <c r="F73" s="665"/>
      <c r="G73" s="665"/>
      <c r="H73" s="665"/>
      <c r="I73" s="355" t="s">
        <v>66</v>
      </c>
      <c r="J73" s="356"/>
      <c r="K73" s="666" t="s">
        <v>35</v>
      </c>
      <c r="L73" s="666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Table'!AP805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667" t="s">
        <v>47</v>
      </c>
      <c r="E79" s="668"/>
      <c r="F79" s="668"/>
      <c r="G79" s="668"/>
      <c r="H79" s="668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667" t="s">
        <v>44</v>
      </c>
      <c r="E81" s="668"/>
      <c r="F81" s="668"/>
      <c r="G81" s="668"/>
      <c r="H81" s="668"/>
      <c r="I81" s="370">
        <f>+I79+I80</f>
        <v>36684</v>
      </c>
      <c r="J81" s="363"/>
      <c r="K81" s="670">
        <v>48675</v>
      </c>
      <c r="L81" s="670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669" t="s">
        <v>61</v>
      </c>
      <c r="F82" s="669"/>
      <c r="G82" s="669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3.0928714770561061E-3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3.0928714770561061E-3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3.0928714770561061E-3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3.0928714770561061E-3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699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3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3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3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3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3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3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3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3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3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3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3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3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3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3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3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3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3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3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3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3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3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3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3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3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3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3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3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3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3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3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3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3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3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3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3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3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3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3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3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3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3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3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3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3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3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3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3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3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3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3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3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3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3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3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3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3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3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3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3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3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3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3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3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3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3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3">
      <c r="O648" s="98"/>
      <c r="T648" s="250"/>
      <c r="U648" s="252">
        <f t="shared" ref="U648:U698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3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3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3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3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3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3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3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3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3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3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3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3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3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3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3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3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3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3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3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3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3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3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3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3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15:30" x14ac:dyDescent="0.3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15:30" x14ac:dyDescent="0.3">
      <c r="O674" s="98"/>
      <c r="T674" s="250"/>
      <c r="U674" s="573">
        <f t="shared" si="47"/>
        <v>44619</v>
      </c>
      <c r="V674" s="6"/>
      <c r="W674" s="580"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15:30" x14ac:dyDescent="0.3">
      <c r="O675" s="98"/>
      <c r="T675" s="250"/>
      <c r="U675" s="252">
        <f t="shared" si="47"/>
        <v>44620</v>
      </c>
      <c r="V675" s="6"/>
      <c r="W675" s="580">
        <v>654615</v>
      </c>
      <c r="X675" s="581"/>
      <c r="Y675" s="44">
        <v>3.0000000000000001E-3</v>
      </c>
      <c r="Z675" s="581"/>
      <c r="AA675" s="582">
        <f t="shared" ref="AA675" si="75">+W674-W675</f>
        <v>82259</v>
      </c>
      <c r="AB675" s="581"/>
      <c r="AC675" s="583"/>
      <c r="AD675" s="251"/>
    </row>
    <row r="676" spans="15:30" x14ac:dyDescent="0.3">
      <c r="O676" s="98"/>
      <c r="T676" s="250"/>
      <c r="U676" s="252">
        <f t="shared" si="47"/>
        <v>44621</v>
      </c>
      <c r="V676" s="6"/>
      <c r="W676" s="580">
        <v>592889</v>
      </c>
      <c r="X676" s="581"/>
      <c r="Y676" s="44">
        <v>3.0000000000000001E-3</v>
      </c>
      <c r="Z676" s="581"/>
      <c r="AA676" s="582">
        <f t="shared" ref="AA676" si="76">+W675-W676</f>
        <v>61726</v>
      </c>
      <c r="AB676" s="581"/>
      <c r="AC676" s="583"/>
      <c r="AD676" s="251"/>
    </row>
    <row r="677" spans="15:30" x14ac:dyDescent="0.3">
      <c r="O677" s="98"/>
      <c r="T677" s="250"/>
      <c r="U677" s="252">
        <f t="shared" si="47"/>
        <v>44622</v>
      </c>
      <c r="V677" s="6"/>
      <c r="W677" s="580">
        <v>534747</v>
      </c>
      <c r="X677" s="581"/>
      <c r="Y677" s="44">
        <v>3.0000000000000001E-3</v>
      </c>
      <c r="Z677" s="581"/>
      <c r="AA677" s="582">
        <f t="shared" ref="AA677" si="77">+W676-W677</f>
        <v>58142</v>
      </c>
      <c r="AB677" s="581"/>
      <c r="AC677" s="583"/>
      <c r="AD677" s="251"/>
    </row>
    <row r="678" spans="15:30" x14ac:dyDescent="0.3">
      <c r="O678" s="98"/>
      <c r="T678" s="250"/>
      <c r="U678" s="252">
        <f t="shared" si="47"/>
        <v>44623</v>
      </c>
      <c r="V678" s="6"/>
      <c r="W678" s="580">
        <v>542259</v>
      </c>
      <c r="X678" s="581"/>
      <c r="Y678" s="44">
        <v>3.0000000000000001E-3</v>
      </c>
      <c r="Z678" s="581"/>
      <c r="AA678" s="582">
        <f t="shared" ref="AA678" si="78">+W677-W678</f>
        <v>-7512</v>
      </c>
      <c r="AB678" s="581"/>
      <c r="AC678" s="583"/>
      <c r="AD678" s="251"/>
    </row>
    <row r="679" spans="15:30" x14ac:dyDescent="0.3">
      <c r="O679" s="98"/>
      <c r="T679" s="250"/>
      <c r="U679" s="252">
        <f t="shared" si="47"/>
        <v>44624</v>
      </c>
      <c r="V679" s="6"/>
      <c r="W679" s="580">
        <v>572569</v>
      </c>
      <c r="X679" s="581"/>
      <c r="Y679" s="44">
        <v>3.0000000000000001E-3</v>
      </c>
      <c r="Z679" s="581"/>
      <c r="AA679" s="582">
        <f t="shared" ref="AA679" si="79">+W678-W679</f>
        <v>-30310</v>
      </c>
      <c r="AB679" s="581"/>
      <c r="AC679" s="583"/>
      <c r="AD679" s="251"/>
    </row>
    <row r="680" spans="15:30" x14ac:dyDescent="0.3">
      <c r="O680" s="98"/>
      <c r="T680" s="250"/>
      <c r="U680" s="252">
        <f t="shared" si="47"/>
        <v>44625</v>
      </c>
      <c r="V680" s="6"/>
      <c r="W680" s="580">
        <v>560611</v>
      </c>
      <c r="X680" s="581"/>
      <c r="Y680" s="44">
        <v>3.0000000000000001E-3</v>
      </c>
      <c r="Z680" s="581"/>
      <c r="AA680" s="582">
        <f t="shared" ref="AA680" si="80">+W679-W680</f>
        <v>11958</v>
      </c>
      <c r="AB680" s="581"/>
      <c r="AC680" s="583"/>
      <c r="AD680" s="251"/>
    </row>
    <row r="681" spans="15:30" x14ac:dyDescent="0.3">
      <c r="O681" s="98"/>
      <c r="T681" s="250"/>
      <c r="U681" s="573">
        <f t="shared" si="47"/>
        <v>44626</v>
      </c>
      <c r="V681" s="6"/>
      <c r="W681" s="580">
        <v>503651</v>
      </c>
      <c r="X681" s="581"/>
      <c r="Y681" s="44">
        <v>3.0000000000000001E-3</v>
      </c>
      <c r="Z681" s="581"/>
      <c r="AA681" s="582">
        <f t="shared" ref="AA681" si="81">+W680-W681</f>
        <v>56960</v>
      </c>
      <c r="AB681" s="581"/>
      <c r="AC681" s="583"/>
      <c r="AD681" s="251"/>
    </row>
    <row r="682" spans="15:30" x14ac:dyDescent="0.3">
      <c r="O682" s="98"/>
      <c r="T682" s="250"/>
      <c r="U682" s="252">
        <f t="shared" si="47"/>
        <v>44627</v>
      </c>
      <c r="V682" s="6"/>
      <c r="W682" s="580">
        <v>453487</v>
      </c>
      <c r="X682" s="581"/>
      <c r="Y682" s="44">
        <v>3.0000000000000001E-3</v>
      </c>
      <c r="Z682" s="581"/>
      <c r="AA682" s="582">
        <f t="shared" ref="AA682" si="82">+W681-W682</f>
        <v>50164</v>
      </c>
      <c r="AB682" s="581"/>
      <c r="AC682" s="583"/>
      <c r="AD682" s="251"/>
    </row>
    <row r="683" spans="15:30" x14ac:dyDescent="0.3">
      <c r="O683" s="98"/>
      <c r="T683" s="250"/>
      <c r="U683" s="252">
        <f t="shared" si="47"/>
        <v>44628</v>
      </c>
      <c r="V683" s="6"/>
      <c r="W683" s="580">
        <v>411950</v>
      </c>
      <c r="X683" s="581"/>
      <c r="Y683" s="44">
        <v>3.0000000000000001E-3</v>
      </c>
      <c r="Z683" s="581"/>
      <c r="AA683" s="582">
        <f t="shared" ref="AA683" si="83">+W682-W683</f>
        <v>41537</v>
      </c>
      <c r="AB683" s="581"/>
      <c r="AC683" s="583"/>
      <c r="AD683" s="251"/>
    </row>
    <row r="684" spans="15:30" x14ac:dyDescent="0.3">
      <c r="O684" s="98"/>
      <c r="T684" s="250"/>
      <c r="U684" s="252">
        <f t="shared" si="47"/>
        <v>44629</v>
      </c>
      <c r="V684" s="6"/>
      <c r="W684" s="580">
        <v>374629</v>
      </c>
      <c r="X684" s="581"/>
      <c r="Y684" s="44">
        <v>3.0000000000000001E-3</v>
      </c>
      <c r="Z684" s="581"/>
      <c r="AA684" s="582">
        <f t="shared" ref="AA684" si="84">+W683-W684</f>
        <v>37321</v>
      </c>
      <c r="AB684" s="581"/>
      <c r="AC684" s="583"/>
      <c r="AD684" s="251"/>
    </row>
    <row r="685" spans="15:30" x14ac:dyDescent="0.3">
      <c r="O685" s="98"/>
      <c r="T685" s="250"/>
      <c r="U685" s="252">
        <f t="shared" si="47"/>
        <v>44630</v>
      </c>
      <c r="V685" s="6"/>
      <c r="W685" s="580">
        <v>386394</v>
      </c>
      <c r="X685" s="581"/>
      <c r="Y685" s="44">
        <v>3.0000000000000001E-3</v>
      </c>
      <c r="Z685" s="581"/>
      <c r="AA685" s="582">
        <f t="shared" ref="AA685" si="85">+W684-W685</f>
        <v>-11765</v>
      </c>
      <c r="AB685" s="581"/>
      <c r="AC685" s="583"/>
      <c r="AD685" s="251"/>
    </row>
    <row r="686" spans="15:30" x14ac:dyDescent="0.3">
      <c r="O686" s="98"/>
      <c r="T686" s="250"/>
      <c r="U686" s="252">
        <f t="shared" si="47"/>
        <v>44631</v>
      </c>
      <c r="V686" s="6"/>
      <c r="W686" s="580">
        <v>417900</v>
      </c>
      <c r="X686" s="581"/>
      <c r="Y686" s="44">
        <v>3.0000000000000001E-3</v>
      </c>
      <c r="Z686" s="581"/>
      <c r="AA686" s="582">
        <f t="shared" ref="AA686" si="86">+W685-W686</f>
        <v>-31506</v>
      </c>
      <c r="AB686" s="581"/>
      <c r="AC686" s="583"/>
      <c r="AD686" s="251"/>
    </row>
    <row r="687" spans="15:30" x14ac:dyDescent="0.3">
      <c r="O687" s="98"/>
      <c r="T687" s="250"/>
      <c r="U687" s="252">
        <f t="shared" si="47"/>
        <v>44632</v>
      </c>
      <c r="V687" s="6"/>
      <c r="W687" s="580">
        <v>397028</v>
      </c>
      <c r="X687" s="581"/>
      <c r="Y687" s="44">
        <v>3.0000000000000001E-3</v>
      </c>
      <c r="Z687" s="581"/>
      <c r="AA687" s="582">
        <f t="shared" ref="AA687" si="87">+W686-W687</f>
        <v>20872</v>
      </c>
      <c r="AB687" s="581"/>
      <c r="AC687" s="583"/>
      <c r="AD687" s="251"/>
    </row>
    <row r="688" spans="15:30" x14ac:dyDescent="0.3">
      <c r="O688" s="98"/>
      <c r="T688" s="250"/>
      <c r="U688" s="573">
        <f t="shared" si="47"/>
        <v>44633</v>
      </c>
      <c r="V688" s="6"/>
      <c r="W688" s="580">
        <v>360133</v>
      </c>
      <c r="X688" s="581"/>
      <c r="Y688" s="44">
        <v>3.0000000000000001E-3</v>
      </c>
      <c r="Z688" s="581"/>
      <c r="AA688" s="582">
        <f t="shared" ref="AA688" si="88">+W687-W688</f>
        <v>36895</v>
      </c>
      <c r="AB688" s="581"/>
      <c r="AC688" s="583"/>
      <c r="AD688" s="251"/>
    </row>
    <row r="689" spans="15:30" x14ac:dyDescent="0.3">
      <c r="O689" s="98"/>
      <c r="T689" s="250"/>
      <c r="U689" s="252">
        <f t="shared" si="47"/>
        <v>44634</v>
      </c>
      <c r="V689" s="6"/>
      <c r="W689" s="580">
        <v>328748</v>
      </c>
      <c r="X689" s="581"/>
      <c r="Y689" s="44">
        <v>3.0000000000000001E-3</v>
      </c>
      <c r="Z689" s="581"/>
      <c r="AA689" s="582">
        <f t="shared" ref="AA689" si="89">+W688-W689</f>
        <v>31385</v>
      </c>
      <c r="AB689" s="581"/>
      <c r="AC689" s="583"/>
      <c r="AD689" s="251"/>
    </row>
    <row r="690" spans="15:30" x14ac:dyDescent="0.3">
      <c r="O690" s="98"/>
      <c r="T690" s="250"/>
      <c r="U690" s="252">
        <f t="shared" si="47"/>
        <v>44635</v>
      </c>
      <c r="V690" s="6"/>
      <c r="W690" s="580">
        <v>298767</v>
      </c>
      <c r="X690" s="581"/>
      <c r="Y690" s="44">
        <v>3.0000000000000001E-3</v>
      </c>
      <c r="Z690" s="581"/>
      <c r="AA690" s="582">
        <f t="shared" ref="AA690" si="90">+W689-W690</f>
        <v>29981</v>
      </c>
      <c r="AB690" s="581"/>
      <c r="AC690" s="583"/>
      <c r="AD690" s="251"/>
    </row>
    <row r="691" spans="15:30" x14ac:dyDescent="0.3">
      <c r="O691" s="98"/>
      <c r="T691" s="250"/>
      <c r="U691" s="252">
        <f t="shared" si="47"/>
        <v>44636</v>
      </c>
      <c r="V691" s="6"/>
      <c r="W691" s="580">
        <v>268203</v>
      </c>
      <c r="X691" s="581"/>
      <c r="Y691" s="44">
        <v>3.0000000000000001E-3</v>
      </c>
      <c r="Z691" s="581"/>
      <c r="AA691" s="582">
        <f t="shared" ref="AA691" si="91">+W690-W691</f>
        <v>30564</v>
      </c>
      <c r="AB691" s="581"/>
      <c r="AC691" s="583"/>
      <c r="AD691" s="251"/>
    </row>
    <row r="692" spans="15:30" x14ac:dyDescent="0.3">
      <c r="O692" s="98"/>
      <c r="T692" s="250"/>
      <c r="U692" s="252">
        <f t="shared" si="47"/>
        <v>44637</v>
      </c>
      <c r="V692" s="6"/>
      <c r="W692" s="580">
        <v>277814</v>
      </c>
      <c r="X692" s="581"/>
      <c r="Y692" s="44">
        <v>3.0000000000000001E-3</v>
      </c>
      <c r="Z692" s="581"/>
      <c r="AA692" s="582">
        <f t="shared" ref="AA692" si="92">+W691-W692</f>
        <v>-9611</v>
      </c>
      <c r="AB692" s="581"/>
      <c r="AC692" s="583"/>
      <c r="AD692" s="251"/>
    </row>
    <row r="693" spans="15:30" x14ac:dyDescent="0.3">
      <c r="O693" s="98"/>
      <c r="T693" s="250"/>
      <c r="U693" s="252">
        <f t="shared" si="47"/>
        <v>44638</v>
      </c>
      <c r="V693" s="6"/>
      <c r="W693" s="580">
        <v>280309</v>
      </c>
      <c r="X693" s="581"/>
      <c r="Y693" s="44">
        <v>3.0000000000000001E-3</v>
      </c>
      <c r="Z693" s="581"/>
      <c r="AA693" s="582">
        <f t="shared" ref="AA693" si="93">+W692-W693</f>
        <v>-2495</v>
      </c>
      <c r="AB693" s="581"/>
      <c r="AC693" s="583"/>
      <c r="AD693" s="251"/>
    </row>
    <row r="694" spans="15:30" x14ac:dyDescent="0.3">
      <c r="O694" s="98"/>
      <c r="T694" s="250"/>
      <c r="U694" s="252">
        <f t="shared" si="47"/>
        <v>44639</v>
      </c>
      <c r="V694" s="6"/>
      <c r="W694" s="580">
        <v>253323</v>
      </c>
      <c r="X694" s="581"/>
      <c r="Y694" s="44">
        <v>3.0000000000000001E-3</v>
      </c>
      <c r="Z694" s="581"/>
      <c r="AA694" s="582">
        <f t="shared" ref="AA694" si="94">+W693-W694</f>
        <v>26986</v>
      </c>
      <c r="AB694" s="581"/>
      <c r="AC694" s="583"/>
      <c r="AD694" s="251"/>
    </row>
    <row r="695" spans="15:30" x14ac:dyDescent="0.3">
      <c r="O695" s="98"/>
      <c r="T695" s="250"/>
      <c r="U695" s="573">
        <f t="shared" si="47"/>
        <v>44640</v>
      </c>
      <c r="V695" s="6"/>
      <c r="W695" s="580">
        <f>+I$36</f>
        <v>221166</v>
      </c>
      <c r="X695" s="581"/>
      <c r="Y695" s="44">
        <v>3.0000000000000001E-3</v>
      </c>
      <c r="Z695" s="581"/>
      <c r="AA695" s="582">
        <f t="shared" ref="AA695" si="95">+W694-W695</f>
        <v>32157</v>
      </c>
      <c r="AB695" s="581"/>
      <c r="AC695" s="583"/>
      <c r="AD695" s="251"/>
    </row>
    <row r="696" spans="15:30" x14ac:dyDescent="0.3">
      <c r="O696" s="98"/>
      <c r="T696" s="250"/>
      <c r="U696" s="252">
        <f t="shared" si="47"/>
        <v>44641</v>
      </c>
      <c r="V696" s="6"/>
      <c r="W696" s="580"/>
      <c r="X696" s="581"/>
      <c r="Y696" s="44"/>
      <c r="Z696" s="581"/>
      <c r="AA696" s="582"/>
      <c r="AB696" s="581"/>
      <c r="AC696" s="583"/>
      <c r="AD696" s="251"/>
    </row>
    <row r="697" spans="15:30" x14ac:dyDescent="0.3">
      <c r="O697" s="98"/>
      <c r="T697" s="250"/>
      <c r="U697" s="252">
        <f t="shared" si="47"/>
        <v>44642</v>
      </c>
      <c r="V697" s="6"/>
      <c r="W697" s="580"/>
      <c r="X697" s="581"/>
      <c r="Y697" s="44"/>
      <c r="Z697" s="581"/>
      <c r="AA697" s="582"/>
      <c r="AB697" s="581"/>
      <c r="AC697" s="583"/>
      <c r="AD697" s="251"/>
    </row>
    <row r="698" spans="15:30" x14ac:dyDescent="0.3">
      <c r="O698" s="98"/>
      <c r="T698" s="250"/>
      <c r="U698" s="252">
        <f t="shared" si="47"/>
        <v>44643</v>
      </c>
      <c r="V698" s="6"/>
      <c r="W698" s="253"/>
      <c r="X698" s="6"/>
      <c r="Y698" s="44"/>
      <c r="Z698" s="6"/>
      <c r="AA698" s="254"/>
      <c r="AB698" s="6"/>
      <c r="AC698" s="258"/>
      <c r="AD698" s="251"/>
    </row>
    <row r="699" spans="15:30" ht="15" thickBot="1" x14ac:dyDescent="0.35">
      <c r="O699" s="98"/>
      <c r="T699" s="255"/>
      <c r="U699" s="350">
        <f t="shared" si="25"/>
        <v>44644</v>
      </c>
      <c r="V699" s="247"/>
      <c r="W699" s="351"/>
      <c r="X699" s="247"/>
      <c r="Y699" s="256"/>
      <c r="Z699" s="247"/>
      <c r="AA699" s="352"/>
      <c r="AB699" s="247"/>
      <c r="AC699" s="353"/>
      <c r="AD699" s="257"/>
    </row>
    <row r="700" spans="15:30" x14ac:dyDescent="0.3">
      <c r="O700" s="98"/>
    </row>
    <row r="701" spans="15:30" x14ac:dyDescent="0.3">
      <c r="O701" s="98"/>
      <c r="P701" s="57"/>
      <c r="Q701" s="57"/>
      <c r="R701" s="57"/>
      <c r="W701" s="56"/>
    </row>
    <row r="702" spans="15:30" x14ac:dyDescent="0.3">
      <c r="O702" s="98"/>
    </row>
    <row r="703" spans="15:30" ht="15" thickBot="1" x14ac:dyDescent="0.35">
      <c r="O703" s="98"/>
    </row>
    <row r="704" spans="15:30" ht="15.6" thickTop="1" thickBot="1" x14ac:dyDescent="0.35">
      <c r="Q704" s="441"/>
      <c r="R704" s="442"/>
      <c r="S704" s="442"/>
      <c r="T704" s="442"/>
      <c r="U704" s="442"/>
      <c r="V704" s="442"/>
      <c r="W704" s="442"/>
      <c r="X704" s="442"/>
      <c r="Y704" s="442"/>
      <c r="Z704" s="442"/>
      <c r="AA704" s="442"/>
      <c r="AB704" s="443"/>
    </row>
    <row r="705" spans="4:36" ht="15" thickBot="1" x14ac:dyDescent="0.35">
      <c r="E705" s="674" t="s">
        <v>106</v>
      </c>
      <c r="F705" s="675"/>
      <c r="G705" s="675"/>
      <c r="H705" s="675"/>
      <c r="I705" s="675"/>
      <c r="J705" s="675"/>
      <c r="K705" s="675"/>
      <c r="L705" s="675"/>
      <c r="M705" s="676"/>
      <c r="Q705" s="444"/>
      <c r="R705" s="6"/>
      <c r="S705" s="6"/>
      <c r="T705" s="6"/>
      <c r="U705" s="5" t="s">
        <v>132</v>
      </c>
      <c r="V705" s="5"/>
      <c r="W705" s="5"/>
      <c r="X705" s="5"/>
      <c r="Y705" s="5"/>
      <c r="Z705" s="5"/>
      <c r="AA705" s="5" t="s">
        <v>28</v>
      </c>
      <c r="AB705" s="445"/>
    </row>
    <row r="706" spans="4:36" x14ac:dyDescent="0.3">
      <c r="E706" s="395"/>
      <c r="F706" s="396" t="s">
        <v>107</v>
      </c>
      <c r="G706" s="396"/>
      <c r="H706" s="396"/>
      <c r="I706" s="677">
        <v>21477737</v>
      </c>
      <c r="J706" s="677"/>
      <c r="K706" s="677"/>
      <c r="L706" s="677"/>
      <c r="M706" s="397"/>
      <c r="Q706" s="444"/>
      <c r="R706" s="437" t="s">
        <v>134</v>
      </c>
      <c r="S706" s="6"/>
      <c r="T706" s="6"/>
      <c r="U706" s="437" t="s">
        <v>133</v>
      </c>
      <c r="V706" s="5"/>
      <c r="W706" s="437" t="s">
        <v>20</v>
      </c>
      <c r="X706" s="5"/>
      <c r="Y706" s="437" t="s">
        <v>4</v>
      </c>
      <c r="Z706" s="5"/>
      <c r="AA706" s="446" t="s">
        <v>131</v>
      </c>
      <c r="AB706" s="445"/>
    </row>
    <row r="707" spans="4:36" x14ac:dyDescent="0.3">
      <c r="E707" s="395"/>
      <c r="F707" s="396" t="s">
        <v>97</v>
      </c>
      <c r="G707" s="396"/>
      <c r="H707" s="396"/>
      <c r="I707" s="396"/>
      <c r="J707" s="396"/>
      <c r="K707" s="396"/>
      <c r="L707" s="398">
        <f>+I719/I706</f>
        <v>4.5847474526762295E-4</v>
      </c>
      <c r="M707" s="397"/>
      <c r="Q707" s="444"/>
      <c r="R707" s="6" t="s">
        <v>121</v>
      </c>
      <c r="S707" s="6"/>
      <c r="T707" s="6"/>
      <c r="U707" s="7">
        <v>2003</v>
      </c>
      <c r="V707" s="6"/>
      <c r="W707" s="7">
        <v>389666</v>
      </c>
      <c r="X707" s="6"/>
      <c r="Y707" s="7">
        <v>31257</v>
      </c>
      <c r="Z707" s="6"/>
      <c r="AA707" s="253">
        <f>+AJ707</f>
        <v>19500</v>
      </c>
      <c r="AB707" s="445"/>
      <c r="AJ707" s="1">
        <v>19500</v>
      </c>
    </row>
    <row r="708" spans="4:36" x14ac:dyDescent="0.3">
      <c r="E708" s="395"/>
      <c r="F708" s="678" t="s">
        <v>95</v>
      </c>
      <c r="G708" s="678"/>
      <c r="H708" s="396"/>
      <c r="I708" s="396"/>
      <c r="J708" s="396"/>
      <c r="K708" s="396"/>
      <c r="L708" s="399">
        <f>+I719/(I706/100000)</f>
        <v>45.847474526762298</v>
      </c>
      <c r="M708" s="397"/>
      <c r="Q708" s="444"/>
      <c r="R708" s="6" t="s">
        <v>122</v>
      </c>
      <c r="S708" s="6"/>
      <c r="T708" s="6"/>
      <c r="U708" s="7">
        <v>1913</v>
      </c>
      <c r="V708" s="6"/>
      <c r="W708" s="7">
        <v>169892</v>
      </c>
      <c r="X708" s="6"/>
      <c r="Y708" s="7">
        <v>13076</v>
      </c>
      <c r="Z708" s="6"/>
      <c r="AA708" s="253">
        <f t="shared" ref="AA708:AA716" si="96">+AJ708</f>
        <v>8900</v>
      </c>
      <c r="AB708" s="445"/>
      <c r="AJ708" s="1">
        <v>8900</v>
      </c>
    </row>
    <row r="709" spans="4:36" x14ac:dyDescent="0.3">
      <c r="E709" s="395"/>
      <c r="F709" s="400"/>
      <c r="G709" s="400"/>
      <c r="H709" s="396"/>
      <c r="I709" s="396"/>
      <c r="J709" s="396"/>
      <c r="K709" s="396"/>
      <c r="L709" s="399"/>
      <c r="M709" s="397"/>
      <c r="Q709" s="444"/>
      <c r="R709" s="6" t="s">
        <v>123</v>
      </c>
      <c r="S709" s="6"/>
      <c r="T709" s="6"/>
      <c r="U709" s="7">
        <v>1568</v>
      </c>
      <c r="V709" s="6"/>
      <c r="W709" s="7">
        <v>16606</v>
      </c>
      <c r="X709" s="6"/>
      <c r="Y709" s="7">
        <v>912</v>
      </c>
      <c r="Z709" s="6"/>
      <c r="AA709" s="253">
        <f t="shared" si="96"/>
        <v>1100</v>
      </c>
      <c r="AB709" s="445"/>
      <c r="AJ709" s="1">
        <v>1100</v>
      </c>
    </row>
    <row r="710" spans="4:36" x14ac:dyDescent="0.3">
      <c r="E710" s="395"/>
      <c r="F710" s="400" t="s">
        <v>108</v>
      </c>
      <c r="G710" s="400"/>
      <c r="H710" s="678" t="s">
        <v>109</v>
      </c>
      <c r="I710" s="678"/>
      <c r="J710" s="396"/>
      <c r="K710" s="396"/>
      <c r="L710" s="399"/>
      <c r="M710" s="397"/>
      <c r="Q710" s="444"/>
      <c r="R710" s="6" t="s">
        <v>56</v>
      </c>
      <c r="S710" s="6"/>
      <c r="T710" s="6"/>
      <c r="U710" s="7">
        <v>1561</v>
      </c>
      <c r="V710" s="6"/>
      <c r="W710" s="7">
        <v>107611</v>
      </c>
      <c r="X710" s="6"/>
      <c r="Y710" s="7">
        <v>7937</v>
      </c>
      <c r="Z710" s="6"/>
      <c r="AA710" s="253">
        <f t="shared" si="96"/>
        <v>7000</v>
      </c>
      <c r="AB710" s="445"/>
      <c r="AJ710" s="1">
        <v>7000</v>
      </c>
    </row>
    <row r="711" spans="4:36" ht="15" thickBot="1" x14ac:dyDescent="0.35">
      <c r="E711" s="401"/>
      <c r="F711" s="402"/>
      <c r="G711" s="402"/>
      <c r="H711" s="402"/>
      <c r="I711" s="402"/>
      <c r="J711" s="402"/>
      <c r="K711" s="402"/>
      <c r="L711" s="402"/>
      <c r="M711" s="403"/>
      <c r="Q711" s="444"/>
      <c r="R711" s="6" t="s">
        <v>128</v>
      </c>
      <c r="S711" s="6"/>
      <c r="T711" s="6"/>
      <c r="U711" s="7">
        <v>1435</v>
      </c>
      <c r="V711" s="6"/>
      <c r="W711" s="7">
        <v>10128</v>
      </c>
      <c r="X711" s="6"/>
      <c r="Y711" s="7">
        <v>541</v>
      </c>
      <c r="Z711" s="6"/>
      <c r="AA711" s="253">
        <f t="shared" si="96"/>
        <v>700</v>
      </c>
      <c r="AB711" s="445"/>
      <c r="AJ711" s="1">
        <v>700</v>
      </c>
    </row>
    <row r="712" spans="4:36" x14ac:dyDescent="0.3">
      <c r="Q712" s="444"/>
      <c r="R712" s="6" t="s">
        <v>124</v>
      </c>
      <c r="S712" s="6"/>
      <c r="T712" s="6"/>
      <c r="U712" s="7">
        <v>1288</v>
      </c>
      <c r="V712" s="6"/>
      <c r="W712" s="7">
        <v>45913</v>
      </c>
      <c r="X712" s="6"/>
      <c r="Y712" s="7">
        <v>4287</v>
      </c>
      <c r="Z712" s="6"/>
      <c r="AA712" s="253">
        <f t="shared" si="96"/>
        <v>3600</v>
      </c>
      <c r="AB712" s="445"/>
      <c r="AJ712" s="1">
        <v>3600</v>
      </c>
    </row>
    <row r="713" spans="4:36" ht="15" thickBot="1" x14ac:dyDescent="0.35">
      <c r="D713" s="78"/>
      <c r="E713" s="139"/>
      <c r="F713" s="139"/>
      <c r="G713" s="139"/>
      <c r="H713" s="139"/>
      <c r="I713" s="310"/>
      <c r="J713" s="78"/>
      <c r="K713" s="98"/>
      <c r="L713" s="98"/>
      <c r="M713" s="98"/>
      <c r="N713" s="98"/>
      <c r="Q713" s="444"/>
      <c r="R713" s="6" t="s">
        <v>129</v>
      </c>
      <c r="S713" s="6"/>
      <c r="T713" s="6"/>
      <c r="U713" s="7">
        <v>1129</v>
      </c>
      <c r="V713" s="6"/>
      <c r="W713" s="7">
        <v>52477</v>
      </c>
      <c r="X713" s="6"/>
      <c r="Y713" s="7">
        <v>3152</v>
      </c>
      <c r="Z713" s="6"/>
      <c r="AA713" s="253">
        <f t="shared" si="96"/>
        <v>4600</v>
      </c>
      <c r="AB713" s="445"/>
      <c r="AJ713" s="1">
        <v>4600</v>
      </c>
    </row>
    <row r="714" spans="4:36" ht="16.2" thickBot="1" x14ac:dyDescent="0.35">
      <c r="D714" s="381"/>
      <c r="E714" s="679" t="s">
        <v>119</v>
      </c>
      <c r="F714" s="680"/>
      <c r="G714" s="680"/>
      <c r="H714" s="680"/>
      <c r="I714" s="680"/>
      <c r="J714" s="681"/>
      <c r="K714" s="382"/>
      <c r="L714" s="394" t="s">
        <v>10</v>
      </c>
      <c r="M714" s="383"/>
      <c r="N714" s="98"/>
      <c r="Q714" s="444"/>
      <c r="R714" s="6" t="s">
        <v>125</v>
      </c>
      <c r="S714" s="6"/>
      <c r="T714" s="6"/>
      <c r="U714" s="7">
        <v>1118</v>
      </c>
      <c r="V714" s="6"/>
      <c r="W714" s="7">
        <v>10889</v>
      </c>
      <c r="X714" s="6"/>
      <c r="Y714" s="7">
        <v>505</v>
      </c>
      <c r="Z714" s="6"/>
      <c r="AA714" s="253">
        <f t="shared" si="96"/>
        <v>980</v>
      </c>
      <c r="AB714" s="445"/>
      <c r="AJ714" s="1">
        <v>980</v>
      </c>
    </row>
    <row r="715" spans="4:36" x14ac:dyDescent="0.3">
      <c r="D715" s="360"/>
      <c r="E715" s="384" t="s">
        <v>75</v>
      </c>
      <c r="F715" s="16"/>
      <c r="G715" s="16"/>
      <c r="H715" s="16"/>
      <c r="I715" s="682">
        <f>+K81</f>
        <v>48675</v>
      </c>
      <c r="J715" s="682"/>
      <c r="K715" s="16"/>
      <c r="L715" s="60">
        <f>+I715/$I$715</f>
        <v>1</v>
      </c>
      <c r="M715" s="385"/>
      <c r="N715" s="98"/>
      <c r="Q715" s="444"/>
      <c r="R715" s="6" t="s">
        <v>126</v>
      </c>
      <c r="S715" s="6"/>
      <c r="T715" s="6"/>
      <c r="U715" s="7">
        <v>1093</v>
      </c>
      <c r="V715" s="6"/>
      <c r="W715" s="7">
        <v>138546</v>
      </c>
      <c r="X715" s="6"/>
      <c r="Y715" s="7">
        <v>6770</v>
      </c>
      <c r="Z715" s="6"/>
      <c r="AA715" s="253">
        <f t="shared" si="96"/>
        <v>12700</v>
      </c>
      <c r="AB715" s="445"/>
      <c r="AJ715" s="1">
        <v>12700</v>
      </c>
    </row>
    <row r="716" spans="4:36" x14ac:dyDescent="0.3">
      <c r="D716" s="360"/>
      <c r="E716" s="384"/>
      <c r="F716" s="16"/>
      <c r="G716" s="16"/>
      <c r="H716" s="16"/>
      <c r="I716" s="16"/>
      <c r="J716" s="16"/>
      <c r="K716" s="16"/>
      <c r="L716" s="16"/>
      <c r="M716" s="385"/>
      <c r="N716" s="98"/>
      <c r="Q716" s="444"/>
      <c r="R716" s="6" t="s">
        <v>127</v>
      </c>
      <c r="S716" s="6"/>
      <c r="T716" s="6"/>
      <c r="U716" s="447">
        <v>1081</v>
      </c>
      <c r="V716" s="6"/>
      <c r="W716" s="447">
        <v>65337</v>
      </c>
      <c r="X716" s="6"/>
      <c r="Y716" s="447">
        <v>3108</v>
      </c>
      <c r="Z716" s="6"/>
      <c r="AA716" s="448">
        <f t="shared" si="96"/>
        <v>6100</v>
      </c>
      <c r="AB716" s="445"/>
      <c r="AJ716" s="439">
        <v>6100</v>
      </c>
    </row>
    <row r="717" spans="4:36" x14ac:dyDescent="0.3">
      <c r="D717" s="372"/>
      <c r="E717" s="15"/>
      <c r="F717" s="386" t="s">
        <v>100</v>
      </c>
      <c r="G717" s="386"/>
      <c r="H717" s="15"/>
      <c r="I717" s="683">
        <f>+I81</f>
        <v>36684</v>
      </c>
      <c r="J717" s="684"/>
      <c r="K717" s="15"/>
      <c r="L717" s="60">
        <f>+I717/$I$715</f>
        <v>0.75365177195685673</v>
      </c>
      <c r="M717" s="365"/>
      <c r="N717" s="98"/>
      <c r="Q717" s="444"/>
      <c r="R717" s="5" t="s">
        <v>31</v>
      </c>
      <c r="S717" s="6"/>
      <c r="T717" s="6"/>
      <c r="U717" s="253">
        <f>+W717/(AA717/100)</f>
        <v>1545.0521632402579</v>
      </c>
      <c r="V717" s="6"/>
      <c r="W717" s="253">
        <f>SUM(W707:W716)</f>
        <v>1007065</v>
      </c>
      <c r="X717" s="6"/>
      <c r="Y717" s="253">
        <f>SUM(Y707:Y716)</f>
        <v>71545</v>
      </c>
      <c r="Z717" s="6"/>
      <c r="AA717" s="253">
        <f>SUM(AA707:AA716)</f>
        <v>65180</v>
      </c>
      <c r="AB717" s="445"/>
      <c r="AJ717" s="56">
        <f>SUM(AJ707:AJ716)</f>
        <v>65180</v>
      </c>
    </row>
    <row r="718" spans="4:36" x14ac:dyDescent="0.3">
      <c r="D718" s="372"/>
      <c r="E718" s="15"/>
      <c r="F718" s="15" t="s">
        <v>76</v>
      </c>
      <c r="G718" s="15"/>
      <c r="H718" s="15"/>
      <c r="I718" s="685">
        <f>+I75</f>
        <v>2144</v>
      </c>
      <c r="J718" s="686"/>
      <c r="K718" s="15"/>
      <c r="L718" s="60">
        <f>+I718/$I$715</f>
        <v>4.4047252182845401E-2</v>
      </c>
      <c r="M718" s="365"/>
      <c r="N718" s="98"/>
      <c r="Q718" s="444"/>
      <c r="R718" s="5"/>
      <c r="S718" s="6"/>
      <c r="T718" s="6"/>
      <c r="U718" s="6"/>
      <c r="V718" s="6"/>
      <c r="W718" s="253"/>
      <c r="X718" s="6"/>
      <c r="Y718" s="253"/>
      <c r="Z718" s="6"/>
      <c r="AA718" s="6"/>
      <c r="AB718" s="445"/>
      <c r="AJ718" s="56"/>
    </row>
    <row r="719" spans="4:36" ht="15" thickBot="1" x14ac:dyDescent="0.35">
      <c r="D719" s="372"/>
      <c r="E719" s="671" t="s">
        <v>101</v>
      </c>
      <c r="F719" s="671"/>
      <c r="G719" s="671"/>
      <c r="H719" s="15"/>
      <c r="I719" s="672">
        <f>+I715-I717-I718</f>
        <v>9847</v>
      </c>
      <c r="J719" s="673"/>
      <c r="K719" s="387"/>
      <c r="L719" s="388">
        <f>+I719/$I$715</f>
        <v>0.20230097586029788</v>
      </c>
      <c r="M719" s="365"/>
      <c r="N719" s="98"/>
      <c r="Q719" s="444"/>
      <c r="R719" s="5" t="s">
        <v>57</v>
      </c>
      <c r="S719" s="6"/>
      <c r="T719" s="6"/>
      <c r="U719" s="7">
        <v>7441</v>
      </c>
      <c r="V719" s="6"/>
      <c r="W719" s="7">
        <f>+'Main Table'!H106</f>
        <v>3029734</v>
      </c>
      <c r="X719" s="6"/>
      <c r="Y719" s="7">
        <f>+'Main Table'!AA106</f>
        <v>129682</v>
      </c>
      <c r="Z719" s="6"/>
      <c r="AA719" s="253">
        <f>+AJ719</f>
        <v>333000</v>
      </c>
      <c r="AB719" s="445"/>
      <c r="AJ719" s="56">
        <v>333000</v>
      </c>
    </row>
    <row r="720" spans="4:36" ht="15.6" thickTop="1" thickBot="1" x14ac:dyDescent="0.35">
      <c r="D720" s="372"/>
      <c r="E720" s="389"/>
      <c r="F720" s="389"/>
      <c r="G720" s="389"/>
      <c r="H720" s="15"/>
      <c r="I720" s="390"/>
      <c r="J720" s="389"/>
      <c r="K720" s="387"/>
      <c r="L720" s="391"/>
      <c r="M720" s="365"/>
      <c r="N720" s="98"/>
      <c r="Q720" s="444"/>
      <c r="R720" s="5" t="s">
        <v>130</v>
      </c>
      <c r="S720" s="6"/>
      <c r="T720" s="6"/>
      <c r="U720" s="449"/>
      <c r="V720" s="6"/>
      <c r="W720" s="450">
        <f>+W717/W719</f>
        <v>0.33239386692033029</v>
      </c>
      <c r="X720" s="6"/>
      <c r="Y720" s="450">
        <f>+Y717/Y719</f>
        <v>0.55169568637127742</v>
      </c>
      <c r="Z720" s="6"/>
      <c r="AA720" s="450">
        <f>+AA717/AA719</f>
        <v>0.19573573573573574</v>
      </c>
      <c r="AB720" s="445"/>
      <c r="AJ720" s="440">
        <f>+AJ717/AJ719</f>
        <v>0.19573573573573574</v>
      </c>
    </row>
    <row r="721" spans="4:28" ht="15.6" thickTop="1" thickBot="1" x14ac:dyDescent="0.35">
      <c r="D721" s="392"/>
      <c r="E721" s="393"/>
      <c r="F721" s="393"/>
      <c r="G721" s="393"/>
      <c r="H721" s="393"/>
      <c r="I721" s="393"/>
      <c r="J721" s="393"/>
      <c r="K721" s="393"/>
      <c r="L721" s="393"/>
      <c r="M721" s="380"/>
      <c r="N721" s="98"/>
      <c r="Q721" s="451"/>
      <c r="R721" s="452"/>
      <c r="S721" s="452"/>
      <c r="T721" s="452"/>
      <c r="U721" s="452"/>
      <c r="V721" s="452"/>
      <c r="W721" s="452"/>
      <c r="X721" s="452"/>
      <c r="Y721" s="452"/>
      <c r="Z721" s="452"/>
      <c r="AA721" s="452"/>
      <c r="AB721" s="453"/>
    </row>
    <row r="725" spans="4:28" x14ac:dyDescent="0.3">
      <c r="F725" s="1">
        <v>1248371</v>
      </c>
    </row>
    <row r="726" spans="4:28" x14ac:dyDescent="0.3">
      <c r="W726" s="1"/>
    </row>
    <row r="727" spans="4:28" x14ac:dyDescent="0.3">
      <c r="F727">
        <v>700</v>
      </c>
    </row>
    <row r="728" spans="4:28" x14ac:dyDescent="0.3">
      <c r="F728" s="76">
        <f>+F727/F725</f>
        <v>5.6073074430597954E-4</v>
      </c>
    </row>
    <row r="730" spans="4:28" x14ac:dyDescent="0.3">
      <c r="F730" s="1">
        <v>60000</v>
      </c>
    </row>
    <row r="731" spans="4:28" x14ac:dyDescent="0.3">
      <c r="F731">
        <f>+F728*F730</f>
        <v>33.643844658358773</v>
      </c>
    </row>
    <row r="733" spans="4:28" x14ac:dyDescent="0.3">
      <c r="F733" s="1">
        <v>331000000</v>
      </c>
    </row>
    <row r="734" spans="4:28" x14ac:dyDescent="0.3">
      <c r="F734" s="56">
        <f>+W86</f>
        <v>811067</v>
      </c>
    </row>
    <row r="735" spans="4:28" x14ac:dyDescent="0.3">
      <c r="F735" s="57">
        <f>+F734/F733</f>
        <v>2.4503534743202417E-3</v>
      </c>
    </row>
  </sheetData>
  <mergeCells count="50"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  <mergeCell ref="I32:J32"/>
    <mergeCell ref="I34:J34"/>
    <mergeCell ref="I36:J36"/>
    <mergeCell ref="E31:J31"/>
    <mergeCell ref="I35:J35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E719:G719"/>
    <mergeCell ref="I719:J719"/>
    <mergeCell ref="E705:M705"/>
    <mergeCell ref="I706:L706"/>
    <mergeCell ref="F708:G708"/>
    <mergeCell ref="E714:J714"/>
    <mergeCell ref="I715:J715"/>
    <mergeCell ref="I717:J717"/>
    <mergeCell ref="I718:J718"/>
    <mergeCell ref="H710:I710"/>
    <mergeCell ref="D72:O72"/>
    <mergeCell ref="E73:H73"/>
    <mergeCell ref="K73:L73"/>
    <mergeCell ref="D79:H79"/>
    <mergeCell ref="E82:G82"/>
    <mergeCell ref="D81:H81"/>
    <mergeCell ref="K81:L8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mkeresman</cp:lastModifiedBy>
  <cp:lastPrinted>2020-08-27T12:00:07Z</cp:lastPrinted>
  <dcterms:created xsi:type="dcterms:W3CDTF">2020-03-28T00:34:23Z</dcterms:created>
  <dcterms:modified xsi:type="dcterms:W3CDTF">2022-03-21T02:02:22Z</dcterms:modified>
</cp:coreProperties>
</file>