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COVID 2021\"/>
    </mc:Choice>
  </mc:AlternateContent>
  <xr:revisionPtr revIDLastSave="0" documentId="8_{731DF24F-BDCD-422E-B959-70D8FA52258A}" xr6:coauthVersionLast="46" xr6:coauthVersionMax="46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Table'!$A$1:$CJ$439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550" i="1" l="1"/>
  <c r="BA528" i="1"/>
  <c r="I20" i="3" l="1"/>
  <c r="BS438" i="1"/>
  <c r="BO438" i="1"/>
  <c r="BK438" i="1"/>
  <c r="AY438" i="1"/>
  <c r="AU438" i="1"/>
  <c r="AQ438" i="1"/>
  <c r="AM438" i="1"/>
  <c r="K438" i="1"/>
  <c r="BT437" i="1"/>
  <c r="BT438" i="1" s="1"/>
  <c r="BS437" i="1"/>
  <c r="BQ437" i="1"/>
  <c r="BQ438" i="1" s="1"/>
  <c r="BO437" i="1"/>
  <c r="BL437" i="1"/>
  <c r="BL438" i="1" s="1"/>
  <c r="BK437" i="1"/>
  <c r="BJ437" i="1"/>
  <c r="BJ438" i="1" s="1"/>
  <c r="BI437" i="1"/>
  <c r="BI438" i="1" s="1"/>
  <c r="BH437" i="1"/>
  <c r="BH438" i="1" s="1"/>
  <c r="BF437" i="1"/>
  <c r="BF438" i="1" s="1"/>
  <c r="BD437" i="1"/>
  <c r="BD438" i="1" s="1"/>
  <c r="BC437" i="1"/>
  <c r="BC438" i="1" s="1"/>
  <c r="BB437" i="1"/>
  <c r="BB438" i="1" s="1"/>
  <c r="BA437" i="1"/>
  <c r="BA438" i="1" s="1"/>
  <c r="AZ437" i="1"/>
  <c r="AZ438" i="1" s="1"/>
  <c r="AY437" i="1"/>
  <c r="AW437" i="1"/>
  <c r="AW438" i="1" s="1"/>
  <c r="AU437" i="1"/>
  <c r="AT437" i="1"/>
  <c r="AT438" i="1" s="1"/>
  <c r="AS437" i="1"/>
  <c r="AS438" i="1" s="1"/>
  <c r="AR437" i="1"/>
  <c r="AR438" i="1" s="1"/>
  <c r="AQ437" i="1"/>
  <c r="AP437" i="1"/>
  <c r="AP438" i="1" s="1"/>
  <c r="AO437" i="1"/>
  <c r="AO438" i="1" s="1"/>
  <c r="AN437" i="1"/>
  <c r="AN438" i="1" s="1"/>
  <c r="AM437" i="1"/>
  <c r="AK437" i="1"/>
  <c r="AK438" i="1" s="1"/>
  <c r="AJ437" i="1"/>
  <c r="AJ438" i="1" s="1"/>
  <c r="AF437" i="1"/>
  <c r="AF438" i="1" s="1"/>
  <c r="AD437" i="1"/>
  <c r="AD438" i="1" s="1"/>
  <c r="AB437" i="1"/>
  <c r="AB438" i="1" s="1"/>
  <c r="Y437" i="1"/>
  <c r="Y438" i="1" s="1"/>
  <c r="X437" i="1"/>
  <c r="X438" i="1" s="1"/>
  <c r="W437" i="1"/>
  <c r="W438" i="1" s="1"/>
  <c r="V437" i="1"/>
  <c r="V438" i="1" s="1"/>
  <c r="U437" i="1"/>
  <c r="U438" i="1" s="1"/>
  <c r="T437" i="1"/>
  <c r="T438" i="1" s="1"/>
  <c r="R437" i="1"/>
  <c r="R438" i="1" s="1"/>
  <c r="P437" i="1"/>
  <c r="P438" i="1" s="1"/>
  <c r="N437" i="1"/>
  <c r="N438" i="1" s="1"/>
  <c r="M437" i="1"/>
  <c r="M438" i="1" s="1"/>
  <c r="L437" i="1"/>
  <c r="L438" i="1" s="1"/>
  <c r="K437" i="1"/>
  <c r="I437" i="1"/>
  <c r="I438" i="1" s="1"/>
  <c r="H437" i="1"/>
  <c r="H438" i="1" s="1"/>
  <c r="D437" i="1"/>
  <c r="D438" i="1" s="1"/>
  <c r="BW432" i="1"/>
  <c r="BN432" i="1" s="1"/>
  <c r="BN437" i="1" s="1"/>
  <c r="BN438" i="1" s="1"/>
  <c r="BE432" i="1"/>
  <c r="BP432" i="1" s="1"/>
  <c r="BR432" i="1" s="1"/>
  <c r="BR437" i="1" s="1"/>
  <c r="BR438" i="1" s="1"/>
  <c r="BA432" i="1"/>
  <c r="BK432" i="1" s="1"/>
  <c r="BM432" i="1" s="1"/>
  <c r="BM437" i="1" s="1"/>
  <c r="BM438" i="1" s="1"/>
  <c r="AX432" i="1"/>
  <c r="AX437" i="1" s="1"/>
  <c r="AX438" i="1" s="1"/>
  <c r="AL432" i="1"/>
  <c r="AR432" i="1" s="1"/>
  <c r="AI432" i="1"/>
  <c r="AI437" i="1" s="1"/>
  <c r="AI438" i="1" s="1"/>
  <c r="AG432" i="1"/>
  <c r="AG437" i="1" s="1"/>
  <c r="AG438" i="1" s="1"/>
  <c r="AA432" i="1"/>
  <c r="AA437" i="1" s="1"/>
  <c r="AA438" i="1" s="1"/>
  <c r="Z432" i="1"/>
  <c r="Z437" i="1" s="1"/>
  <c r="Z438" i="1" s="1"/>
  <c r="V432" i="1"/>
  <c r="Q432" i="1"/>
  <c r="Q437" i="1" s="1"/>
  <c r="Q438" i="1" s="1"/>
  <c r="N432" i="1"/>
  <c r="J432" i="1"/>
  <c r="J437" i="1" s="1"/>
  <c r="J438" i="1" s="1"/>
  <c r="H432" i="1"/>
  <c r="AV432" i="1" s="1"/>
  <c r="AV437" i="1" s="1"/>
  <c r="AV438" i="1" s="1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E439" i="2"/>
  <c r="S433" i="2"/>
  <c r="W433" i="2"/>
  <c r="K433" i="2"/>
  <c r="M433" i="2" s="1"/>
  <c r="U388" i="3"/>
  <c r="U389" i="3" s="1"/>
  <c r="U390" i="3" s="1"/>
  <c r="U391" i="3" s="1"/>
  <c r="BW431" i="1"/>
  <c r="BN431" i="1" s="1"/>
  <c r="BE431" i="1"/>
  <c r="BP431" i="1" s="1"/>
  <c r="BR431" i="1" s="1"/>
  <c r="BA431" i="1"/>
  <c r="BK431" i="1" s="1"/>
  <c r="AX431" i="1"/>
  <c r="AL431" i="1"/>
  <c r="AR431" i="1" s="1"/>
  <c r="AG431" i="1"/>
  <c r="AE431" i="1"/>
  <c r="AC431" i="1"/>
  <c r="AA431" i="1"/>
  <c r="Z431" i="1"/>
  <c r="V431" i="1"/>
  <c r="Q431" i="1"/>
  <c r="N431" i="1"/>
  <c r="J431" i="1"/>
  <c r="H431" i="1"/>
  <c r="AV431" i="1" s="1"/>
  <c r="BW430" i="1"/>
  <c r="BN430" i="1"/>
  <c r="BE430" i="1"/>
  <c r="BP430" i="1" s="1"/>
  <c r="BR430" i="1" s="1"/>
  <c r="BA430" i="1"/>
  <c r="BK430" i="1" s="1"/>
  <c r="AX430" i="1"/>
  <c r="AL430" i="1"/>
  <c r="AG430" i="1"/>
  <c r="AI430" i="1" s="1"/>
  <c r="AA430" i="1"/>
  <c r="Z430" i="1"/>
  <c r="V430" i="1"/>
  <c r="Q430" i="1"/>
  <c r="O430" i="1"/>
  <c r="N430" i="1"/>
  <c r="J430" i="1"/>
  <c r="H430" i="1"/>
  <c r="AV430" i="1" s="1"/>
  <c r="B430" i="1"/>
  <c r="B431" i="1" s="1"/>
  <c r="B432" i="1" s="1"/>
  <c r="B433" i="1" s="1"/>
  <c r="B434" i="1" s="1"/>
  <c r="BU437" i="1"/>
  <c r="BU438" i="1" s="1"/>
  <c r="BE429" i="1"/>
  <c r="BA429" i="1"/>
  <c r="BK429" i="1" s="1"/>
  <c r="AL429" i="1"/>
  <c r="AR429" i="1" s="1"/>
  <c r="AG429" i="1"/>
  <c r="Z429" i="1"/>
  <c r="Q429" i="1"/>
  <c r="N429" i="1"/>
  <c r="BE428" i="1"/>
  <c r="BA428" i="1"/>
  <c r="AL428" i="1"/>
  <c r="AR428" i="1" s="1"/>
  <c r="AG428" i="1"/>
  <c r="AI428" i="1" s="1"/>
  <c r="Z428" i="1"/>
  <c r="Q428" i="1"/>
  <c r="N428" i="1"/>
  <c r="BE427" i="1"/>
  <c r="BA427" i="1"/>
  <c r="AL427" i="1"/>
  <c r="AR427" i="1" s="1"/>
  <c r="AG427" i="1"/>
  <c r="Z427" i="1"/>
  <c r="Q427" i="1"/>
  <c r="N427" i="1"/>
  <c r="BE426" i="1"/>
  <c r="BA426" i="1"/>
  <c r="BK426" i="1" s="1"/>
  <c r="AL426" i="1"/>
  <c r="AR426" i="1" s="1"/>
  <c r="AG426" i="1"/>
  <c r="Z426" i="1"/>
  <c r="Q426" i="1"/>
  <c r="N426" i="1"/>
  <c r="S432" i="2"/>
  <c r="C437" i="2"/>
  <c r="C433" i="2"/>
  <c r="C434" i="2" s="1"/>
  <c r="C435" i="2" s="1"/>
  <c r="C436" i="2" s="1"/>
  <c r="K432" i="2"/>
  <c r="S431" i="2"/>
  <c r="K431" i="2"/>
  <c r="Q431" i="2" s="1"/>
  <c r="S430" i="2"/>
  <c r="K430" i="2"/>
  <c r="M430" i="2" s="1"/>
  <c r="S429" i="2"/>
  <c r="K429" i="2"/>
  <c r="S428" i="2"/>
  <c r="K428" i="2"/>
  <c r="Q428" i="2" s="1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AI427" i="1" s="1"/>
  <c r="Z420" i="1"/>
  <c r="Q420" i="1"/>
  <c r="N420" i="1"/>
  <c r="S426" i="2"/>
  <c r="K426" i="2"/>
  <c r="Q426" i="2" s="1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AL437" i="1" l="1"/>
  <c r="AL438" i="1" s="1"/>
  <c r="AE432" i="1"/>
  <c r="AE437" i="1" s="1"/>
  <c r="AE438" i="1" s="1"/>
  <c r="S432" i="1"/>
  <c r="S437" i="1" s="1"/>
  <c r="S438" i="1" s="1"/>
  <c r="BE437" i="1"/>
  <c r="BE438" i="1" s="1"/>
  <c r="BP437" i="1"/>
  <c r="BP438" i="1" s="1"/>
  <c r="AC432" i="1"/>
  <c r="AC437" i="1" s="1"/>
  <c r="AC438" i="1" s="1"/>
  <c r="O432" i="1"/>
  <c r="O437" i="1" s="1"/>
  <c r="O438" i="1" s="1"/>
  <c r="BG432" i="1"/>
  <c r="BG437" i="1" s="1"/>
  <c r="BG438" i="1" s="1"/>
  <c r="Q433" i="2"/>
  <c r="U433" i="2"/>
  <c r="BM431" i="1"/>
  <c r="AI431" i="1"/>
  <c r="BG431" i="1"/>
  <c r="O431" i="1"/>
  <c r="S431" i="1"/>
  <c r="BM430" i="1"/>
  <c r="AR430" i="1"/>
  <c r="AE430" i="1"/>
  <c r="AC430" i="1"/>
  <c r="BG430" i="1"/>
  <c r="S430" i="1"/>
  <c r="BK428" i="1"/>
  <c r="BM428" i="1" s="1"/>
  <c r="AI426" i="1"/>
  <c r="BK427" i="1"/>
  <c r="BM427" i="1" s="1"/>
  <c r="AI429" i="1"/>
  <c r="BM429" i="1"/>
  <c r="BG429" i="1"/>
  <c r="S429" i="1"/>
  <c r="S428" i="1"/>
  <c r="BG428" i="1"/>
  <c r="S427" i="1"/>
  <c r="BG427" i="1"/>
  <c r="BM426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S424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Q417" i="2" s="1"/>
  <c r="S416" i="2"/>
  <c r="K416" i="2"/>
  <c r="S415" i="2"/>
  <c r="K415" i="2"/>
  <c r="U415" i="2" s="1"/>
  <c r="G413" i="2"/>
  <c r="K413" i="2" s="1"/>
  <c r="S414" i="2"/>
  <c r="K414" i="2"/>
  <c r="S413" i="2"/>
  <c r="BK422" i="1" l="1"/>
  <c r="BM422" i="1" s="1"/>
  <c r="BK423" i="1"/>
  <c r="BM425" i="1"/>
  <c r="BK424" i="1"/>
  <c r="BM424" i="1" s="1"/>
  <c r="BK419" i="1"/>
  <c r="BM419" i="1" s="1"/>
  <c r="BK420" i="1"/>
  <c r="BM420" i="1" s="1"/>
  <c r="BK421" i="1"/>
  <c r="BM421" i="1" s="1"/>
  <c r="BM423" i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27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449" i="1"/>
  <c r="D448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28" i="1"/>
  <c r="BG548" i="1"/>
  <c r="BG549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548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K357" i="2" s="1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439" i="2"/>
  <c r="S357" i="2"/>
  <c r="AP562" i="1"/>
  <c r="BP549" i="1"/>
  <c r="BN546" i="1"/>
  <c r="BP546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V437" i="1"/>
  <c r="BV438" i="1" s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BE527" i="1" l="1"/>
  <c r="BP527" i="1" s="1"/>
  <c r="BP529" i="1"/>
  <c r="BP530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550" i="1"/>
  <c r="BK365" i="1"/>
  <c r="BM365" i="1" s="1"/>
  <c r="M357" i="2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7" i="2"/>
  <c r="Q358" i="2"/>
  <c r="U358" i="2"/>
  <c r="M358" i="2"/>
  <c r="BG356" i="1"/>
  <c r="S356" i="1"/>
  <c r="K352" i="2"/>
  <c r="U352" i="2" s="1"/>
  <c r="Q357" i="2"/>
  <c r="Q354" i="2"/>
  <c r="M351" i="2"/>
  <c r="M355" i="2"/>
  <c r="BN547" i="1"/>
  <c r="BP547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CL556" i="1" l="1"/>
  <c r="BY550" i="1"/>
  <c r="BA531" i="1" s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22" i="1"/>
  <c r="N524" i="1" s="1"/>
  <c r="N525" i="1" l="1"/>
  <c r="D525" i="1" s="1"/>
  <c r="N526" i="1"/>
  <c r="N527" i="1"/>
  <c r="D526" i="1" l="1"/>
  <c r="D527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BK317" i="1" s="1"/>
  <c r="BM317" i="1" s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6" i="1" l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13" i="1"/>
  <c r="BG513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BK273" i="1" s="1"/>
  <c r="BM273" i="1" s="1"/>
  <c r="AL267" i="1"/>
  <c r="AR267" i="1" s="1"/>
  <c r="AG267" i="1"/>
  <c r="AI274" i="1" s="1"/>
  <c r="Q267" i="1"/>
  <c r="S274" i="1" s="1"/>
  <c r="N267" i="1"/>
  <c r="S268" i="2"/>
  <c r="K268" i="2"/>
  <c r="BK274" i="1" l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Q265" i="2" s="1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M263" i="2" l="1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458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443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437" i="1"/>
  <c r="G438" i="1" s="1"/>
  <c r="F437" i="1"/>
  <c r="F438" i="1" s="1"/>
  <c r="E437" i="1"/>
  <c r="E438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461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458" i="1" l="1"/>
  <c r="AR457" i="1"/>
  <c r="AP457" i="1"/>
  <c r="AR456" i="1"/>
  <c r="AP456" i="1"/>
  <c r="AV456" i="1" l="1"/>
  <c r="AV457" i="1"/>
  <c r="AV458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M229" i="2" l="1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02" i="1"/>
  <c r="N214" i="1"/>
  <c r="N204" i="1"/>
  <c r="BA501" i="1" s="1"/>
  <c r="N174" i="1"/>
  <c r="BA500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01" i="1" l="1"/>
  <c r="BE501" i="1" s="1"/>
  <c r="Q218" i="2"/>
  <c r="BC502" i="1"/>
  <c r="BE502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470" i="1"/>
  <c r="H470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489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442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440" i="1"/>
  <c r="BK443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490" i="1"/>
  <c r="AP491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485" i="1"/>
  <c r="H486" i="1"/>
  <c r="J486" i="1" s="1"/>
  <c r="H487" i="1"/>
  <c r="J487" i="1" s="1"/>
  <c r="S154" i="2"/>
  <c r="M156" i="2" l="1"/>
  <c r="Q156" i="2"/>
  <c r="O487" i="1"/>
  <c r="AI154" i="1"/>
  <c r="AI161" i="1"/>
  <c r="BK160" i="1"/>
  <c r="BM160" i="1" s="1"/>
  <c r="AR154" i="1"/>
  <c r="BG154" i="1"/>
  <c r="U155" i="2"/>
  <c r="J485" i="1"/>
  <c r="J492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488" i="1"/>
  <c r="AA487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27" i="3"/>
  <c r="F428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M145" i="2" l="1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463" i="1" l="1"/>
  <c r="AR455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462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467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454" i="1" s="1"/>
  <c r="AH113" i="1"/>
  <c r="AP454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454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M125" i="2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S122" i="2"/>
  <c r="D474" i="1"/>
  <c r="BE121" i="1"/>
  <c r="BA121" i="1"/>
  <c r="AL121" i="1"/>
  <c r="AR121" i="1" s="1"/>
  <c r="K122" i="2"/>
  <c r="M123" i="2" s="1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N143" i="1" l="1"/>
  <c r="AG461" i="1"/>
  <c r="AP455" i="1" s="1"/>
  <c r="AV455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499" i="1" l="1"/>
  <c r="BE511" i="1"/>
  <c r="BE515" i="1" s="1"/>
  <c r="BG502" i="1"/>
  <c r="BC500" i="1"/>
  <c r="BE500" i="1" s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11" i="1" s="1"/>
  <c r="AL113" i="1"/>
  <c r="K114" i="2"/>
  <c r="BA515" i="1" l="1"/>
  <c r="BC513" i="1"/>
  <c r="BG511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09" i="3"/>
  <c r="AA408" i="3"/>
  <c r="AA407" i="3"/>
  <c r="AA406" i="3"/>
  <c r="AA405" i="3"/>
  <c r="AA404" i="3"/>
  <c r="AA403" i="3"/>
  <c r="AA402" i="3"/>
  <c r="AA401" i="3"/>
  <c r="AA400" i="3"/>
  <c r="AJ410" i="3"/>
  <c r="AJ413" i="3" s="1"/>
  <c r="Y410" i="3"/>
  <c r="W410" i="3"/>
  <c r="S107" i="2"/>
  <c r="AA410" i="3" l="1"/>
  <c r="AA413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10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21" i="3"/>
  <c r="F424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453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453" i="1"/>
  <c r="AV453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11" i="3" l="1"/>
  <c r="I408" i="3"/>
  <c r="L408" i="3" s="1"/>
  <c r="I78" i="3"/>
  <c r="I80" i="3" s="1"/>
  <c r="I77" i="3"/>
  <c r="BE64" i="1"/>
  <c r="BA64" i="1"/>
  <c r="AL64" i="1"/>
  <c r="AR64" i="1" s="1"/>
  <c r="K65" i="2"/>
  <c r="Y19" i="3"/>
  <c r="Q66" i="2" l="1"/>
  <c r="M66" i="2"/>
  <c r="L411" i="3"/>
  <c r="I79" i="3"/>
  <c r="I81" i="3" s="1"/>
  <c r="I82" i="3" s="1"/>
  <c r="BG64" i="1"/>
  <c r="U65" i="2"/>
  <c r="S64" i="2"/>
  <c r="N81" i="3" l="1"/>
  <c r="N82" i="3" s="1"/>
  <c r="I410" i="3"/>
  <c r="L410" i="3" s="1"/>
  <c r="K64" i="2"/>
  <c r="BE63" i="1"/>
  <c r="BA63" i="1"/>
  <c r="AL63" i="1"/>
  <c r="AR63" i="1" s="1"/>
  <c r="Y18" i="3"/>
  <c r="Q65" i="2" l="1"/>
  <c r="M65" i="2"/>
  <c r="I412" i="3"/>
  <c r="U64" i="2"/>
  <c r="BG63" i="1"/>
  <c r="L401" i="3" l="1"/>
  <c r="L412" i="3"/>
  <c r="L400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451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498" i="1"/>
  <c r="B501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452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460" i="1"/>
  <c r="AR462" i="1" s="1"/>
  <c r="AV462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452" i="1"/>
  <c r="AV452" i="1" s="1"/>
  <c r="BA458" i="1" s="1"/>
  <c r="BA459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U392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W343" i="2" l="1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W356" i="2" l="1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W437" i="2" l="1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435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12" i="3"/>
  <c r="Y413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12" i="3"/>
  <c r="W413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471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24" i="1" s="1"/>
  <c r="O173" i="1"/>
  <c r="AV173" i="1"/>
  <c r="AC173" i="1"/>
  <c r="BE524" i="1" l="1"/>
  <c r="BA546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546" i="1" l="1"/>
  <c r="BP524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546" i="1" l="1"/>
  <c r="BC546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537" i="1" s="1"/>
  <c r="BA525" i="1" s="1"/>
  <c r="J235" i="1"/>
  <c r="O234" i="1"/>
  <c r="AC234" i="1"/>
  <c r="BE525" i="1" l="1"/>
  <c r="BA547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25" i="1" l="1"/>
  <c r="BE547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547" i="1" l="1"/>
  <c r="BC547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451" i="1"/>
  <c r="AV269" i="1"/>
  <c r="H452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W434" i="1"/>
  <c r="BW435" i="1" s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R414" i="1"/>
  <c r="BP415" i="1"/>
  <c r="AA396" i="1"/>
  <c r="AE395" i="1"/>
  <c r="H323" i="1"/>
  <c r="J323" i="1"/>
  <c r="AV322" i="1"/>
  <c r="O322" i="1"/>
  <c r="AC322" i="1"/>
  <c r="AX429" i="1" l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R416" i="1" l="1"/>
  <c r="BP417" i="1"/>
  <c r="BP418" i="1" s="1"/>
  <c r="AA398" i="1"/>
  <c r="AA399" i="1" s="1"/>
  <c r="AE397" i="1"/>
  <c r="J325" i="1"/>
  <c r="H325" i="1"/>
  <c r="AV324" i="1"/>
  <c r="O324" i="1"/>
  <c r="AC324" i="1"/>
  <c r="BR418" i="1" l="1"/>
  <c r="BP419" i="1"/>
  <c r="BR417" i="1"/>
  <c r="AA400" i="1"/>
  <c r="AE399" i="1"/>
  <c r="AE398" i="1"/>
  <c r="AV325" i="1"/>
  <c r="H326" i="1"/>
  <c r="J326" i="1"/>
  <c r="O325" i="1"/>
  <c r="AC325" i="1"/>
  <c r="BR419" i="1" l="1"/>
  <c r="BP420" i="1"/>
  <c r="BP421" i="1" s="1"/>
  <c r="AE400" i="1"/>
  <c r="AA401" i="1"/>
  <c r="AV326" i="1"/>
  <c r="J327" i="1"/>
  <c r="O326" i="1"/>
  <c r="H327" i="1"/>
  <c r="AC326" i="1"/>
  <c r="BR421" i="1" l="1"/>
  <c r="BP422" i="1"/>
  <c r="BR420" i="1"/>
  <c r="AA402" i="1"/>
  <c r="AE401" i="1"/>
  <c r="J328" i="1"/>
  <c r="H328" i="1"/>
  <c r="AV327" i="1"/>
  <c r="BA539" i="1"/>
  <c r="BA526" i="1" s="1"/>
  <c r="BA530" i="1" s="1"/>
  <c r="O327" i="1"/>
  <c r="AC327" i="1"/>
  <c r="AA280" i="3"/>
  <c r="AA281" i="3"/>
  <c r="AA279" i="3"/>
  <c r="BR422" i="1" l="1"/>
  <c r="BP423" i="1"/>
  <c r="BA532" i="1"/>
  <c r="AA403" i="1"/>
  <c r="AA404" i="1" s="1"/>
  <c r="AE402" i="1"/>
  <c r="BE526" i="1"/>
  <c r="BA548" i="1"/>
  <c r="BA549" i="1" s="1"/>
  <c r="H329" i="1"/>
  <c r="J329" i="1"/>
  <c r="AV328" i="1"/>
  <c r="O328" i="1"/>
  <c r="AC328" i="1"/>
  <c r="BR423" i="1" l="1"/>
  <c r="BP424" i="1"/>
  <c r="BA533" i="1"/>
  <c r="BA550" i="1" s="1"/>
  <c r="AA405" i="1"/>
  <c r="AE404" i="1"/>
  <c r="AE403" i="1"/>
  <c r="BE530" i="1"/>
  <c r="BE548" i="1"/>
  <c r="BE549" i="1" s="1"/>
  <c r="BR549" i="1" s="1"/>
  <c r="BP526" i="1"/>
  <c r="AC329" i="1"/>
  <c r="J330" i="1"/>
  <c r="H330" i="1"/>
  <c r="AV329" i="1"/>
  <c r="O329" i="1"/>
  <c r="BR424" i="1" l="1"/>
  <c r="BP425" i="1"/>
  <c r="BP426" i="1" s="1"/>
  <c r="BE550" i="1"/>
  <c r="AE405" i="1"/>
  <c r="AA406" i="1"/>
  <c r="AA407" i="1" s="1"/>
  <c r="BC549" i="1"/>
  <c r="BR548" i="1"/>
  <c r="BC548" i="1"/>
  <c r="D530" i="1"/>
  <c r="BG530" i="1"/>
  <c r="AC330" i="1"/>
  <c r="J331" i="1"/>
  <c r="H331" i="1"/>
  <c r="O330" i="1"/>
  <c r="AV330" i="1"/>
  <c r="AA285" i="3"/>
  <c r="AA286" i="3"/>
  <c r="AA283" i="3"/>
  <c r="AA284" i="3"/>
  <c r="AA282" i="3"/>
  <c r="AH430" i="1" l="1"/>
  <c r="AH432" i="1"/>
  <c r="AH437" i="1" s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530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AH438" i="1" l="1"/>
  <c r="BR427" i="1"/>
  <c r="BP428" i="1"/>
  <c r="AE408" i="1"/>
  <c r="AA409" i="1"/>
  <c r="AV332" i="1"/>
  <c r="H333" i="1"/>
  <c r="J333" i="1"/>
  <c r="O332" i="1"/>
  <c r="AC332" i="1"/>
  <c r="BR428" i="1" l="1"/>
  <c r="BP429" i="1"/>
  <c r="AE409" i="1"/>
  <c r="AA410" i="1"/>
  <c r="AV333" i="1"/>
  <c r="J334" i="1"/>
  <c r="H334" i="1"/>
  <c r="O333" i="1"/>
  <c r="AC333" i="1"/>
  <c r="BR429" i="1" l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AA413" i="1" l="1"/>
  <c r="AE412" i="1"/>
  <c r="AE411" i="1"/>
  <c r="J336" i="1"/>
  <c r="H336" i="1"/>
  <c r="AV335" i="1"/>
  <c r="O335" i="1"/>
  <c r="AC335" i="1"/>
  <c r="AE413" i="1" l="1"/>
  <c r="AA414" i="1"/>
  <c r="AV336" i="1"/>
  <c r="O336" i="1"/>
  <c r="J337" i="1"/>
  <c r="H337" i="1"/>
  <c r="AC336" i="1"/>
  <c r="AA415" i="1" l="1"/>
  <c r="AE414" i="1"/>
  <c r="AC337" i="1"/>
  <c r="H338" i="1"/>
  <c r="J338" i="1"/>
  <c r="AV337" i="1"/>
  <c r="O337" i="1"/>
  <c r="AE415" i="1" l="1"/>
  <c r="AA416" i="1"/>
  <c r="H339" i="1"/>
  <c r="O338" i="1"/>
  <c r="J339" i="1"/>
  <c r="AV338" i="1"/>
  <c r="AC338" i="1"/>
  <c r="AA417" i="1" l="1"/>
  <c r="AA418" i="1" s="1"/>
  <c r="AE416" i="1"/>
  <c r="H340" i="1"/>
  <c r="J340" i="1"/>
  <c r="O339" i="1"/>
  <c r="AV339" i="1"/>
  <c r="AC339" i="1"/>
  <c r="AE418" i="1" l="1"/>
  <c r="AA419" i="1"/>
  <c r="AE417" i="1"/>
  <c r="J341" i="1"/>
  <c r="H341" i="1"/>
  <c r="AV340" i="1"/>
  <c r="O340" i="1"/>
  <c r="AC340" i="1"/>
  <c r="AA420" i="1" l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AE421" i="1" l="1"/>
  <c r="AA422" i="1"/>
  <c r="AE420" i="1"/>
  <c r="AV342" i="1"/>
  <c r="J343" i="1"/>
  <c r="H343" i="1"/>
  <c r="O342" i="1"/>
  <c r="AC342" i="1"/>
  <c r="AA299" i="3"/>
  <c r="AA300" i="3"/>
  <c r="AA423" i="1" l="1"/>
  <c r="AE422" i="1"/>
  <c r="AC343" i="1"/>
  <c r="J344" i="1"/>
  <c r="H344" i="1"/>
  <c r="O343" i="1"/>
  <c r="AV343" i="1"/>
  <c r="AE423" i="1" l="1"/>
  <c r="AA424" i="1"/>
  <c r="AV344" i="1"/>
  <c r="J345" i="1"/>
  <c r="H345" i="1"/>
  <c r="O344" i="1"/>
  <c r="AC344" i="1"/>
  <c r="AA425" i="1" l="1"/>
  <c r="AA426" i="1" s="1"/>
  <c r="AE424" i="1"/>
  <c r="AV345" i="1"/>
  <c r="J346" i="1"/>
  <c r="H346" i="1"/>
  <c r="O345" i="1"/>
  <c r="AC345" i="1"/>
  <c r="AA427" i="1" l="1"/>
  <c r="AE426" i="1"/>
  <c r="AE425" i="1"/>
  <c r="J347" i="1"/>
  <c r="H347" i="1"/>
  <c r="O346" i="1"/>
  <c r="AV346" i="1"/>
  <c r="AC346" i="1"/>
  <c r="AA428" i="1" l="1"/>
  <c r="AE427" i="1"/>
  <c r="J348" i="1"/>
  <c r="H348" i="1"/>
  <c r="AV347" i="1"/>
  <c r="O347" i="1"/>
  <c r="AC347" i="1"/>
  <c r="AA429" i="1" l="1"/>
  <c r="AE428" i="1"/>
  <c r="AV348" i="1"/>
  <c r="J349" i="1"/>
  <c r="H349" i="1"/>
  <c r="O348" i="1"/>
  <c r="AC348" i="1"/>
  <c r="AE429" i="1" l="1"/>
  <c r="J350" i="1"/>
  <c r="H350" i="1"/>
  <c r="AV349" i="1"/>
  <c r="O349" i="1"/>
  <c r="AC349" i="1"/>
  <c r="AJ21" i="2" l="1"/>
  <c r="AD49" i="2"/>
  <c r="AD51" i="2" s="1"/>
  <c r="AD53" i="2" s="1"/>
  <c r="AD55" i="2" s="1"/>
  <c r="AD57" i="2" s="1"/>
  <c r="I21" i="3"/>
  <c r="I35" i="3" s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V351" i="1" l="1"/>
  <c r="J352" i="1"/>
  <c r="H352" i="1"/>
  <c r="O351" i="1"/>
  <c r="AC351" i="1"/>
  <c r="AV352" i="1" l="1"/>
  <c r="J353" i="1"/>
  <c r="H353" i="1"/>
  <c r="O352" i="1"/>
  <c r="AC352" i="1"/>
  <c r="AV353" i="1" l="1"/>
  <c r="J354" i="1"/>
  <c r="H354" i="1"/>
  <c r="O353" i="1"/>
  <c r="AC353" i="1"/>
  <c r="AV354" i="1" l="1"/>
  <c r="J355" i="1"/>
  <c r="H355" i="1"/>
  <c r="O354" i="1"/>
  <c r="AC354" i="1"/>
  <c r="J356" i="1" l="1"/>
  <c r="H356" i="1"/>
  <c r="AV355" i="1"/>
  <c r="O355" i="1"/>
  <c r="AC355" i="1"/>
  <c r="AV356" i="1" l="1"/>
  <c r="J357" i="1"/>
  <c r="H357" i="1"/>
  <c r="O356" i="1"/>
  <c r="AC356" i="1"/>
  <c r="AV357" i="1" l="1"/>
  <c r="J358" i="1"/>
  <c r="H358" i="1"/>
  <c r="O357" i="1"/>
  <c r="AC357" i="1"/>
  <c r="J359" i="1" l="1"/>
  <c r="H359" i="1"/>
  <c r="AV358" i="1"/>
  <c r="O358" i="1"/>
  <c r="AC358" i="1"/>
  <c r="AA311" i="3"/>
  <c r="AA312" i="3"/>
  <c r="AA310" i="3"/>
  <c r="AV359" i="1" l="1"/>
  <c r="J360" i="1"/>
  <c r="H360" i="1"/>
  <c r="O359" i="1"/>
  <c r="AC359" i="1"/>
  <c r="AV360" i="1" l="1"/>
  <c r="J361" i="1"/>
  <c r="H361" i="1"/>
  <c r="O360" i="1"/>
  <c r="AC360" i="1"/>
  <c r="AV361" i="1" l="1"/>
  <c r="O361" i="1"/>
  <c r="J362" i="1"/>
  <c r="H362" i="1"/>
  <c r="AC361" i="1"/>
  <c r="AA315" i="3"/>
  <c r="AA316" i="3"/>
  <c r="AA313" i="3"/>
  <c r="AA314" i="3"/>
  <c r="H363" i="1" l="1"/>
  <c r="J363" i="1"/>
  <c r="O362" i="1"/>
  <c r="AV362" i="1"/>
  <c r="AC362" i="1"/>
  <c r="AV363" i="1" l="1"/>
  <c r="J364" i="1"/>
  <c r="H364" i="1"/>
  <c r="O363" i="1"/>
  <c r="AC363" i="1"/>
  <c r="AC364" i="1" l="1"/>
  <c r="H365" i="1"/>
  <c r="J365" i="1"/>
  <c r="O364" i="1"/>
  <c r="AV364" i="1"/>
  <c r="AV365" i="1" l="1"/>
  <c r="J366" i="1"/>
  <c r="H366" i="1"/>
  <c r="O365" i="1"/>
  <c r="AC365" i="1"/>
  <c r="AA322" i="3"/>
  <c r="AA323" i="3"/>
  <c r="AA320" i="3"/>
  <c r="AA321" i="3"/>
  <c r="AA318" i="3"/>
  <c r="AA319" i="3"/>
  <c r="AA317" i="3"/>
  <c r="AV366" i="1" l="1"/>
  <c r="J367" i="1"/>
  <c r="H367" i="1"/>
  <c r="O366" i="1"/>
  <c r="AC366" i="1"/>
  <c r="AV367" i="1" l="1"/>
  <c r="H368" i="1"/>
  <c r="J368" i="1"/>
  <c r="O367" i="1"/>
  <c r="AC367" i="1"/>
  <c r="J369" i="1" l="1"/>
  <c r="H369" i="1"/>
  <c r="AV368" i="1"/>
  <c r="O368" i="1"/>
  <c r="AC368" i="1"/>
  <c r="AV369" i="1" l="1"/>
  <c r="J370" i="1"/>
  <c r="H370" i="1"/>
  <c r="O369" i="1"/>
  <c r="AC369" i="1"/>
  <c r="AV370" i="1" l="1"/>
  <c r="H371" i="1"/>
  <c r="J371" i="1"/>
  <c r="O370" i="1"/>
  <c r="AC370" i="1"/>
  <c r="J372" i="1" l="1"/>
  <c r="H372" i="1"/>
  <c r="AC371" i="1"/>
  <c r="O371" i="1"/>
  <c r="AV371" i="1"/>
  <c r="AA325" i="3"/>
  <c r="AA326" i="3"/>
  <c r="AA324" i="3"/>
  <c r="AV372" i="1" l="1"/>
  <c r="H373" i="1"/>
  <c r="J373" i="1"/>
  <c r="O372" i="1"/>
  <c r="AC372" i="1"/>
  <c r="AV373" i="1" l="1"/>
  <c r="J374" i="1"/>
  <c r="H374" i="1"/>
  <c r="O373" i="1"/>
  <c r="AC373" i="1"/>
  <c r="AV374" i="1" l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V375" i="1" l="1"/>
  <c r="J376" i="1"/>
  <c r="O375" i="1"/>
  <c r="H376" i="1"/>
  <c r="AC375" i="1"/>
  <c r="AV376" i="1" l="1"/>
  <c r="J377" i="1"/>
  <c r="H377" i="1"/>
  <c r="O376" i="1"/>
  <c r="AC376" i="1"/>
  <c r="AV377" i="1" l="1"/>
  <c r="J378" i="1"/>
  <c r="H378" i="1"/>
  <c r="O377" i="1"/>
  <c r="AC377" i="1"/>
  <c r="J379" i="1" l="1"/>
  <c r="H379" i="1"/>
  <c r="O378" i="1"/>
  <c r="AV378" i="1"/>
  <c r="AC378" i="1"/>
  <c r="AV379" i="1" l="1"/>
  <c r="J380" i="1"/>
  <c r="H380" i="1"/>
  <c r="O379" i="1"/>
  <c r="AC379" i="1"/>
  <c r="H381" i="1" l="1"/>
  <c r="J381" i="1"/>
  <c r="AV380" i="1"/>
  <c r="O380" i="1"/>
  <c r="AC380" i="1"/>
  <c r="AV381" i="1" l="1"/>
  <c r="J382" i="1"/>
  <c r="H382" i="1"/>
  <c r="O381" i="1"/>
  <c r="AC381" i="1"/>
  <c r="AV382" i="1" l="1"/>
  <c r="H383" i="1"/>
  <c r="J383" i="1"/>
  <c r="O382" i="1"/>
  <c r="AC382" i="1"/>
  <c r="AV383" i="1" l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V384" i="1" l="1"/>
  <c r="J385" i="1"/>
  <c r="H385" i="1"/>
  <c r="O384" i="1"/>
  <c r="AC384" i="1"/>
  <c r="AV385" i="1" l="1"/>
  <c r="J386" i="1"/>
  <c r="H386" i="1"/>
  <c r="O385" i="1"/>
  <c r="AC385" i="1"/>
  <c r="AV386" i="1" l="1"/>
  <c r="H387" i="1"/>
  <c r="J387" i="1"/>
  <c r="O386" i="1"/>
  <c r="AC386" i="1"/>
  <c r="AV387" i="1" l="1"/>
  <c r="J388" i="1"/>
  <c r="H388" i="1"/>
  <c r="O387" i="1"/>
  <c r="AC387" i="1"/>
  <c r="AV388" i="1" l="1"/>
  <c r="J389" i="1"/>
  <c r="H389" i="1"/>
  <c r="O388" i="1"/>
  <c r="AC388" i="1"/>
  <c r="AV389" i="1" l="1"/>
  <c r="O389" i="1"/>
  <c r="J390" i="1"/>
  <c r="H390" i="1"/>
  <c r="AC389" i="1"/>
  <c r="J391" i="1" l="1"/>
  <c r="H391" i="1"/>
  <c r="AV390" i="1"/>
  <c r="O390" i="1"/>
  <c r="AC390" i="1"/>
  <c r="AV391" i="1" l="1"/>
  <c r="J392" i="1"/>
  <c r="O391" i="1"/>
  <c r="H392" i="1"/>
  <c r="AC391" i="1"/>
  <c r="AV392" i="1" l="1"/>
  <c r="J393" i="1"/>
  <c r="H393" i="1"/>
  <c r="O392" i="1"/>
  <c r="AC392" i="1"/>
  <c r="AV393" i="1" l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V394" i="1" l="1"/>
  <c r="J395" i="1"/>
  <c r="H395" i="1"/>
  <c r="O394" i="1"/>
  <c r="AC394" i="1"/>
  <c r="AV395" i="1" l="1"/>
  <c r="J396" i="1"/>
  <c r="H396" i="1"/>
  <c r="O395" i="1"/>
  <c r="AC395" i="1"/>
  <c r="AV396" i="1" l="1"/>
  <c r="J397" i="1"/>
  <c r="H397" i="1"/>
  <c r="O396" i="1"/>
  <c r="AC396" i="1"/>
  <c r="AV397" i="1" l="1"/>
  <c r="J398" i="1"/>
  <c r="H398" i="1"/>
  <c r="O397" i="1"/>
  <c r="AC397" i="1"/>
  <c r="H399" i="1" l="1"/>
  <c r="J399" i="1"/>
  <c r="AV398" i="1"/>
  <c r="O398" i="1"/>
  <c r="AC398" i="1"/>
  <c r="J400" i="1" l="1"/>
  <c r="H400" i="1"/>
  <c r="AV399" i="1"/>
  <c r="O399" i="1"/>
  <c r="AC399" i="1"/>
  <c r="AV400" i="1" l="1"/>
  <c r="H401" i="1"/>
  <c r="J401" i="1"/>
  <c r="O400" i="1"/>
  <c r="AC400" i="1"/>
  <c r="AV401" i="1" l="1"/>
  <c r="J402" i="1"/>
  <c r="H402" i="1"/>
  <c r="O401" i="1"/>
  <c r="AC401" i="1"/>
  <c r="AA357" i="3"/>
  <c r="AA355" i="3"/>
  <c r="AA356" i="3"/>
  <c r="AA354" i="3"/>
  <c r="O402" i="1" l="1"/>
  <c r="J403" i="1"/>
  <c r="H403" i="1"/>
  <c r="AV402" i="1"/>
  <c r="AC402" i="1"/>
  <c r="J404" i="1" l="1"/>
  <c r="H404" i="1"/>
  <c r="AV403" i="1"/>
  <c r="O403" i="1"/>
  <c r="AC403" i="1"/>
  <c r="AV404" i="1" l="1"/>
  <c r="H405" i="1"/>
  <c r="J405" i="1"/>
  <c r="O404" i="1"/>
  <c r="AC404" i="1"/>
  <c r="AV405" i="1" l="1"/>
  <c r="J406" i="1"/>
  <c r="H406" i="1"/>
  <c r="O405" i="1"/>
  <c r="AC405" i="1"/>
  <c r="J407" i="1" l="1"/>
  <c r="H407" i="1"/>
  <c r="AV406" i="1"/>
  <c r="O406" i="1"/>
  <c r="AC406" i="1"/>
  <c r="AA361" i="3"/>
  <c r="AA359" i="3"/>
  <c r="AA360" i="3"/>
  <c r="AA358" i="3"/>
  <c r="AV407" i="1" l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C550" i="1"/>
  <c r="BR550" i="1"/>
  <c r="J418" i="1" l="1"/>
  <c r="H418" i="1"/>
  <c r="AV417" i="1"/>
  <c r="O417" i="1"/>
  <c r="AC417" i="1"/>
  <c r="CL551" i="1"/>
  <c r="BA553" i="1"/>
  <c r="BC553" i="1" s="1"/>
  <c r="CL553" i="1"/>
  <c r="AV418" i="1" l="1"/>
  <c r="H419" i="1"/>
  <c r="J419" i="1"/>
  <c r="O418" i="1"/>
  <c r="AC418" i="1"/>
  <c r="AV419" i="1" l="1"/>
  <c r="H420" i="1"/>
  <c r="I23" i="3" s="1"/>
  <c r="I25" i="3" s="1"/>
  <c r="I27" i="3" s="1"/>
  <c r="J420" i="1"/>
  <c r="O419" i="1"/>
  <c r="AC419" i="1"/>
  <c r="AA375" i="3"/>
  <c r="AA373" i="3"/>
  <c r="AA374" i="3"/>
  <c r="AA372" i="3"/>
  <c r="I34" i="3" l="1"/>
  <c r="N27" i="3"/>
  <c r="N28" i="3" s="1"/>
  <c r="J421" i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AV429" i="1" l="1"/>
  <c r="O429" i="1"/>
  <c r="AC429" i="1"/>
  <c r="I32" i="3" l="1"/>
  <c r="AF21" i="2"/>
  <c r="I36" i="3" l="1"/>
  <c r="I28" i="3"/>
  <c r="L34" i="3"/>
  <c r="L32" i="3"/>
  <c r="L35" i="3"/>
  <c r="AA386" i="3" l="1"/>
  <c r="W387" i="3"/>
  <c r="AA387" i="3" s="1"/>
  <c r="AA385" i="3"/>
  <c r="L36" i="3"/>
  <c r="Y387" i="3" s="1"/>
  <c r="Y244" i="3" l="1"/>
  <c r="Y12" i="3"/>
  <c r="Y350" i="3"/>
  <c r="Y121" i="3"/>
  <c r="Y214" i="3"/>
</calcChain>
</file>

<file path=xl/sharedStrings.xml><?xml version="1.0" encoding="utf-8"?>
<sst xmlns="http://schemas.openxmlformats.org/spreadsheetml/2006/main" count="355" uniqueCount="190">
  <si>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</si>
  <si>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</si>
  <si>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</si>
  <si>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</si>
  <si>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</si>
  <si>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</si>
  <si>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</si>
  <si>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</si>
  <si>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</si>
  <si>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</si>
  <si>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</si>
  <si>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</si>
  <si>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</si>
  <si>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</si>
  <si>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</si>
  <si>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</si>
  <si>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</si>
  <si>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</si>
  <si>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</si>
  <si>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</si>
  <si>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</si>
  <si>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</si>
  <si>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</si>
  <si>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</si>
  <si>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</si>
  <si>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</si>
  <si>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</si>
  <si>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</si>
  <si>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</si>
  <si>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</si>
  <si>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</si>
  <si>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</si>
  <si>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</si>
  <si>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</si>
  <si>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</si>
  <si>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</si>
  <si>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</si>
  <si>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</si>
  <si>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</si>
  <si>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</si>
  <si>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</si>
  <si>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</si>
  <si>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</si>
  <si>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</si>
  <si>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</si>
  <si>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</si>
  <si>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</si>
  <si>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</si>
  <si>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</si>
  <si>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</si>
  <si>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</si>
  <si>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</si>
  <si>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</si>
  <si>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</si>
  <si>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</si>
  <si>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</si>
  <si>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</si>
  <si>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</si>
  <si>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</si>
  <si>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</si>
  <si>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</si>
  <si>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</si>
  <si>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</si>
  <si>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</si>
  <si>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</si>
  <si>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</si>
  <si>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</si>
  <si>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</si>
  <si>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</si>
  <si>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</si>
  <si>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</si>
  <si>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</si>
  <si>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</si>
  <si>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</si>
  <si>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</si>
  <si>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</si>
  <si>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</si>
  <si>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</si>
  <si>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</si>
  <si>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</si>
  <si>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</si>
  <si>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</si>
  <si>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</si>
  <si>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</si>
  <si>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</si>
  <si>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</si>
  <si>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</si>
  <si>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</si>
  <si>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</si>
  <si>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</si>
  <si>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</si>
  <si>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</si>
  <si>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</si>
  <si>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</si>
  <si>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</si>
  <si>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</si>
  <si>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</si>
  <si>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</si>
  <si>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</si>
  <si>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</si>
  <si>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</si>
  <si>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</si>
  <si>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</si>
  <si>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</si>
  <si>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</si>
  <si>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</si>
  <si>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</si>
  <si>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</si>
  <si>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</si>
  <si>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</si>
  <si>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</si>
  <si>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</si>
  <si>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</si>
  <si>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</si>
  <si>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</si>
  <si>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</si>
  <si>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</si>
  <si>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</si>
  <si>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</si>
  <si>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</si>
  <si>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</si>
  <si>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</si>
  <si>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</si>
  <si>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</si>
  <si>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</si>
  <si>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</si>
  <si>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</si>
  <si>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</si>
  <si>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</si>
  <si>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</si>
  <si>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</si>
  <si>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</si>
  <si>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</si>
  <si>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</si>
  <si>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</si>
  <si>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</si>
  <si>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</si>
  <si>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</si>
  <si>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</si>
  <si>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</si>
  <si>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</si>
  <si>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</si>
  <si>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</si>
  <si>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</si>
  <si>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</si>
  <si>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</si>
  <si>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</si>
  <si>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</si>
  <si>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</si>
  <si>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</si>
  <si>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</si>
  <si>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</si>
  <si>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</si>
  <si>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</si>
  <si>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</si>
  <si>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</si>
  <si>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</si>
  <si>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</si>
  <si>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</si>
  <si>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</si>
  <si>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</si>
  <si>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</si>
  <si>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</si>
  <si>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</si>
  <si>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</si>
  <si>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</si>
  <si>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</si>
  <si>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</si>
  <si>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</si>
  <si>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</si>
  <si>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</si>
  <si>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</si>
  <si>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</si>
  <si>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</si>
  <si>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</si>
  <si>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</si>
  <si>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</si>
  <si>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</si>
  <si>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</si>
  <si>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</si>
  <si>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</si>
  <si>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</si>
  <si>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</si>
  <si>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</si>
  <si>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</si>
  <si>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</si>
  <si>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</si>
  <si>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</si>
  <si>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</si>
  <si>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May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</si>
</sst>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wrapText="1"/>
    </xf>
    <xf numFmtId="164" fontId="2" fillId="12" borderId="0" xfId="1" applyNumberFormat="1" applyFont="1" applyFill="1" applyAlignment="1">
      <alignment horizontal="center"/>
    </xf>
    <xf numFmtId="164" fontId="2" fillId="12" borderId="0" xfId="0" applyNumberFormat="1" applyFont="1" applyFill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423412788903942"/>
          <c:y val="0.11353879507199965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Table'!$BA$541:$BA$545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Table'!$AS$546:$AT$550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16</c:v>
                </c:pt>
              </c:strCache>
            </c:strRef>
          </c:cat>
          <c:val>
            <c:numRef>
              <c:f>'Main Table'!$BA$546:$BA$550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20960157.166987952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Table'!$BC$541:$BC$545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Table'!$AS$546:$AT$550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16</c:v>
                </c:pt>
              </c:strCache>
            </c:strRef>
          </c:cat>
          <c:val>
            <c:numRef>
              <c:f>'Main Table'!$BC$546:$BC$550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73870921</c:v>
                </c:pt>
                <c:pt idx="3">
                  <c:v>73870921</c:v>
                </c:pt>
                <c:pt idx="4">
                  <c:v>73870921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Table'!$BJ$541:$BJ$545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Table'!$AS$546:$AT$550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16</c:v>
                </c:pt>
              </c:strCache>
            </c:strRef>
          </c:cat>
          <c:val>
            <c:numRef>
              <c:f>'Main Table'!$BJ$546:$BJ$550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Table'!$BK$541:$BK$545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Table'!$AS$546:$AT$550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16</c:v>
                </c:pt>
              </c:strCache>
            </c:strRef>
          </c:cat>
          <c:val>
            <c:numRef>
              <c:f>'Main Table'!$BK$546:$BK$550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Table'!$BL$541:$BL$545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Table'!$AS$546:$AT$550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16</c:v>
                </c:pt>
              </c:strCache>
            </c:strRef>
          </c:cat>
          <c:val>
            <c:numRef>
              <c:f>'Main Table'!$BL$546:$BL$550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Table'!$BM$541:$BM$545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Table'!$AS$546:$AT$550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16</c:v>
                </c:pt>
              </c:strCache>
            </c:strRef>
          </c:cat>
          <c:val>
            <c:numRef>
              <c:f>'Main Table'!$BM$546:$BM$550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Table'!$BP$541:$BP$545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Table'!$AS$546:$AT$550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16</c:v>
                </c:pt>
              </c:strCache>
            </c:strRef>
          </c:cat>
          <c:val>
            <c:numRef>
              <c:f>'Main Table'!$BP$546:$BP$550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123280000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Table'!$AU$541:$AU$545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Table'!$AU$546:$AU$550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Table'!$AV$541:$AV$545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Table'!$AV$546:$AV$550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Table'!$AW$541:$AW$545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Table'!$AW$546:$AW$550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Table'!$AX$541:$AX$545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Table'!$AX$546:$AX$550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Table'!$AY$541:$AY$545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Table'!$AY$546:$AY$550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Table'!$AZ$541:$AZ$545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Table'!$AZ$546:$AZ$550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Table'!$BB$541:$BB$545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Table'!$BB$546:$BB$550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Table'!$BD$541:$BD$545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Table'!$BD$546:$BD$550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Table'!$BE$541:$BE$545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Table'!$BE$546:$BE$550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94831078.166987956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Table'!$BF$541:$BF$545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Table'!$BF$546:$BF$550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Table'!$BG$541:$BG$545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Table'!$BG$546:$BG$550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69860000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Table'!$BH$541:$BH$545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Table'!$BH$546:$BH$550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Table'!$BI$541:$BI$545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Table'!$BI$546:$BI$550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Table'!$BN$541:$BN$545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Table'!$BN$546:$BN$550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Table'!$BO$541:$BO$545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Table'!$BO$546:$BO$550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Table'!$BQ$541:$BQ$545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Table'!$BQ$546:$BQ$550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Table'!$BR$541:$BR$545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Table'!$BR$546:$BR$550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218111078.16698796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Table'!$BS$541:$BS$545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Table'!$BS$546:$BS$550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Table'!$BT$541:$BT$545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Table'!$BT$546:$BT$550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Table'!$BU$541:$BU$545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Table'!$BU$546:$BU$550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Table'!$BV$541:$BV$545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Table'!$AS$546:$AT$550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Table'!$BV$546:$BV$550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450</xdr:row>
      <xdr:rowOff>99060</xdr:rowOff>
    </xdr:from>
    <xdr:to>
      <xdr:col>22</xdr:col>
      <xdr:colOff>312420</xdr:colOff>
      <xdr:row>451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450</xdr:row>
      <xdr:rowOff>129540</xdr:rowOff>
    </xdr:from>
    <xdr:to>
      <xdr:col>23</xdr:col>
      <xdr:colOff>68580</xdr:colOff>
      <xdr:row>451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396240</xdr:colOff>
      <xdr:row>3</xdr:row>
      <xdr:rowOff>129540</xdr:rowOff>
    </xdr:from>
    <xdr:to>
      <xdr:col>16</xdr:col>
      <xdr:colOff>320040</xdr:colOff>
      <xdr:row>25</xdr:row>
      <xdr:rowOff>7620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468</xdr:row>
      <xdr:rowOff>125730</xdr:rowOff>
    </xdr:from>
    <xdr:to>
      <xdr:col>54</xdr:col>
      <xdr:colOff>213360</xdr:colOff>
      <xdr:row>483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426720</xdr:colOff>
      <xdr:row>8</xdr:row>
      <xdr:rowOff>167641</xdr:rowOff>
    </xdr:from>
    <xdr:to>
      <xdr:col>64</xdr:col>
      <xdr:colOff>365760</xdr:colOff>
      <xdr:row>14</xdr:row>
      <xdr:rowOff>22860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16703040" y="1729741"/>
          <a:ext cx="22555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678180</xdr:colOff>
      <xdr:row>557</xdr:row>
      <xdr:rowOff>160020</xdr:rowOff>
    </xdr:from>
    <xdr:to>
      <xdr:col>76</xdr:col>
      <xdr:colOff>182880</xdr:colOff>
      <xdr:row>580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581"/>
  <sheetViews>
    <sheetView tabSelected="1" topLeftCell="A410" zoomScaleNormal="100" workbookViewId="0">
      <selection activeCell="L432" sqref="L432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0" t="s">
        <v>5</v>
      </c>
      <c r="C1" s="590"/>
      <c r="D1" s="590"/>
    </row>
    <row r="2" spans="2:90" ht="15.6" x14ac:dyDescent="0.3">
      <c r="B2" s="590" t="s">
        <v>6</v>
      </c>
      <c r="C2" s="590"/>
      <c r="D2" s="590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95" t="s">
        <v>13</v>
      </c>
      <c r="C3" s="595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1" t="s">
        <v>11</v>
      </c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11"/>
      <c r="AE4" s="282"/>
      <c r="AF4" s="404"/>
      <c r="AG4" s="404"/>
      <c r="AH4" s="404"/>
      <c r="AI4" s="404"/>
      <c r="AJ4" s="12"/>
      <c r="AL4" s="606" t="s">
        <v>14</v>
      </c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607"/>
      <c r="BT4" s="607"/>
      <c r="BU4" s="608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596" t="s">
        <v>12</v>
      </c>
      <c r="G6" s="596"/>
      <c r="H6" s="596"/>
      <c r="I6" s="596"/>
      <c r="J6" s="596"/>
      <c r="K6" s="596"/>
      <c r="L6" s="596"/>
      <c r="M6" s="292"/>
      <c r="N6" s="499"/>
      <c r="O6" s="292"/>
      <c r="P6" s="293"/>
      <c r="Q6" s="602" t="s">
        <v>111</v>
      </c>
      <c r="R6" s="596"/>
      <c r="S6" s="596"/>
      <c r="T6" s="596"/>
      <c r="U6" s="603"/>
      <c r="V6" s="3"/>
      <c r="W6" s="8" t="s">
        <v>7</v>
      </c>
      <c r="X6" s="30"/>
      <c r="Y6" s="597">
        <v>1.2500000000000001E-2</v>
      </c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8"/>
      <c r="AK6" s="3"/>
      <c r="AL6" s="613" t="s">
        <v>25</v>
      </c>
      <c r="AM6" s="614"/>
      <c r="AN6" s="614"/>
      <c r="AO6" s="614"/>
      <c r="AP6" s="614"/>
      <c r="AQ6" s="614"/>
      <c r="AR6" s="614"/>
      <c r="AS6" s="614"/>
      <c r="AT6" s="614"/>
      <c r="AU6" s="614"/>
      <c r="AV6" s="614"/>
      <c r="AW6" s="614"/>
      <c r="AX6" s="614"/>
      <c r="AY6" s="615"/>
      <c r="AZ6" s="3"/>
      <c r="BA6" s="616" t="s">
        <v>7</v>
      </c>
      <c r="BB6" s="610"/>
      <c r="BC6" s="610"/>
      <c r="BD6" s="85"/>
      <c r="BE6" s="609" t="s">
        <v>24</v>
      </c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10"/>
      <c r="BS6" s="610"/>
      <c r="BT6" s="610"/>
      <c r="BU6" s="611"/>
      <c r="BV6" s="3"/>
    </row>
    <row r="7" spans="2:90" ht="16.2" x14ac:dyDescent="0.3">
      <c r="D7" s="593" t="s">
        <v>20</v>
      </c>
      <c r="E7" s="594"/>
      <c r="F7" s="594"/>
      <c r="G7" s="594"/>
      <c r="H7" s="594"/>
      <c r="I7" s="594"/>
      <c r="J7" s="594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599" t="s">
        <v>33</v>
      </c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  <c r="AI7" s="600"/>
      <c r="AJ7" s="601"/>
      <c r="AK7" s="3"/>
      <c r="AL7" s="593" t="s">
        <v>68</v>
      </c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612"/>
      <c r="BA7" s="593" t="s">
        <v>23</v>
      </c>
      <c r="BB7" s="594"/>
      <c r="BC7" s="594"/>
      <c r="BD7" s="594"/>
      <c r="BE7" s="594"/>
      <c r="BF7" s="594"/>
      <c r="BG7" s="594"/>
      <c r="BH7" s="594"/>
      <c r="BI7" s="594"/>
      <c r="BJ7" s="594"/>
      <c r="BK7" s="594"/>
      <c r="BL7" s="594"/>
      <c r="BM7" s="594"/>
      <c r="BN7" s="594"/>
      <c r="BO7" s="594"/>
      <c r="BP7" s="594"/>
      <c r="BQ7" s="594"/>
      <c r="BR7" s="594"/>
      <c r="BS7" s="594"/>
      <c r="BT7" s="594"/>
      <c r="BU7" s="612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04" t="s">
        <v>1</v>
      </c>
      <c r="BB8" s="605"/>
      <c r="BC8" s="605"/>
      <c r="BD8" s="63"/>
      <c r="BE8" s="605" t="s">
        <v>22</v>
      </c>
      <c r="BF8" s="605"/>
      <c r="BG8" s="605"/>
      <c r="BH8" s="605"/>
      <c r="BI8" s="617"/>
      <c r="BJ8" s="618" t="s">
        <v>111</v>
      </c>
      <c r="BK8" s="619"/>
      <c r="BL8" s="619"/>
      <c r="BM8" s="620"/>
      <c r="BN8" s="604" t="s">
        <v>22</v>
      </c>
      <c r="BO8" s="605"/>
      <c r="BP8" s="605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SUM(D102:D436)</f>
        <v>30406587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SUM(D109:D443)</f>
        <v>30179313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SUM(D116:D450)</f>
        <v>30630988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SUM(D123:D460)</f>
        <v>361236118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SUM(D124:D461)</f>
        <v>361174399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SUM(D125:D462)</f>
        <v>361116050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SUM(D126:D463)</f>
        <v>361050562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SUM(D127:D464)</f>
        <v>360984514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SUM(D128:D465)</f>
        <v>360912519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SUM(D129:D466)</f>
        <v>437839131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SUM(D130:D467)</f>
        <v>437764144.23262841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SUM(D131:D468)</f>
        <v>437700885.23262841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SUM(D132:D469)</f>
        <v>768635606.23262835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SUM(D133:D470)</f>
        <v>812926727.23262835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SUM(D134:D471)</f>
        <v>812859248.30462837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SUM(D135:D472)</f>
        <v>812787281.30462837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SUM(D136:D473)</f>
        <v>812717838.34662843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SUM(D137:D474)</f>
        <v>813640804.34662843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SUM(D138:D475)</f>
        <v>813573391.34662843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SUM(D139:D476)</f>
        <v>813517261.34662843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SUM(D140:D477)</f>
        <v>813455690.34662843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SUM(D141:D478)</f>
        <v>813390961.34662843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SUM(D142:D479)</f>
        <v>813324040.34662843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SUM(D143:D480)</f>
        <v>813255471.34662843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SUM(D144:D481)</f>
        <v>813184388.34662843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SUM(D145:D482)</f>
        <v>813125847.34662843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SUM(D146:D483)</f>
        <v>813076809.34662843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SUM(D147:D484)</f>
        <v>813028163.34662843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SUM(D148:D485)</f>
        <v>812973599.34662843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SUM(D149:D486)</f>
        <v>812918451.34662843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SUM(D150:D487)</f>
        <v>812859741.34662843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SUM(D151:D488)</f>
        <v>812796495.34662843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SUM(D152:D489)</f>
        <v>812742296.34662843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SUM(D153:D490)</f>
        <v>812694447.34662843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SUM(D154:D491)</f>
        <v>812644647.34662843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SUM(D155:D492)</f>
        <v>812590128.34662843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SUM(D156:D493)</f>
        <v>812535783.34662843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SUM(D157:D494)</f>
        <v>812480419.34662843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SUM(D158:D495)</f>
        <v>812419819.34662843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35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SUM(D159:D496)</f>
        <v>812366296.34662843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SUM(D160:D497)</f>
        <v>812329453.34662843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SUM(D161:D498)</f>
        <v>812288841.34662843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SUM(D162:D499)</f>
        <v>812244842.34662843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SUM(D163:D500)</f>
        <v>812199869.34662843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SUM(D164:D501)</f>
        <v>812154512.34662843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SUM(D165:D502)</f>
        <v>812104031.34662843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SUM(D166:D503)</f>
        <v>812060202.34662843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SUM(D167:D504)</f>
        <v>812027484.34662843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SUM(D168:D505)</f>
        <v>811986000.34662843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SUM(D169:D506)</f>
        <v>811945902.34662843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SUM(D170:D507)</f>
        <v>811901265.34662843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SUM(D171:D508)</f>
        <v>811855259.34662843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SUM(D172:D509)</f>
        <v>811805658.34662843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SUM(D173:D510)</f>
        <v>811762998.34662843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SUM(D174:D511)</f>
        <v>811729017.34662843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SUM(D175:D512)</f>
        <v>811690457.34662843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SUM(D176:D513)</f>
        <v>811648478.34662843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SUM(D177:D514)</f>
        <v>811607267.34662843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SUM(D178:D515)</f>
        <v>811561803.34662843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SUM(D179:D516)</f>
        <v>811508954.34662843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SUM(D180:D517)</f>
        <v>811466862.34662843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SUM(D181:D518)</f>
        <v>811435752.34662843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SUM(D182:D522)</f>
        <v>811410332.34662843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SUM(D183:D523)</f>
        <v>811381893.34662843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SUM(D184:D524)</f>
        <v>811346650.34662843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SUM(D185:D525)</f>
        <v>845022125.06091416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SUM(D186:D526)</f>
        <v>895832667.91805696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SUM(D187:D527)</f>
        <v>964364814.4894855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35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SUM(D188:D529)</f>
        <v>964332957.4894855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SUM(D189:D530)</f>
        <v>1140077462.060914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SUM(D190:D534)</f>
        <v>1140041015.060914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SUM(D191:D535)</f>
        <v>1140000861.060914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SUM(D192:D536)</f>
        <v>1139954566.060914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SUM(D193:D537)</f>
        <v>1139903221.060914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SUM(D194:D538)</f>
        <v>1139859608.060914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SUM(D195:D539)</f>
        <v>1139826222.060914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SUM(D196:D545)</f>
        <v>1139789418.060914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SUM(D197:D546)</f>
        <v>1139753722.060914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SUM(D198:D547)</f>
        <v>1139712106.060914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SUM(D199:D548)</f>
        <v>1139666751.060914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SUM(D200:D550)</f>
        <v>1139613122.060914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SUM(D201:D551)</f>
        <v>1139569916.060914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SUM(D202:D552)</f>
        <v>1139536134.060914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SUM(D203:D553)</f>
        <v>1139498716.060914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SUM(D204:D554)</f>
        <v>1139454489.060914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SUM(D205:D555)</f>
        <v>1139413560.060914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SUM(D206:D556)</f>
        <v>1139366171.060914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SUM(D207:D557)</f>
        <v>1139314768.060914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SUM(D208:D558)</f>
        <v>1139265843.060914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SUM(D209:D559)</f>
        <v>1139231777.060914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SUM(D210:D560)</f>
        <v>1139194060.060914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SUM(D211:D561)</f>
        <v>1139149392.060914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SUM(D212:D562)</f>
        <v>1139100034.060914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SUM(D213:D563)</f>
        <v>1139042716.060914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SUM(D214:D564)</f>
        <v>1138981733.060914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SUM(D215:D565)</f>
        <v>1138927498.060914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SUM(D216:D566)</f>
        <v>1138885563.060914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SUM(D217:D567)</f>
        <v>1138839772.060914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SUM(D218:D568)</f>
        <v>1138788238.060914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SUM(D219:D569)</f>
        <v>1138728545.060914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SUM(D220:D570)</f>
        <v>1138662416.060914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SUM(D221:D571)</f>
        <v>1138590729.060914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SUM(D222:D572)</f>
        <v>1138536497.060914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SUM(D223:D573)</f>
        <v>1138491556.060914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SUM(D224:D574)</f>
        <v>1138434229.060914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SUM(D225:D575)</f>
        <v>1138372157.060914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SUM(D226:D576)</f>
        <v>1138308494.060914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SUM(D227:D577)</f>
        <v>1138234193.060914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SUM(D228:D578)</f>
        <v>1138152779.060914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SUM(D229:D579)</f>
        <v>1138073330.060914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SUM(D230:D580)</f>
        <v>1138012441.060914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SUM(D231:D581)</f>
        <v>1137942600.060914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SUM(D232:D582)</f>
        <v>1137867528.060914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SUM(D233:D583)</f>
        <v>1137785947.060914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SUM(D234:D584)</f>
        <v>1137694417.060914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SUM(D235:D585)</f>
        <v>1137592956.060914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SUM(D236:D586)</f>
        <v>1137506663.060914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SUM(D237:D587)</f>
        <v>1137435342.060914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SUM(D238:D588)</f>
        <v>1137346437.060914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SUM(D239:D589)</f>
        <v>1137251970.060914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SUM(D240:D590)</f>
        <v>1137143581.060914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SUM(D241:D591)</f>
        <v>1137025262.060914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SUM(D242:D592)</f>
        <v>1136892721.060914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SUM(D243:D593)</f>
        <v>1136768331.060914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SUM(D244:D594)</f>
        <v>1136665605.060914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SUM(D245:D595)</f>
        <v>1136539916.060914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SUM(D246:D596)</f>
        <v>1136404263.060914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SUM(D247:D597)</f>
        <v>1136261357.060914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SUM(D248:D598)</f>
        <v>1136099816.060914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SUM(D249:D599)</f>
        <v>1135916289.060914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SUM(D250:D600)</f>
        <v>1135759036.060914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SUM(D251:D601)</f>
        <v>1135620787.060914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SUM(D252:D602)</f>
        <v>1135458638.060914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SUM(D253:D603)</f>
        <v>1135301377.060914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SUM(D254:D604)</f>
        <v>1135127609.060914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SUM(D255:D605)</f>
        <v>1134935423.060914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SUM(D256:D606)</f>
        <v>1134731244.060914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SUM(D257:D607)</f>
        <v>1134558405.060914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SUM(D258:D608)</f>
        <v>1134421778.060914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SUM(D259:D609)</f>
        <v>1134249478.060914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SUM(D260:D610)</f>
        <v>1134072396.060914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SUM(D261:D611)</f>
        <v>1133891493.060914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SUM(D262:D612)</f>
        <v>1133783430.060914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SUM(D263:D613)</f>
        <v>1133619418.060914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SUM(D264:D614)</f>
        <v>1133476045.060914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SUM(D265:D615)</f>
        <v>1133337857.060914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SUM(D266:D616)</f>
        <v>1133176289.060914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SUM(D267:D617)</f>
        <v>1132994013.060914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SUM(D268:D618)</f>
        <v>1132790276.060914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SUM(D269:D619)</f>
        <v>1132571700.060914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SUM(D270:D620)</f>
        <v>1132336428.060914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SUM(D271:D621)</f>
        <v>1132123945.060914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SUM(D272:D622)</f>
        <v>1131941166.060914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SUM(D273:D623)</f>
        <v>1131741081.060914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SUM(D274:D624)</f>
        <v>1131531325.060914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SUM(D275:D625)</f>
        <v>1131304372.060914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SUM(D276:D626)</f>
        <v>1131077058.060914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SUM(D277:D627)</f>
        <v>1130830297.060914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SUM(D278:D628)</f>
        <v>1130609999.060914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SUM(D279:D629)</f>
        <v>1130422098.060914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SUM(D280:D630)</f>
        <v>1130222366.060914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SUM(D281:D631)</f>
        <v>1130022331.060914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SUM(D282:D632)</f>
        <v>1129772158.060914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SUM(D283:D633)</f>
        <v>1129534286.060914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SUM(D284:D634)</f>
        <v>1129279606.060914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SUM(D285:D635)</f>
        <v>1129089956.060914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SUM(D286:D636)</f>
        <v>1128901676.060914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SUM(D287:D637)</f>
        <v>1128701567.060914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SUM(D288:D638)</f>
        <v>1128502487.060914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SUM(D289:D639)</f>
        <v>1128270145.060914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SUM(D290:D640)</f>
        <v>1128077115.060914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SUM(D291:D641)</f>
        <v>1127978275.060914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SUM(D292:D642)</f>
        <v>1127817671.060914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SUM(D293:D643)</f>
        <v>1127689931.060914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SUM(D294:D644)</f>
        <v>1127503540.060914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SUM(D295:D645)</f>
        <v>1127303918.060914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SUM(D296:D646)</f>
        <v>1127069143.060914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SUM(D297:D647)</f>
        <v>1126840730.060914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SUM(D298:D648)</f>
        <v>1126674686.060914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SUM(D299:D649)</f>
        <v>1126442459.060914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SUM(D300:D650)</f>
        <v>1126248122.060914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SUM(D301:D651)</f>
        <v>1126057960.060914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SUM(D302:D652)</f>
        <v>1125823249.060914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SUM(D303:D653)</f>
        <v>1125562276.060914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SUM(D304:D654)</f>
        <v>1125288086.060914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SUM(D305:D655)</f>
        <v>1124981637.060914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SUM(D306:D656)</f>
        <v>1124731943.060914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SUM(D307:D657)</f>
        <v>1124511116.060914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SUM(D308:D658)</f>
        <v>1124296433.060914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SUM(D309:D659)</f>
        <v>1124072805.060914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SUM(D310:D660)</f>
        <v>1123834732.060914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SUM(D311:D661)</f>
        <v>1123600313.060914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SUM(D312:D662)</f>
        <v>1123351507.060914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SUM(D313:D663)</f>
        <v>1123148740.060914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SUM(D314:D664)</f>
        <v>1122974180.060914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SUM(D315:D665)</f>
        <v>1122824852.060914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SUM(D316:D666)</f>
        <v>1122650474.060914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SUM(D317:D667)</f>
        <v>1122460393.060914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SUM(D318:D668)</f>
        <v>1122266635.060914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SUM(D319:D669)</f>
        <v>1122074570.060914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SUM(D320:D670)</f>
        <v>1121901503.060914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SUM(D321:D671)</f>
        <v>1121766321.060914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SUM(D322:D672)</f>
        <v>1121614077.060914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SUM(D323:D673)</f>
        <v>1121462350.060914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SUM(D324:D674)</f>
        <v>1121302319.060914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SUM(D325:D675)</f>
        <v>1121139686.060914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SUM(D326:D676)</f>
        <v>1120970653.060914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SUM(D327:D677)</f>
        <v>1120829921.060914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SUM(D328:D678)</f>
        <v>1120722105.060914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SUM(D329:D679)</f>
        <v>1120595653.060914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SUM(D330:D680)</f>
        <v>1120479426.060914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SUM(D331:D681)</f>
        <v>1120365967.060914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SUM(D332:D682)</f>
        <v>1120244230.060914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SUM(D333:D683)</f>
        <v>1120118105.060914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SUM(D334:D684)</f>
        <v>1120012122.060914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SUM(D335:D685)</f>
        <v>1119920866.060914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SUM(D336:D686)</f>
        <v>1119830520.060914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SUM(D337:D687)</f>
        <v>1119734978.060914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SUM(D338:D688)</f>
        <v>1119638172.060914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SUM(D339:D689)</f>
        <v>1119533928.060914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SUM(D340:D690)</f>
        <v>1119433640.060914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SUM(D341:D691)</f>
        <v>1119347156.060914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SUM(D342:D692)</f>
        <v>1119282859.060914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SUM(D343:D693)</f>
        <v>1119230074.060914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SUM(D344:D694)</f>
        <v>1119166676.060914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SUM(D345:D695)</f>
        <v>1119095036.060914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SUM(D346:D696)</f>
        <v>1119026112.060914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SUM(D347:D697)</f>
        <v>1118940573.060914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SUM(D348:D698)</f>
        <v>1118870956.060914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SUM(D349:D699)</f>
        <v>1118813731.060914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SUM(D350:D700)</f>
        <v>1118742677.060914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SUM(D351:D701)</f>
        <v>1118668973.060914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SUM(D352:D702)</f>
        <v>1118593674.060914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SUM(D353:D703)</f>
        <v>1118516297.060914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SUM(D354:D704)</f>
        <v>1118435672.060914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SUM(D355:D705)</f>
        <v>1118371352.060914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SUM(D356:D706)</f>
        <v>1118321940.060914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SUM(D357:D707)</f>
        <v>1118266759.060914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SUM(D358:D708)</f>
        <v>1118209869.060914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SUM(D359:D709)</f>
        <v>1118142644.060914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SUM(D360:D710)</f>
        <v>1118074323.060914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SUM(D361:D711)</f>
        <v>1118005083.060914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SUM(D362:D712)</f>
        <v>1117946855.060914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SUM(D363:D713)</f>
        <v>1117904888.060914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SUM(D364:D714)</f>
        <v>1117859520.060914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SUM(D365:D715)</f>
        <v>1117803837.060914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432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SUM(D366:D716)</f>
        <v>1117742477.060914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SUM(D367:D717)</f>
        <v>1117679704.060914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SUM(D368:D718)</f>
        <v>1117612919.060914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SUM(D369:D719)</f>
        <v>1117563201.060914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SUM(D370:D720)</f>
        <v>1117526305.060914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SUM(D371:D721)</f>
        <v>1117479538.060914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SUM(D372:D722)</f>
        <v>1117426307.060914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SUM(D373:D723)</f>
        <v>1117362812.060914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SUM(D374:D724)</f>
        <v>1117300183.060914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SUM(D375:D725)</f>
        <v>1117233770.060914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SUM(D376:D726)</f>
        <v>1117177862.060914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SUM(D377:D727)</f>
        <v>1117138357.060914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SUM(D378:D728)</f>
        <v>1117092609.060914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SUM(D379:D729)</f>
        <v>1117033904.060914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SUM(D380:D730)</f>
        <v>1116967366.060914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SUM(D381:D731)</f>
        <v>1116900320.060914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SUM(D382:D732)</f>
        <v>1116823344.060914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SUM(D383:D733)</f>
        <v>1116759685.060914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SUM(D384:D734)</f>
        <v>1116715589.060914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SUM(D385:D735)</f>
        <v>1116655391.060914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SUM(D386:D736)</f>
        <v>1116592932.060914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SUM(D387:D737)</f>
        <v>1116524176.060914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SUM(D388:D738)</f>
        <v>1116479925.060914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SUM(D389:D739)</f>
        <v>1116409901.060914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" si="350">+H418+D419</f>
        <v>32873211</v>
      </c>
      <c r="I419" s="16"/>
      <c r="J419" s="436">
        <f t="shared" ref="J419" si="351">+D419/H418</f>
        <v>1.2321231506693148E-3</v>
      </c>
      <c r="K419" s="16"/>
      <c r="L419" s="16"/>
      <c r="M419" s="16"/>
      <c r="N419" s="16">
        <f t="shared" ref="N419" si="352">SUM(D413:D419)</f>
        <v>341014</v>
      </c>
      <c r="O419" s="16">
        <f t="shared" ref="O419" si="353">+H419/BW419</f>
        <v>80178.563414634147</v>
      </c>
      <c r="P419" s="41"/>
      <c r="Q419" s="17">
        <f t="shared" ref="Q419" si="354">SUM(D413:D419)</f>
        <v>341014</v>
      </c>
      <c r="R419" s="16"/>
      <c r="S419" s="60">
        <f t="shared" ref="S41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" si="356">SUM(W414:W419)</f>
        <v>4041</v>
      </c>
      <c r="AA419" s="33">
        <f t="shared" ref="AA419" si="357">+AA418+W419</f>
        <v>580074</v>
      </c>
      <c r="AB419" s="33"/>
      <c r="AC419" s="46">
        <f t="shared" ref="AC419" si="358">+AA419/H419</f>
        <v>1.7645796755297195E-2</v>
      </c>
      <c r="AD419" s="33"/>
      <c r="AE419" s="33">
        <f t="shared" ref="AE419" si="359">+AA419/BW419</f>
        <v>1414.8146341463414</v>
      </c>
      <c r="AF419" s="50"/>
      <c r="AG419" s="33">
        <f t="shared" ref="AG419" si="360">SUM(W413:W419)</f>
        <v>4926</v>
      </c>
      <c r="AH419" s="33">
        <f t="shared" ref="AH419" si="361">SUM(D390:D740)</f>
        <v>1116343747.060914</v>
      </c>
      <c r="AI419" s="213">
        <f t="shared" ref="AI419" si="362">+(AG419-AG412)/AG412</f>
        <v>2.2380467955239063E-3</v>
      </c>
      <c r="AJ419" s="50"/>
      <c r="AK419" s="111"/>
      <c r="AL419" s="23">
        <f t="shared" ref="AL419" si="363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" si="364">+AL419/AP418</f>
        <v>3.2870452838079599E-3</v>
      </c>
      <c r="AS419" s="25"/>
      <c r="AT419" s="25"/>
      <c r="AU419" s="24"/>
      <c r="AV419" s="298">
        <f t="shared" ref="AV419" si="365">+AP419/H419</f>
        <v>0.78813974089723093</v>
      </c>
      <c r="AW419" s="298"/>
      <c r="AX419" s="24">
        <f t="shared" ref="AX419" si="366">+AP419/BW419</f>
        <v>63191.912195121949</v>
      </c>
      <c r="AY419" s="308"/>
      <c r="AZ419" s="111"/>
      <c r="BA419" s="65">
        <f t="shared" ref="BA419" si="367">+BC419-BC418</f>
        <v>1302508</v>
      </c>
      <c r="BB419" s="66"/>
      <c r="BC419" s="66">
        <v>450287188</v>
      </c>
      <c r="BD419" s="66"/>
      <c r="BE419" s="66">
        <f t="shared" ref="BE419" si="368">+D419</f>
        <v>40454</v>
      </c>
      <c r="BF419" s="66"/>
      <c r="BG419" s="144">
        <f t="shared" ref="BG419" si="369">+BE419/BA419</f>
        <v>3.1058542442733556E-2</v>
      </c>
      <c r="BH419" s="66"/>
      <c r="BI419" s="170"/>
      <c r="BJ419" s="66"/>
      <c r="BK419" s="66">
        <f t="shared" ref="BK419" si="370">SUM(BA413:BA419)</f>
        <v>9098343</v>
      </c>
      <c r="BL419" s="66"/>
      <c r="BM419" s="144">
        <f t="shared" ref="BM419" si="371">+Q419/BK419</f>
        <v>3.7480890751206017E-2</v>
      </c>
      <c r="BN419" s="65">
        <f t="shared" ref="BN419" si="372">+BC419/BW419</f>
        <v>1098261.4341463414</v>
      </c>
      <c r="BO419" s="66"/>
      <c r="BP419" s="66">
        <f t="shared" ref="BP419" si="373">+BP418+BE419</f>
        <v>31966233</v>
      </c>
      <c r="BQ419" s="66"/>
      <c r="BR419" s="435">
        <f t="shared" ref="BR419" si="374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ref="H420" si="375">+H419+D420</f>
        <v>32915565</v>
      </c>
      <c r="I420" s="16"/>
      <c r="J420" s="436">
        <f t="shared" ref="J420" si="376">+D420/H419</f>
        <v>1.2884047134914809E-3</v>
      </c>
      <c r="K420" s="16"/>
      <c r="L420" s="16"/>
      <c r="M420" s="16"/>
      <c r="N420" s="16">
        <f t="shared" ref="N420" si="377">SUM(D414:D420)</f>
        <v>331322</v>
      </c>
      <c r="O420" s="16">
        <f t="shared" ref="O420" si="378">+H420/BW420</f>
        <v>80086.53284671533</v>
      </c>
      <c r="P420" s="41"/>
      <c r="Q420" s="17">
        <f t="shared" ref="Q420" si="379">SUM(D414:D420)</f>
        <v>331322</v>
      </c>
      <c r="R420" s="16"/>
      <c r="S420" s="60">
        <f t="shared" ref="S420" si="380">+(Q420-Q413)/Q413</f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ref="Z420" si="381">SUM(W415:W420)</f>
        <v>3940</v>
      </c>
      <c r="AA420" s="33">
        <f t="shared" ref="AA420" si="382">+AA419+W420</f>
        <v>580927</v>
      </c>
      <c r="AB420" s="33"/>
      <c r="AC420" s="46">
        <f t="shared" ref="AC420" si="383">+AA420/H420</f>
        <v>1.764900587305732E-2</v>
      </c>
      <c r="AD420" s="33"/>
      <c r="AE420" s="33">
        <f t="shared" ref="AE420" si="384">+AA420/BW420</f>
        <v>1413.4476885644769</v>
      </c>
      <c r="AF420" s="50"/>
      <c r="AG420" s="33">
        <f t="shared" ref="AG420" si="385">SUM(W414:W420)</f>
        <v>4894</v>
      </c>
      <c r="AH420" s="33">
        <f t="shared" ref="AH420" si="386">SUM(D391:D741)</f>
        <v>1116306764.060914</v>
      </c>
      <c r="AI420" s="213">
        <f t="shared" ref="AI420" si="387">+(AG420-AG413)/AG413</f>
        <v>-4.6776489729509867E-3</v>
      </c>
      <c r="AJ420" s="50"/>
      <c r="AK420" s="111"/>
      <c r="AL420" s="23">
        <f t="shared" ref="AL420" si="388">+AP420-AP419</f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ref="AR420" si="389">+AL420/AP419</f>
        <v>2.227245505792575E-3</v>
      </c>
      <c r="AS420" s="25"/>
      <c r="AT420" s="25"/>
      <c r="AU420" s="24"/>
      <c r="AV420" s="298">
        <f t="shared" ref="AV420" si="390">+AP420/H420</f>
        <v>0.78887872652345481</v>
      </c>
      <c r="AW420" s="298"/>
      <c r="AX420" s="24">
        <f t="shared" ref="AX420" si="391">+AP420/BW420</f>
        <v>63178.562043795624</v>
      </c>
      <c r="AY420" s="308"/>
      <c r="AZ420" s="111"/>
      <c r="BA420" s="65">
        <f t="shared" ref="BA420" si="392">+BC420-BC419</f>
        <v>959207</v>
      </c>
      <c r="BB420" s="66"/>
      <c r="BC420" s="66">
        <v>451246395</v>
      </c>
      <c r="BD420" s="66"/>
      <c r="BE420" s="66">
        <f t="shared" ref="BE420" si="393">+D420</f>
        <v>42354</v>
      </c>
      <c r="BF420" s="66"/>
      <c r="BG420" s="144">
        <f t="shared" ref="BG420" si="394">+BE420/BA420</f>
        <v>4.4155224054870323E-2</v>
      </c>
      <c r="BH420" s="66"/>
      <c r="BI420" s="170"/>
      <c r="BJ420" s="66"/>
      <c r="BK420" s="66">
        <f t="shared" ref="BK420" si="395">SUM(BA414:BA420)</f>
        <v>9035743</v>
      </c>
      <c r="BL420" s="66"/>
      <c r="BM420" s="144">
        <f t="shared" ref="BM420" si="396">+Q420/BK420</f>
        <v>3.666793090507333E-2</v>
      </c>
      <c r="BN420" s="65">
        <f t="shared" ref="BN420" si="397">+BC420/BW420</f>
        <v>1097923.1021897809</v>
      </c>
      <c r="BO420" s="66"/>
      <c r="BP420" s="66">
        <f t="shared" ref="BP420" si="398">+BP419+BE420</f>
        <v>32008587</v>
      </c>
      <c r="BQ420" s="66"/>
      <c r="BR420" s="435">
        <f t="shared" ref="BR420" si="399">+BP420/BC420</f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ref="H421" si="400">+H420+D421</f>
        <v>32961694</v>
      </c>
      <c r="I421" s="16"/>
      <c r="J421" s="436">
        <f t="shared" ref="J421" si="401">+D421/H420</f>
        <v>1.4014342454701902E-3</v>
      </c>
      <c r="K421" s="16"/>
      <c r="L421" s="16"/>
      <c r="M421" s="16"/>
      <c r="N421" s="16">
        <f t="shared" ref="N421" si="402">SUM(D415:D421)</f>
        <v>320847</v>
      </c>
      <c r="O421" s="16">
        <f t="shared" ref="O421" si="403">+H421/BW421</f>
        <v>80004.111650485444</v>
      </c>
      <c r="P421" s="41"/>
      <c r="Q421" s="17">
        <f t="shared" ref="Q421" si="404">SUM(D415:D421)</f>
        <v>320847</v>
      </c>
      <c r="R421" s="16"/>
      <c r="S421" s="60">
        <f t="shared" ref="S421" si="405">+(Q421-Q414)/Q414</f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ref="Z421" si="406">SUM(W416:W421)</f>
        <v>3813</v>
      </c>
      <c r="AA421" s="33">
        <f t="shared" ref="AA421" si="407">+AA420+W421</f>
        <v>581670</v>
      </c>
      <c r="AB421" s="33"/>
      <c r="AC421" s="46">
        <f t="shared" ref="AC421" si="408">+AA421/H421</f>
        <v>1.7646847883485601E-2</v>
      </c>
      <c r="AD421" s="33"/>
      <c r="AE421" s="33">
        <f t="shared" ref="AE421" si="409">+AA421/BW421</f>
        <v>1411.8203883495146</v>
      </c>
      <c r="AF421" s="50"/>
      <c r="AG421" s="33">
        <f t="shared" ref="AG421" si="410">SUM(W415:W421)</f>
        <v>4683</v>
      </c>
      <c r="AH421" s="33">
        <f t="shared" ref="AH421" si="411">SUM(D392:D742)</f>
        <v>1116249120.060914</v>
      </c>
      <c r="AI421" s="213">
        <f t="shared" ref="AI421" si="412">+(AG421-AG414)/AG414</f>
        <v>-6.2462462462462461E-2</v>
      </c>
      <c r="AJ421" s="50"/>
      <c r="AK421" s="111"/>
      <c r="AL421" s="23">
        <f t="shared" ref="AL421" si="413">+AP421-AP420</f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ref="AR421" si="414">+AL421/AP420</f>
        <v>2.654392953906683E-3</v>
      </c>
      <c r="AS421" s="25"/>
      <c r="AT421" s="25"/>
      <c r="AU421" s="24"/>
      <c r="AV421" s="298">
        <f t="shared" ref="AV421" si="415">+AP421/H421</f>
        <v>0.78986577570922178</v>
      </c>
      <c r="AW421" s="298"/>
      <c r="AX421" s="24">
        <f t="shared" ref="AX421" si="416">+AP421/BW421</f>
        <v>63192.509708737867</v>
      </c>
      <c r="AY421" s="308"/>
      <c r="AZ421" s="111"/>
      <c r="BA421" s="65">
        <f t="shared" ref="BA421" si="417">+BC421-BC420</f>
        <v>1834660</v>
      </c>
      <c r="BB421" s="66"/>
      <c r="BC421" s="66">
        <v>453081055</v>
      </c>
      <c r="BD421" s="66"/>
      <c r="BE421" s="66">
        <f t="shared" ref="BE421" si="418">+D421</f>
        <v>46129</v>
      </c>
      <c r="BF421" s="66"/>
      <c r="BG421" s="144">
        <f t="shared" ref="BG421" si="419">+BE421/BA421</f>
        <v>2.5143078281534455E-2</v>
      </c>
      <c r="BH421" s="66"/>
      <c r="BI421" s="170"/>
      <c r="BJ421" s="66"/>
      <c r="BK421" s="66">
        <f t="shared" ref="BK421" si="420">SUM(BA415:BA421)</f>
        <v>9094058</v>
      </c>
      <c r="BL421" s="66"/>
      <c r="BM421" s="144">
        <f t="shared" ref="BM421" si="421">+Q421/BK421</f>
        <v>3.5280949384752111E-2</v>
      </c>
      <c r="BN421" s="65">
        <f t="shared" ref="BN421" si="422">+BC421/BW421</f>
        <v>1099711.2985436893</v>
      </c>
      <c r="BO421" s="66"/>
      <c r="BP421" s="66">
        <f t="shared" ref="BP421" si="423">+BP420+BE421</f>
        <v>32054716</v>
      </c>
      <c r="BQ421" s="66"/>
      <c r="BR421" s="435">
        <f t="shared" ref="BR421" si="424">+BP421/BC421</f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ref="H422" si="425">+H421+D422</f>
        <v>33009513</v>
      </c>
      <c r="I422" s="16"/>
      <c r="J422" s="436">
        <f t="shared" ref="J422" si="426">+D422/H421</f>
        <v>1.4507446128223871E-3</v>
      </c>
      <c r="K422" s="16"/>
      <c r="L422" s="16"/>
      <c r="M422" s="16"/>
      <c r="N422" s="16">
        <f t="shared" ref="N422" si="427">SUM(D416:D422)</f>
        <v>309397</v>
      </c>
      <c r="O422" s="16">
        <f t="shared" ref="O422" si="428">+H422/BW422</f>
        <v>79926.181598062947</v>
      </c>
      <c r="P422" s="41"/>
      <c r="Q422" s="17">
        <f t="shared" ref="Q422" si="429">SUM(D416:D422)</f>
        <v>309397</v>
      </c>
      <c r="R422" s="16"/>
      <c r="S422" s="60">
        <f t="shared" ref="S422" si="430">+(Q422-Q415)/Q415</f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ref="Z422" si="431">SUM(W417:W422)</f>
        <v>3889</v>
      </c>
      <c r="AA422" s="33">
        <f t="shared" ref="AA422" si="432">+AA421+W422</f>
        <v>582530</v>
      </c>
      <c r="AB422" s="33"/>
      <c r="AC422" s="46">
        <f t="shared" ref="AC422" si="433">+AA422/H422</f>
        <v>1.7647336996459172E-2</v>
      </c>
      <c r="AD422" s="33"/>
      <c r="AE422" s="33">
        <f t="shared" ref="AE422" si="434">+AA422/BW422</f>
        <v>1410.4842615012108</v>
      </c>
      <c r="AF422" s="50"/>
      <c r="AG422" s="33">
        <f t="shared" ref="AG422" si="435">SUM(W416:W422)</f>
        <v>4673</v>
      </c>
      <c r="AH422" s="33">
        <f t="shared" ref="AH422" si="436">SUM(D393:D743)</f>
        <v>1116186837.060914</v>
      </c>
      <c r="AI422" s="213">
        <f t="shared" ref="AI422" si="437">+(AG422-AG415)/AG415</f>
        <v>-5.9569329845039244E-2</v>
      </c>
      <c r="AJ422" s="50"/>
      <c r="AK422" s="111"/>
      <c r="AL422" s="23">
        <f t="shared" ref="AL422" si="438">+AP422-AP421</f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ref="AR422" si="439">+AL422/AP421</f>
        <v>2.692381586025811E-3</v>
      </c>
      <c r="AS422" s="25"/>
      <c r="AT422" s="25"/>
      <c r="AU422" s="24"/>
      <c r="AV422" s="298">
        <f t="shared" ref="AV422" si="440">+AP422/H422</f>
        <v>0.79084508153755551</v>
      </c>
      <c r="AW422" s="298"/>
      <c r="AX422" s="24">
        <f t="shared" ref="AX422" si="441">+AP422/BW422</f>
        <v>63209.227602905572</v>
      </c>
      <c r="AY422" s="308"/>
      <c r="AZ422" s="111"/>
      <c r="BA422" s="65">
        <f t="shared" ref="BA422" si="442">+BC422-BC421</f>
        <v>1372147</v>
      </c>
      <c r="BB422" s="66"/>
      <c r="BC422" s="66">
        <v>454453202</v>
      </c>
      <c r="BD422" s="66"/>
      <c r="BE422" s="66">
        <f t="shared" ref="BE422" si="443">+D422</f>
        <v>47819</v>
      </c>
      <c r="BF422" s="66"/>
      <c r="BG422" s="144">
        <f t="shared" ref="BG422" si="444">+BE422/BA422</f>
        <v>3.4849764638919881E-2</v>
      </c>
      <c r="BH422" s="66"/>
      <c r="BI422" s="170"/>
      <c r="BJ422" s="66"/>
      <c r="BK422" s="66">
        <f t="shared" ref="BK422" si="445">SUM(BA416:BA422)</f>
        <v>9320519</v>
      </c>
      <c r="BL422" s="66"/>
      <c r="BM422" s="144">
        <f t="shared" ref="BM422" si="446">+Q422/BK422</f>
        <v>3.3195254470271454E-2</v>
      </c>
      <c r="BN422" s="65">
        <f t="shared" ref="BN422" si="447">+BC422/BW422</f>
        <v>1100370.9491525423</v>
      </c>
      <c r="BO422" s="66"/>
      <c r="BP422" s="66">
        <f t="shared" ref="BP422" si="448">+BP421+BE422</f>
        <v>32102535</v>
      </c>
      <c r="BQ422" s="66"/>
      <c r="BR422" s="435">
        <f t="shared" ref="BR422" si="449">+BP422/BC422</f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ref="H423" si="450">+H422+D423</f>
        <v>33059004</v>
      </c>
      <c r="I423" s="16"/>
      <c r="J423" s="436">
        <f t="shared" ref="J423" si="451">+D423/H422</f>
        <v>1.4992950668493656E-3</v>
      </c>
      <c r="K423" s="16"/>
      <c r="L423" s="16"/>
      <c r="M423" s="16"/>
      <c r="N423" s="16">
        <f t="shared" ref="N423" si="452">SUM(D417:D423)</f>
        <v>298982</v>
      </c>
      <c r="O423" s="16">
        <f t="shared" ref="O423" si="453">+H423/BW423</f>
        <v>79852.666666666672</v>
      </c>
      <c r="P423" s="41"/>
      <c r="Q423" s="17">
        <f t="shared" ref="Q423" si="454">SUM(D417:D423)</f>
        <v>298982</v>
      </c>
      <c r="R423" s="16"/>
      <c r="S423" s="60">
        <f t="shared" ref="S423" si="455">+(Q423-Q416)/Q416</f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ref="Z423" si="456">SUM(W418:W423)</f>
        <v>4002</v>
      </c>
      <c r="AA423" s="33">
        <f t="shared" ref="AA423" si="457">+AA422+W423</f>
        <v>583304</v>
      </c>
      <c r="AB423" s="33"/>
      <c r="AC423" s="46">
        <f t="shared" ref="AC423" si="458">+AA423/H423</f>
        <v>1.7644330724543304E-2</v>
      </c>
      <c r="AD423" s="33"/>
      <c r="AE423" s="33">
        <f t="shared" ref="AE423" si="459">+AA423/BW423</f>
        <v>1408.9468599033817</v>
      </c>
      <c r="AF423" s="50"/>
      <c r="AG423" s="33">
        <f t="shared" ref="AG423" si="460">SUM(W417:W423)</f>
        <v>4663</v>
      </c>
      <c r="AH423" s="33">
        <f t="shared" ref="AH423" si="461">SUM(D394:D744)</f>
        <v>1116111654.060914</v>
      </c>
      <c r="AI423" s="213">
        <f t="shared" ref="AI423" si="462">+(AG423-AG416)/AG416</f>
        <v>-6.0447310094700786E-2</v>
      </c>
      <c r="AJ423" s="50"/>
      <c r="AK423" s="111"/>
      <c r="AL423" s="23">
        <f t="shared" ref="AL423" si="463">+AP423-AP422</f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ref="AR423" si="464">+AL423/AP422</f>
        <v>8.4023193505744845E-3</v>
      </c>
      <c r="AS423" s="25"/>
      <c r="AT423" s="25"/>
      <c r="AU423" s="24"/>
      <c r="AV423" s="298">
        <f t="shared" ref="AV423" si="465">+AP423/H423</f>
        <v>0.79629613160759471</v>
      </c>
      <c r="AW423" s="298"/>
      <c r="AX423" s="24">
        <f t="shared" ref="AX423" si="466">+AP423/BW423</f>
        <v>63586.369565217392</v>
      </c>
      <c r="AY423" s="308"/>
      <c r="AZ423" s="111"/>
      <c r="BA423" s="65">
        <f t="shared" ref="BA423" si="467">+BC423-BC422</f>
        <v>1536629</v>
      </c>
      <c r="BB423" s="66"/>
      <c r="BC423" s="66">
        <v>455989831</v>
      </c>
      <c r="BD423" s="66"/>
      <c r="BE423" s="66">
        <f t="shared" ref="BE423" si="468">+D423</f>
        <v>49491</v>
      </c>
      <c r="BF423" s="66"/>
      <c r="BG423" s="144">
        <f t="shared" ref="BG423" si="469">+BE423/BA423</f>
        <v>3.2207513980277609E-2</v>
      </c>
      <c r="BH423" s="66"/>
      <c r="BI423" s="170"/>
      <c r="BJ423" s="66"/>
      <c r="BK423" s="66">
        <f t="shared" ref="BK423" si="470">SUM(BA417:BA423)</f>
        <v>9362634</v>
      </c>
      <c r="BL423" s="66"/>
      <c r="BM423" s="144">
        <f t="shared" ref="BM423" si="471">+Q423/BK423</f>
        <v>3.1933534943264896E-2</v>
      </c>
      <c r="BN423" s="65">
        <f t="shared" ref="BN423" si="472">+BC423/BW423</f>
        <v>1101424.7125603864</v>
      </c>
      <c r="BO423" s="66"/>
      <c r="BP423" s="66">
        <f t="shared" ref="BP423" si="473">+BP422+BE423</f>
        <v>32152026</v>
      </c>
      <c r="BQ423" s="66"/>
      <c r="BR423" s="435">
        <f t="shared" ref="BR423" si="474">+BP423/BC423</f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ref="H424" si="475">+H423+D424</f>
        <v>33094759</v>
      </c>
      <c r="I424" s="16"/>
      <c r="J424" s="436">
        <f t="shared" ref="J424" si="476">+D424/H423</f>
        <v>1.0815510352338504E-3</v>
      </c>
      <c r="K424" s="16"/>
      <c r="L424" s="16"/>
      <c r="M424" s="16"/>
      <c r="N424" s="16">
        <f t="shared" ref="N424" si="477">SUM(D418:D424)</f>
        <v>292703</v>
      </c>
      <c r="O424" s="16">
        <f t="shared" ref="O424" si="478">+H424/BW424</f>
        <v>79746.407228915661</v>
      </c>
      <c r="P424" s="41"/>
      <c r="Q424" s="17">
        <f t="shared" ref="Q424" si="479">SUM(D418:D424)</f>
        <v>292703</v>
      </c>
      <c r="R424" s="16"/>
      <c r="S424" s="60">
        <f t="shared" ref="S424" si="480">+(Q424-Q417)/Q417</f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ref="Z424" si="481">SUM(W419:W424)</f>
        <v>4338</v>
      </c>
      <c r="AA424" s="33">
        <f t="shared" ref="AA424" si="482">+AA423+W424</f>
        <v>583952</v>
      </c>
      <c r="AB424" s="33"/>
      <c r="AC424" s="46">
        <f t="shared" ref="AC424" si="483">+AA424/H424</f>
        <v>1.7644848237148365E-2</v>
      </c>
      <c r="AD424" s="33"/>
      <c r="AE424" s="33">
        <f t="shared" ref="AE424" si="484">+AA424/BW424</f>
        <v>1407.1132530120483</v>
      </c>
      <c r="AF424" s="50"/>
      <c r="AG424" s="33">
        <f t="shared" ref="AG424" si="485">SUM(W418:W424)</f>
        <v>4650</v>
      </c>
      <c r="AH424" s="33">
        <f t="shared" ref="AH424" si="486">SUM(D395:D745)</f>
        <v>1116031493.060914</v>
      </c>
      <c r="AI424" s="213">
        <f t="shared" ref="AI424" si="487">+(AG424-AG417)/AG417</f>
        <v>-4.7521507578861123E-2</v>
      </c>
      <c r="AJ424" s="50"/>
      <c r="AK424" s="111"/>
      <c r="AL424" s="23">
        <f t="shared" ref="AL424" si="488">+AP424-AP423</f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ref="AR424" si="489">+AL424/AP423</f>
        <v>3.081282003856674E-3</v>
      </c>
      <c r="AS424" s="25"/>
      <c r="AT424" s="25"/>
      <c r="AU424" s="24"/>
      <c r="AV424" s="298">
        <f t="shared" ref="AV424" si="490">+AP424/H424</f>
        <v>0.79788678926472922</v>
      </c>
      <c r="AW424" s="298"/>
      <c r="AX424" s="24">
        <f t="shared" ref="AX424" si="491">+AP424/BW424</f>
        <v>63628.604819277105</v>
      </c>
      <c r="AY424" s="308"/>
      <c r="AZ424" s="111"/>
      <c r="BA424" s="65">
        <f t="shared" ref="BA424" si="492">+BC424-BC423</f>
        <v>1304842</v>
      </c>
      <c r="BB424" s="66"/>
      <c r="BC424" s="66">
        <v>457294673</v>
      </c>
      <c r="BD424" s="66"/>
      <c r="BE424" s="66">
        <f t="shared" ref="BE424" si="493">+D424</f>
        <v>35755</v>
      </c>
      <c r="BF424" s="66"/>
      <c r="BG424" s="144">
        <f t="shared" ref="BG424" si="494">+BE424/BA424</f>
        <v>2.7401785043706443E-2</v>
      </c>
      <c r="BH424" s="66"/>
      <c r="BI424" s="170"/>
      <c r="BJ424" s="66"/>
      <c r="BK424" s="66">
        <f t="shared" ref="BK424" si="495">SUM(BA418:BA424)</f>
        <v>9561991</v>
      </c>
      <c r="BL424" s="66"/>
      <c r="BM424" s="144">
        <f t="shared" ref="BM424" si="496">+Q424/BK424</f>
        <v>3.0611093442777765E-2</v>
      </c>
      <c r="BN424" s="65">
        <f t="shared" ref="BN424" si="497">+BC424/BW424</f>
        <v>1101914.8746987951</v>
      </c>
      <c r="BO424" s="66"/>
      <c r="BP424" s="66">
        <f t="shared" ref="BP424" si="498">+BP423+BE424</f>
        <v>32187781</v>
      </c>
      <c r="BQ424" s="66"/>
      <c r="BR424" s="435">
        <f t="shared" ref="BR424" si="499">+BP424/BC424</f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ref="H425" si="500">+H424+D425</f>
        <v>33116959</v>
      </c>
      <c r="I425" s="16"/>
      <c r="J425" s="436">
        <f t="shared" ref="J425" si="501">+D425/H424</f>
        <v>6.7080107759660672E-4</v>
      </c>
      <c r="K425" s="16"/>
      <c r="L425" s="16"/>
      <c r="M425" s="16"/>
      <c r="N425" s="577">
        <f t="shared" ref="N425" si="502">SUM(D419:D425)</f>
        <v>284202</v>
      </c>
      <c r="O425" s="16">
        <f t="shared" ref="O425" si="503">+H425/BW425</f>
        <v>79608.074519230766</v>
      </c>
      <c r="P425" s="41"/>
      <c r="Q425" s="17">
        <f t="shared" ref="Q425" si="504">SUM(D419:D425)</f>
        <v>284202</v>
      </c>
      <c r="R425" s="16"/>
      <c r="S425" s="60">
        <f t="shared" ref="S425" si="505">+(Q425-Q418)/Q418</f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ref="Z425" si="506">SUM(W420:W425)</f>
        <v>4119</v>
      </c>
      <c r="AA425" s="33">
        <f t="shared" ref="AA425" si="507">+AA424+W425</f>
        <v>584193</v>
      </c>
      <c r="AB425" s="33"/>
      <c r="AC425" s="46">
        <f t="shared" ref="AC425" si="508">+AA425/H425</f>
        <v>1.7640297226566001E-2</v>
      </c>
      <c r="AD425" s="33"/>
      <c r="AE425" s="33">
        <f t="shared" ref="AE425" si="509">+AA425/BW425</f>
        <v>1404.3100961538462</v>
      </c>
      <c r="AF425" s="50"/>
      <c r="AG425" s="33">
        <f t="shared" ref="AG425" si="510">SUM(W419:W425)</f>
        <v>4579</v>
      </c>
      <c r="AH425" s="33">
        <f t="shared" ref="AH425" si="511">SUM(D396:D746)</f>
        <v>1115946125.060914</v>
      </c>
      <c r="AI425" s="213">
        <f t="shared" ref="AI425" si="512">+(AG425-AG418)/AG418</f>
        <v>-6.9498069498069498E-2</v>
      </c>
      <c r="AJ425" s="50"/>
      <c r="AK425" s="111"/>
      <c r="AL425" s="23">
        <f t="shared" ref="AL425" si="513">+AP425-AP424</f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ref="AR425" si="514">+AL425/AP424</f>
        <v>1.2815710566790241E-3</v>
      </c>
      <c r="AS425" s="25"/>
      <c r="AT425" s="25"/>
      <c r="AU425" s="24"/>
      <c r="AV425" s="298">
        <f t="shared" ref="AV425" si="515">+AP425/H425</f>
        <v>0.79837378788312052</v>
      </c>
      <c r="AW425" s="298"/>
      <c r="AX425" s="24">
        <f t="shared" ref="AX425" si="516">+AP425/BW425</f>
        <v>63557</v>
      </c>
      <c r="AY425" s="308"/>
      <c r="AZ425" s="111"/>
      <c r="BA425" s="65">
        <f t="shared" ref="BA425" si="517">+BC425-BC424</f>
        <v>873630</v>
      </c>
      <c r="BB425" s="66"/>
      <c r="BC425" s="66">
        <v>458168303</v>
      </c>
      <c r="BD425" s="66"/>
      <c r="BE425" s="66">
        <f t="shared" ref="BE425" si="518">+D425</f>
        <v>22200</v>
      </c>
      <c r="BF425" s="66"/>
      <c r="BG425" s="144">
        <f t="shared" ref="BG425" si="519">+BE425/BA425</f>
        <v>2.541121527420075E-2</v>
      </c>
      <c r="BH425" s="66"/>
      <c r="BI425" s="170"/>
      <c r="BJ425" s="66"/>
      <c r="BK425" s="66">
        <f t="shared" ref="BK425" si="520">SUM(BA419:BA425)</f>
        <v>9183623</v>
      </c>
      <c r="BL425" s="66"/>
      <c r="BM425" s="144">
        <f t="shared" ref="BM425" si="521">+Q425/BK425</f>
        <v>3.0946610068814891E-2</v>
      </c>
      <c r="BN425" s="65">
        <f t="shared" ref="BN425" si="522">+BC425/BW425</f>
        <v>1101366.1129807692</v>
      </c>
      <c r="BO425" s="66"/>
      <c r="BP425" s="66">
        <f t="shared" ref="BP425" si="523">+BP424+BE425</f>
        <v>32209981</v>
      </c>
      <c r="BQ425" s="66"/>
      <c r="BR425" s="435">
        <f t="shared" ref="BR425" si="524">+BP425/BC425</f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ref="H426" si="525">+H425+D426</f>
        <v>33147111</v>
      </c>
      <c r="I426" s="16"/>
      <c r="J426" s="436">
        <f t="shared" ref="J426" si="526">+D426/H425</f>
        <v>9.1047007063661855E-4</v>
      </c>
      <c r="K426" s="16"/>
      <c r="L426" s="16"/>
      <c r="M426" s="16"/>
      <c r="N426" s="16">
        <f t="shared" ref="N426" si="527">SUM(D420:D426)</f>
        <v>273900</v>
      </c>
      <c r="O426" s="16">
        <f t="shared" ref="O426" si="528">+H426/BW426</f>
        <v>79489.474820143878</v>
      </c>
      <c r="P426" s="41"/>
      <c r="Q426" s="17">
        <f t="shared" ref="Q426" si="529">SUM(D420:D426)</f>
        <v>273900</v>
      </c>
      <c r="R426" s="16"/>
      <c r="S426" s="60">
        <f t="shared" ref="S426" si="530">+(Q426-Q419)/Q419</f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ref="Z426" si="531">SUM(W421:W426)</f>
        <v>3653</v>
      </c>
      <c r="AA426" s="33">
        <f t="shared" ref="AA426" si="532">+AA425+W426</f>
        <v>584580</v>
      </c>
      <c r="AB426" s="33"/>
      <c r="AC426" s="46">
        <f t="shared" ref="AC426" si="533">+AA426/H426</f>
        <v>1.7635926099260957E-2</v>
      </c>
      <c r="AD426" s="33"/>
      <c r="AE426" s="33">
        <f t="shared" ref="AE426" si="534">+AA426/BW426</f>
        <v>1401.8705035971223</v>
      </c>
      <c r="AF426" s="50"/>
      <c r="AG426" s="33">
        <f t="shared" ref="AG426" si="535">SUM(W420:W426)</f>
        <v>4506</v>
      </c>
      <c r="AH426" s="33">
        <f t="shared" ref="AH426" si="536">SUM(D397:D747)</f>
        <v>1115879345.060914</v>
      </c>
      <c r="AI426" s="213">
        <f t="shared" ref="AI426" si="537">+(AG426-AG419)/AG419</f>
        <v>-8.5261875761266745E-2</v>
      </c>
      <c r="AJ426" s="50"/>
      <c r="AK426" s="111"/>
      <c r="AL426" s="23">
        <f t="shared" ref="AL426" si="538">+AP426-AP425</f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ref="AR426" si="539">+AL426/AP425</f>
        <v>2.5611095915114355E-3</v>
      </c>
      <c r="AS426" s="25"/>
      <c r="AT426" s="25"/>
      <c r="AU426" s="24"/>
      <c r="AV426" s="298">
        <f t="shared" ref="AV426" si="540">+AP426/H426</f>
        <v>0.79969041645891858</v>
      </c>
      <c r="AW426" s="298"/>
      <c r="AX426" s="24">
        <f t="shared" ref="AX426" si="541">+AP426/BW426</f>
        <v>63566.971223021581</v>
      </c>
      <c r="AY426" s="308"/>
      <c r="AZ426" s="111"/>
      <c r="BA426" s="65">
        <f t="shared" ref="BA426" si="542">+BC426-BC425</f>
        <v>1252631</v>
      </c>
      <c r="BB426" s="66"/>
      <c r="BC426" s="66">
        <v>459420934</v>
      </c>
      <c r="BD426" s="66"/>
      <c r="BE426" s="66">
        <f t="shared" ref="BE426" si="543">+D426</f>
        <v>30152</v>
      </c>
      <c r="BF426" s="66"/>
      <c r="BG426" s="144">
        <f t="shared" ref="BG426" si="544">+BE426/BA426</f>
        <v>2.4070935494970188E-2</v>
      </c>
      <c r="BH426" s="66"/>
      <c r="BI426" s="170"/>
      <c r="BJ426" s="66"/>
      <c r="BK426" s="66">
        <f t="shared" ref="BK426" si="545">SUM(BA420:BA426)</f>
        <v>9133746</v>
      </c>
      <c r="BL426" s="66"/>
      <c r="BM426" s="144">
        <f t="shared" ref="BM426" si="546">+Q426/BK426</f>
        <v>2.9987696176355244E-2</v>
      </c>
      <c r="BN426" s="65">
        <f t="shared" ref="BN426" si="547">+BC426/BW426</f>
        <v>1101728.8585131895</v>
      </c>
      <c r="BO426" s="66"/>
      <c r="BP426" s="66">
        <f t="shared" ref="BP426" si="548">+BP425+BE426</f>
        <v>32240133</v>
      </c>
      <c r="BQ426" s="66"/>
      <c r="BR426" s="435">
        <f t="shared" ref="BR426" si="549">+BP426/BC426</f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ref="H427" si="550">+H426+D427</f>
        <v>33182015</v>
      </c>
      <c r="I427" s="16"/>
      <c r="J427" s="436">
        <f t="shared" ref="J427" si="551">+D427/H426</f>
        <v>1.0530027790355545E-3</v>
      </c>
      <c r="K427" s="16"/>
      <c r="L427" s="16"/>
      <c r="M427" s="16"/>
      <c r="N427" s="16">
        <f t="shared" ref="N427" si="552">SUM(D421:D427)</f>
        <v>266450</v>
      </c>
      <c r="O427" s="16">
        <f t="shared" ref="O427" si="553">+H427/BW427</f>
        <v>79382.811004784686</v>
      </c>
      <c r="P427" s="41"/>
      <c r="Q427" s="17">
        <f t="shared" ref="Q427" si="554">SUM(D421:D427)</f>
        <v>266450</v>
      </c>
      <c r="R427" s="16"/>
      <c r="S427" s="60">
        <f t="shared" ref="S427" si="555">+(Q427-Q420)/Q420</f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ref="Z427" si="556">SUM(W422:W427)</f>
        <v>3653</v>
      </c>
      <c r="AA427" s="33">
        <f t="shared" ref="AA427" si="557">+AA426+W427</f>
        <v>585323</v>
      </c>
      <c r="AB427" s="33"/>
      <c r="AC427" s="46">
        <f t="shared" ref="AC427" si="558">+AA427/H427</f>
        <v>1.7639766602480289E-2</v>
      </c>
      <c r="AD427" s="33"/>
      <c r="AE427" s="33">
        <f t="shared" ref="AE427" si="559">+AA427/BW427</f>
        <v>1400.2942583732058</v>
      </c>
      <c r="AF427" s="50"/>
      <c r="AG427" s="33">
        <f t="shared" ref="AG427" si="560">SUM(W421:W427)</f>
        <v>4396</v>
      </c>
      <c r="AH427" s="33">
        <f t="shared" ref="AH427" si="561">SUM(D398:D748)</f>
        <v>1115831471.060914</v>
      </c>
      <c r="AI427" s="213">
        <f t="shared" ref="AI427" si="562">+(AG427-AG420)/AG420</f>
        <v>-0.10175725378013895</v>
      </c>
      <c r="AJ427" s="50"/>
      <c r="AK427" s="111"/>
      <c r="AL427" s="23">
        <f t="shared" ref="AL427" si="563">+AP427-AP426</f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ref="AR427" si="564">+AL427/AP426</f>
        <v>1.9130864719536906E-3</v>
      </c>
      <c r="AS427" s="25"/>
      <c r="AT427" s="25"/>
      <c r="AU427" s="24"/>
      <c r="AV427" s="298">
        <f t="shared" ref="AV427" si="565">+AP427/H427</f>
        <v>0.80037749365130473</v>
      </c>
      <c r="AW427" s="298"/>
      <c r="AX427" s="24">
        <f t="shared" ref="AX427" si="566">+AP427/BW427</f>
        <v>63536.215311004788</v>
      </c>
      <c r="AY427" s="308"/>
      <c r="AZ427" s="111"/>
      <c r="BA427" s="65">
        <f t="shared" ref="BA427" si="567">+BC427-BC426</f>
        <v>979552</v>
      </c>
      <c r="BB427" s="66"/>
      <c r="BC427" s="66">
        <v>460400486</v>
      </c>
      <c r="BD427" s="66"/>
      <c r="BE427" s="66">
        <f t="shared" ref="BE427" si="568">+D427</f>
        <v>34904</v>
      </c>
      <c r="BF427" s="66"/>
      <c r="BG427" s="144">
        <f t="shared" ref="BG427" si="569">+BE427/BA427</f>
        <v>3.5632615726372871E-2</v>
      </c>
      <c r="BH427" s="66"/>
      <c r="BI427" s="170"/>
      <c r="BJ427" s="66"/>
      <c r="BK427" s="66">
        <f t="shared" ref="BK427" si="570">SUM(BA421:BA427)</f>
        <v>9154091</v>
      </c>
      <c r="BL427" s="66"/>
      <c r="BM427" s="144">
        <f t="shared" ref="BM427" si="571">+Q427/BK427</f>
        <v>2.9107204636702869E-2</v>
      </c>
      <c r="BN427" s="65">
        <f t="shared" ref="BN427" si="572">+BC427/BW427</f>
        <v>1101436.5693779904</v>
      </c>
      <c r="BO427" s="66"/>
      <c r="BP427" s="66">
        <f t="shared" ref="BP427" si="573">+BP426+BE427</f>
        <v>32275037</v>
      </c>
      <c r="BQ427" s="66"/>
      <c r="BR427" s="435">
        <f t="shared" ref="BR427" si="574">+BP427/BC427</f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ref="H428" si="575">+H427+D428</f>
        <v>33217831</v>
      </c>
      <c r="I428" s="16"/>
      <c r="J428" s="436">
        <f t="shared" ref="J428" si="576">+D428/H427</f>
        <v>1.079379899020599E-3</v>
      </c>
      <c r="K428" s="16"/>
      <c r="L428" s="16"/>
      <c r="M428" s="16"/>
      <c r="N428" s="16">
        <f t="shared" ref="N428" si="577">SUM(D422:D428)</f>
        <v>256137</v>
      </c>
      <c r="O428" s="16">
        <f t="shared" ref="O428" si="578">+H428/BW428</f>
        <v>79278.832935560858</v>
      </c>
      <c r="P428" s="41"/>
      <c r="Q428" s="17">
        <f t="shared" ref="Q428" si="579">SUM(D422:D428)</f>
        <v>256137</v>
      </c>
      <c r="R428" s="16"/>
      <c r="S428" s="60">
        <f t="shared" ref="S428" si="580">+(Q428-Q421)/Q421</f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ref="Z428" si="581">SUM(W423:W428)</f>
        <v>3634</v>
      </c>
      <c r="AA428" s="33">
        <f t="shared" ref="AA428" si="582">+AA427+W428</f>
        <v>586164</v>
      </c>
      <c r="AB428" s="33"/>
      <c r="AC428" s="46">
        <f t="shared" ref="AC428" si="583">+AA428/H428</f>
        <v>1.7646064849929546E-2</v>
      </c>
      <c r="AD428" s="33"/>
      <c r="AE428" s="33">
        <f t="shared" ref="AE428" si="584">+AA428/BW428</f>
        <v>1398.9594272076372</v>
      </c>
      <c r="AF428" s="50"/>
      <c r="AG428" s="33">
        <f t="shared" ref="AG428" si="585">SUM(W422:W428)</f>
        <v>4494</v>
      </c>
      <c r="AH428" s="33">
        <f t="shared" ref="AH428" si="586">SUM(D399:D749)</f>
        <v>1115774949.060914</v>
      </c>
      <c r="AI428" s="213">
        <f t="shared" ref="AI428" si="587">+(AG428-AG421)/AG421</f>
        <v>-4.0358744394618833E-2</v>
      </c>
      <c r="AJ428" s="50"/>
      <c r="AK428" s="111"/>
      <c r="AL428" s="23">
        <f t="shared" ref="AL428" si="588">+AP428-AP427</f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ref="AR428" si="589">+AL428/AP427</f>
        <v>2.3379274556070157E-3</v>
      </c>
      <c r="AS428" s="25"/>
      <c r="AT428" s="25"/>
      <c r="AU428" s="24"/>
      <c r="AV428" s="298">
        <f t="shared" ref="AV428" si="590">+AP428/H428</f>
        <v>0.80138372068904795</v>
      </c>
      <c r="AW428" s="298"/>
      <c r="AX428" s="24">
        <f t="shared" ref="AX428" si="591">+AP428/BW428</f>
        <v>63532.766109785203</v>
      </c>
      <c r="AY428" s="308"/>
      <c r="AZ428" s="111"/>
      <c r="BA428" s="65">
        <f t="shared" ref="BA428" si="592">+BC428-BC427</f>
        <v>1076057</v>
      </c>
      <c r="BB428" s="66"/>
      <c r="BC428" s="66">
        <v>461476543</v>
      </c>
      <c r="BD428" s="66"/>
      <c r="BE428" s="66">
        <f t="shared" ref="BE428" si="593">+D428</f>
        <v>35816</v>
      </c>
      <c r="BF428" s="66"/>
      <c r="BG428" s="144">
        <f t="shared" ref="BG428" si="594">+BE428/BA428</f>
        <v>3.3284482141745279E-2</v>
      </c>
      <c r="BH428" s="66"/>
      <c r="BI428" s="170"/>
      <c r="BJ428" s="66"/>
      <c r="BK428" s="66">
        <f t="shared" ref="BK428" si="595">SUM(BA422:BA428)</f>
        <v>8395488</v>
      </c>
      <c r="BL428" s="66"/>
      <c r="BM428" s="144">
        <f t="shared" ref="BM428" si="596">+Q428/BK428</f>
        <v>3.0508887631070403E-2</v>
      </c>
      <c r="BN428" s="65">
        <f t="shared" ref="BN428" si="597">+BC428/BW428</f>
        <v>1101375.9976133651</v>
      </c>
      <c r="BO428" s="66"/>
      <c r="BP428" s="66">
        <f t="shared" ref="BP428" si="598">+BP427+BE428</f>
        <v>32310853</v>
      </c>
      <c r="BQ428" s="66"/>
      <c r="BR428" s="435">
        <f t="shared" ref="BR428" si="599">+BP428/BC428</f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ref="H429" si="600">+H428+D429</f>
        <v>33257656</v>
      </c>
      <c r="I429" s="16"/>
      <c r="J429" s="436">
        <f t="shared" ref="J429" si="601">+D429/H428</f>
        <v>1.198904287278721E-3</v>
      </c>
      <c r="K429" s="16"/>
      <c r="L429" s="16"/>
      <c r="M429" s="16"/>
      <c r="N429" s="16">
        <f t="shared" ref="N429" si="602">SUM(D423:D429)</f>
        <v>248143</v>
      </c>
      <c r="O429" s="16">
        <f t="shared" ref="O429" si="603">+H429/BW429</f>
        <v>79184.89523809524</v>
      </c>
      <c r="P429" s="41"/>
      <c r="Q429" s="17">
        <f t="shared" ref="Q429" si="604">SUM(D423:D429)</f>
        <v>248143</v>
      </c>
      <c r="R429" s="16"/>
      <c r="S429" s="60">
        <f t="shared" ref="S429" si="605">+(Q429-Q422)/Q422</f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ref="Z429" si="606">SUM(W424:W429)</f>
        <v>3622</v>
      </c>
      <c r="AA429" s="33">
        <f t="shared" ref="AA429" si="607">+AA428+W429</f>
        <v>586926</v>
      </c>
      <c r="AB429" s="33"/>
      <c r="AC429" s="46">
        <f t="shared" ref="AC429" si="608">+AA429/H429</f>
        <v>1.7647846258317182E-2</v>
      </c>
      <c r="AD429" s="33"/>
      <c r="AE429" s="33">
        <f t="shared" ref="AE429" si="609">+AA429/BW429</f>
        <v>1397.4428571428571</v>
      </c>
      <c r="AF429" s="50"/>
      <c r="AG429" s="33">
        <f t="shared" ref="AG429" si="610">SUM(W423:W429)</f>
        <v>4396</v>
      </c>
      <c r="AH429" s="33">
        <f t="shared" ref="AH429" si="611">SUM(D400:D750)</f>
        <v>1115697229.060914</v>
      </c>
      <c r="AI429" s="213">
        <f t="shared" ref="AI429" si="612">+(AG429-AG422)/AG422</f>
        <v>-5.9276695912689921E-2</v>
      </c>
      <c r="AJ429" s="50"/>
      <c r="AK429" s="111"/>
      <c r="AL429" s="23">
        <f t="shared" ref="AL429" si="613">+AP429-AP428</f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ref="AR429" si="614">+AL429/AP428</f>
        <v>1.7644476311604984E-3</v>
      </c>
      <c r="AS429" s="25"/>
      <c r="AT429" s="25"/>
      <c r="AU429" s="24"/>
      <c r="AV429" s="298">
        <f t="shared" ref="AV429" si="615">+AP429/H429</f>
        <v>0.80183639520476124</v>
      </c>
      <c r="AW429" s="298"/>
      <c r="AX429" s="24">
        <f t="shared" ref="AX429" si="616">+AP429/BW429</f>
        <v>63493.330952380951</v>
      </c>
      <c r="AY429" s="308"/>
      <c r="AZ429" s="111"/>
      <c r="BA429" s="65">
        <f t="shared" ref="BA429" si="617">+BC429-BC428</f>
        <v>1318757</v>
      </c>
      <c r="BB429" s="66"/>
      <c r="BC429" s="66">
        <v>462795300</v>
      </c>
      <c r="BD429" s="66"/>
      <c r="BE429" s="66">
        <f t="shared" ref="BE429" si="618">+D429</f>
        <v>39825</v>
      </c>
      <c r="BF429" s="66"/>
      <c r="BG429" s="144">
        <f t="shared" ref="BG429" si="619">+BE429/BA429</f>
        <v>3.0198891835266087E-2</v>
      </c>
      <c r="BH429" s="66"/>
      <c r="BI429" s="170"/>
      <c r="BJ429" s="66"/>
      <c r="BK429" s="66">
        <f t="shared" ref="BK429" si="620">SUM(BA423:BA429)</f>
        <v>8342098</v>
      </c>
      <c r="BL429" s="66"/>
      <c r="BM429" s="144">
        <f t="shared" ref="BM429" si="621">+Q429/BK429</f>
        <v>2.9745874479057906E-2</v>
      </c>
      <c r="BN429" s="65">
        <f t="shared" ref="BN429" si="622">+BC429/BW429</f>
        <v>1101893.5714285714</v>
      </c>
      <c r="BO429" s="66"/>
      <c r="BP429" s="66">
        <f t="shared" ref="BP429" si="623">+BP428+BE429</f>
        <v>32350678</v>
      </c>
      <c r="BQ429" s="66"/>
      <c r="BR429" s="435">
        <f t="shared" ref="BR429" si="624">+BP429/BC429</f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ref="H430" si="625">+H429+D430</f>
        <v>33296751</v>
      </c>
      <c r="I430" s="16"/>
      <c r="J430" s="436">
        <f t="shared" ref="J430" si="626">+D430/H429</f>
        <v>1.1755188038507585E-3</v>
      </c>
      <c r="K430" s="16"/>
      <c r="L430" s="16"/>
      <c r="M430" s="16"/>
      <c r="N430" s="16">
        <f t="shared" ref="N430" si="627">SUM(D424:D430)</f>
        <v>237747</v>
      </c>
      <c r="O430" s="16">
        <f t="shared" ref="O430" si="628">+H430/BW430</f>
        <v>79089.669833729218</v>
      </c>
      <c r="P430" s="41"/>
      <c r="Q430" s="17">
        <f t="shared" ref="Q430" si="629">SUM(D424:D430)</f>
        <v>237747</v>
      </c>
      <c r="R430" s="16"/>
      <c r="S430" s="60">
        <f t="shared" ref="S430" si="630">+(Q430-Q423)/Q423</f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ref="Z430" si="631">SUM(W425:W430)</f>
        <v>3707</v>
      </c>
      <c r="AA430" s="33">
        <f t="shared" ref="AA430" si="632">+AA429+W430</f>
        <v>587659</v>
      </c>
      <c r="AB430" s="33"/>
      <c r="AC430" s="46">
        <f t="shared" ref="AC430" si="633">+AA430/H430</f>
        <v>1.7649139401018435E-2</v>
      </c>
      <c r="AD430" s="33"/>
      <c r="AE430" s="33">
        <f t="shared" ref="AE430" si="634">+AA430/BW430</f>
        <v>1395.8646080760095</v>
      </c>
      <c r="AF430" s="50"/>
      <c r="AG430" s="33">
        <f t="shared" ref="AG430" si="635">SUM(W424:W430)</f>
        <v>4355</v>
      </c>
      <c r="AH430" s="33">
        <f t="shared" ref="AH430" si="636">SUM(D401:D751)</f>
        <v>1115618790.060914</v>
      </c>
      <c r="AI430" s="213">
        <f t="shared" ref="AI430" si="637">+(AG430-AG423)/AG423</f>
        <v>-6.6051897919794128E-2</v>
      </c>
      <c r="AJ430" s="50"/>
      <c r="AK430" s="111"/>
      <c r="AL430" s="23">
        <f t="shared" ref="AL430" si="638">+AP430-AP429</f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ref="AR430" si="639">+AL430/AP429</f>
        <v>1.71079084833769E-3</v>
      </c>
      <c r="AS430" s="25"/>
      <c r="AT430" s="25"/>
      <c r="AU430" s="24"/>
      <c r="AV430" s="298">
        <f t="shared" ref="AV430" si="640">+AP430/H430</f>
        <v>0.80226509187037498</v>
      </c>
      <c r="AW430" s="298"/>
      <c r="AX430" s="24">
        <f t="shared" ref="AX430" si="641">+AP430/BW430</f>
        <v>63450.881235154397</v>
      </c>
      <c r="AY430" s="308"/>
      <c r="AZ430" s="111"/>
      <c r="BA430" s="65">
        <f t="shared" ref="BA430" si="642">+BC430-BC429</f>
        <v>1304242</v>
      </c>
      <c r="BB430" s="66"/>
      <c r="BC430" s="66">
        <v>464099542</v>
      </c>
      <c r="BD430" s="66"/>
      <c r="BE430" s="66">
        <f t="shared" ref="BE430" si="643">+D430</f>
        <v>39095</v>
      </c>
      <c r="BF430" s="66"/>
      <c r="BG430" s="144">
        <f t="shared" ref="BG430" si="644">+BE430/BA430</f>
        <v>2.9975265326526824E-2</v>
      </c>
      <c r="BH430" s="66"/>
      <c r="BI430" s="170"/>
      <c r="BJ430" s="66"/>
      <c r="BK430" s="66">
        <f t="shared" ref="BK430" si="645">SUM(BA424:BA430)</f>
        <v>8109711</v>
      </c>
      <c r="BL430" s="66"/>
      <c r="BM430" s="144">
        <f t="shared" ref="BM430" si="646">+Q430/BK430</f>
        <v>2.9316334453841821E-2</v>
      </c>
      <c r="BN430" s="65">
        <f t="shared" ref="BN430" si="647">+BC430/BW430</f>
        <v>1102374.2090261283</v>
      </c>
      <c r="BO430" s="66"/>
      <c r="BP430" s="66">
        <f t="shared" ref="BP430" si="648">+BP429+BE430</f>
        <v>32389773</v>
      </c>
      <c r="BQ430" s="66"/>
      <c r="BR430" s="435">
        <f t="shared" ref="BR430" si="649">+BP430/BC430</f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ref="H431" si="650">+H430+D431</f>
        <v>33322393</v>
      </c>
      <c r="I431" s="16"/>
      <c r="J431" s="436">
        <f t="shared" ref="J431" si="651">+D431/H430</f>
        <v>7.7010516731797641E-4</v>
      </c>
      <c r="K431" s="16"/>
      <c r="L431" s="16"/>
      <c r="M431" s="16"/>
      <c r="N431" s="16">
        <f t="shared" ref="N431" si="652">SUM(D425:D431)</f>
        <v>227634</v>
      </c>
      <c r="O431" s="16">
        <f t="shared" ref="O431" si="653">+H431/BW431</f>
        <v>78963.016587677732</v>
      </c>
      <c r="P431" s="41"/>
      <c r="Q431" s="17">
        <f t="shared" ref="Q431" si="654">SUM(D425:D431)</f>
        <v>227634</v>
      </c>
      <c r="R431" s="16"/>
      <c r="S431" s="60">
        <f t="shared" ref="S431" si="655">+(Q431-Q424)/Q424</f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ref="Z431" si="656">SUM(W426:W431)</f>
        <v>3965</v>
      </c>
      <c r="AA431" s="33">
        <f t="shared" ref="AA431" si="657">+AA430+W431</f>
        <v>588158</v>
      </c>
      <c r="AB431" s="33"/>
      <c r="AC431" s="46">
        <f t="shared" ref="AC431" si="658">+AA431/H431</f>
        <v>1.7650533081462666E-2</v>
      </c>
      <c r="AD431" s="33"/>
      <c r="AE431" s="33">
        <f t="shared" ref="AE431" si="659">+AA431/BW431</f>
        <v>1393.739336492891</v>
      </c>
      <c r="AF431" s="50"/>
      <c r="AG431" s="33">
        <f t="shared" ref="AG431" si="660">SUM(W425:W431)</f>
        <v>4206</v>
      </c>
      <c r="AH431" s="33">
        <f t="shared" ref="AH431" si="661">SUM(D402:D752)</f>
        <v>1115544311.060914</v>
      </c>
      <c r="AI431" s="213">
        <f t="shared" ref="AI431" si="662">+(AG431-AG424)/AG424</f>
        <v>-9.5483870967741941E-2</v>
      </c>
      <c r="AJ431" s="50"/>
      <c r="AK431" s="111"/>
      <c r="AL431" s="23">
        <f t="shared" ref="AL431" si="663">+AP431-AP430</f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ref="AR431" si="664">+AL431/AP430</f>
        <v>1.4442465660964823E-2</v>
      </c>
      <c r="AS431" s="25"/>
      <c r="AT431" s="25"/>
      <c r="AU431" s="24"/>
      <c r="AV431" s="298">
        <f t="shared" ref="AV431" si="665">+AP431/H431</f>
        <v>0.81322550874422495</v>
      </c>
      <c r="AW431" s="298"/>
      <c r="AX431" s="24">
        <f t="shared" ref="AX431" si="666">+AP431/BW431</f>
        <v>64214.739336492894</v>
      </c>
      <c r="AY431" s="308"/>
      <c r="AZ431" s="111"/>
      <c r="BA431" s="65">
        <f t="shared" ref="BA431" si="667">+BC431-BC430</f>
        <v>1125402</v>
      </c>
      <c r="BB431" s="66"/>
      <c r="BC431" s="66">
        <v>465224944</v>
      </c>
      <c r="BD431" s="66"/>
      <c r="BE431" s="66">
        <f t="shared" ref="BE431" si="668">+D431</f>
        <v>25642</v>
      </c>
      <c r="BF431" s="66"/>
      <c r="BG431" s="144">
        <f t="shared" ref="BG431" si="669">+BE431/BA431</f>
        <v>2.2784747139244464E-2</v>
      </c>
      <c r="BH431" s="66"/>
      <c r="BI431" s="170"/>
      <c r="BJ431" s="66"/>
      <c r="BK431" s="66">
        <f t="shared" ref="BK431" si="670">SUM(BA425:BA431)</f>
        <v>7930271</v>
      </c>
      <c r="BL431" s="66"/>
      <c r="BM431" s="144">
        <f t="shared" ref="BM431" si="671">+Q431/BK431</f>
        <v>2.8704441500170676E-2</v>
      </c>
      <c r="BN431" s="65">
        <f t="shared" ref="BN431" si="672">+BC431/BW431</f>
        <v>1102428.7772511849</v>
      </c>
      <c r="BO431" s="66"/>
      <c r="BP431" s="66">
        <f t="shared" ref="BP431" si="673">+BP430+BE431</f>
        <v>32415415</v>
      </c>
      <c r="BQ431" s="66"/>
      <c r="BR431" s="435">
        <f t="shared" ref="BR431" si="674">+BP431/BC431</f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ref="H432" si="675">+H431+D432</f>
        <v>33340227</v>
      </c>
      <c r="I432" s="16"/>
      <c r="J432" s="436">
        <f t="shared" ref="J432" si="676">+D432/H431</f>
        <v>5.3519565656644165E-4</v>
      </c>
      <c r="K432" s="16"/>
      <c r="L432" s="16"/>
      <c r="M432" s="16"/>
      <c r="N432" s="577">
        <f t="shared" ref="N432" si="677">SUM(D426:D432)</f>
        <v>223268</v>
      </c>
      <c r="O432" s="16">
        <f t="shared" ref="O432" si="678">+H432/BW432</f>
        <v>78818.503546099295</v>
      </c>
      <c r="P432" s="41"/>
      <c r="Q432" s="17">
        <f t="shared" ref="Q432" si="679">SUM(D426:D432)</f>
        <v>223268</v>
      </c>
      <c r="R432" s="16"/>
      <c r="S432" s="60">
        <f t="shared" ref="S432" si="680">+(Q432-Q425)/Q425</f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ref="Z432" si="681">SUM(W427:W432)</f>
        <v>3867</v>
      </c>
      <c r="AA432" s="33">
        <f t="shared" ref="AA432" si="682">+AA431+W432</f>
        <v>588447</v>
      </c>
      <c r="AB432" s="33"/>
      <c r="AC432" s="46">
        <f t="shared" ref="AC432" si="683">+AA432/H432</f>
        <v>1.7649759853164766E-2</v>
      </c>
      <c r="AD432" s="33"/>
      <c r="AE432" s="33">
        <f t="shared" ref="AE432" si="684">+AA432/BW432</f>
        <v>1391.127659574468</v>
      </c>
      <c r="AF432" s="50"/>
      <c r="AG432" s="33">
        <f t="shared" ref="AG432" si="685">SUM(W426:W432)</f>
        <v>4254</v>
      </c>
      <c r="AH432" s="33">
        <f t="shared" ref="AH432" si="686">SUM(D403:D753)</f>
        <v>1115462538.060914</v>
      </c>
      <c r="AI432" s="213">
        <f t="shared" ref="AI432" si="687">+(AG432-AG425)/AG425</f>
        <v>-7.0976195675911777E-2</v>
      </c>
      <c r="AJ432" s="50"/>
      <c r="AK432" s="111"/>
      <c r="AL432" s="23">
        <f t="shared" ref="AL432" si="688">+AP432-AP431</f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ref="AR432" si="689">+AL432/AP431</f>
        <v>1.3801440811377112E-3</v>
      </c>
      <c r="AS432" s="25"/>
      <c r="AT432" s="25"/>
      <c r="AU432" s="24"/>
      <c r="AV432" s="298">
        <f t="shared" ref="AV432" si="690">+AP432/H432</f>
        <v>0.8139122748024481</v>
      </c>
      <c r="AW432" s="298"/>
      <c r="AX432" s="24">
        <f t="shared" ref="AX432" si="691">+AP432/BW432</f>
        <v>64151.347517730494</v>
      </c>
      <c r="AY432" s="308"/>
      <c r="AZ432" s="111"/>
      <c r="BA432" s="65">
        <f t="shared" ref="BA432" si="692">+BC432-BC431</f>
        <v>831508</v>
      </c>
      <c r="BB432" s="66"/>
      <c r="BC432" s="66">
        <v>466056452</v>
      </c>
      <c r="BD432" s="66"/>
      <c r="BE432" s="66">
        <f t="shared" ref="BE432" si="693">+D432</f>
        <v>17834</v>
      </c>
      <c r="BF432" s="66"/>
      <c r="BG432" s="144">
        <f t="shared" ref="BG432" si="694">+BE432/BA432</f>
        <v>2.1447779215593838E-2</v>
      </c>
      <c r="BH432" s="66"/>
      <c r="BI432" s="170"/>
      <c r="BJ432" s="66"/>
      <c r="BK432" s="66">
        <f t="shared" ref="BK432" si="695">SUM(BA426:BA432)</f>
        <v>7888149</v>
      </c>
      <c r="BL432" s="66"/>
      <c r="BM432" s="144">
        <f t="shared" ref="BM432" si="696">+Q432/BK432</f>
        <v>2.8304232082837177E-2</v>
      </c>
      <c r="BN432" s="65">
        <f t="shared" ref="BN432" si="697">+BC432/BW432</f>
        <v>1101788.3026004727</v>
      </c>
      <c r="BO432" s="66"/>
      <c r="BP432" s="66">
        <f t="shared" ref="BP432" si="698">+BP431+BE432</f>
        <v>32433249</v>
      </c>
      <c r="BQ432" s="66"/>
      <c r="BR432" s="435">
        <f t="shared" ref="BR432" si="699">+BP432/BC432</f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85" x14ac:dyDescent="0.3">
      <c r="B433" s="158">
        <f t="shared" si="161"/>
        <v>44333</v>
      </c>
      <c r="C433" s="61"/>
      <c r="D433" s="17"/>
      <c r="E433" s="16"/>
      <c r="F433" s="16"/>
      <c r="G433" s="16"/>
      <c r="H433" s="16"/>
      <c r="I433" s="16"/>
      <c r="J433" s="436"/>
      <c r="K433" s="16"/>
      <c r="L433" s="16"/>
      <c r="M433" s="16"/>
      <c r="N433" s="16"/>
      <c r="O433" s="16"/>
      <c r="P433" s="41"/>
      <c r="Q433" s="17"/>
      <c r="R433" s="16"/>
      <c r="S433" s="60"/>
      <c r="T433" s="16"/>
      <c r="U433" s="41"/>
      <c r="V433" s="10"/>
      <c r="W433" s="34"/>
      <c r="X433" s="33"/>
      <c r="Y433" s="33"/>
      <c r="Z433" s="33"/>
      <c r="AA433" s="33"/>
      <c r="AB433" s="33"/>
      <c r="AC433" s="46"/>
      <c r="AD433" s="33"/>
      <c r="AE433" s="33"/>
      <c r="AF433" s="50"/>
      <c r="AG433" s="33"/>
      <c r="AH433" s="33"/>
      <c r="AI433" s="213"/>
      <c r="AJ433" s="50"/>
      <c r="AK433" s="111"/>
      <c r="AL433" s="23"/>
      <c r="AM433" s="24"/>
      <c r="AN433" s="24"/>
      <c r="AO433" s="24"/>
      <c r="AP433" s="24"/>
      <c r="AQ433" s="24"/>
      <c r="AR433" s="461"/>
      <c r="AS433" s="25"/>
      <c r="AT433" s="25"/>
      <c r="AU433" s="24"/>
      <c r="AV433" s="298"/>
      <c r="AW433" s="298"/>
      <c r="AX433" s="24"/>
      <c r="AY433" s="308"/>
      <c r="AZ433" s="111"/>
      <c r="BA433" s="65"/>
      <c r="BB433" s="66"/>
      <c r="BC433" s="66"/>
      <c r="BD433" s="66"/>
      <c r="BE433" s="66"/>
      <c r="BF433" s="66"/>
      <c r="BG433" s="144"/>
      <c r="BH433" s="66"/>
      <c r="BI433" s="170"/>
      <c r="BJ433" s="66"/>
      <c r="BK433" s="66"/>
      <c r="BL433" s="66"/>
      <c r="BM433" s="144"/>
      <c r="BN433" s="65"/>
      <c r="BO433" s="66"/>
      <c r="BP433" s="66"/>
      <c r="BQ433" s="66"/>
      <c r="BR433" s="435"/>
      <c r="BS433" s="66"/>
      <c r="BT433" s="75"/>
      <c r="BU433" s="170"/>
      <c r="BV433" s="1"/>
      <c r="BW433" s="61"/>
    </row>
    <row r="434" spans="2:85" x14ac:dyDescent="0.3">
      <c r="B434" s="158">
        <f t="shared" si="161"/>
        <v>44334</v>
      </c>
      <c r="C434" s="61"/>
      <c r="D434" s="17"/>
      <c r="E434" s="16"/>
      <c r="F434" s="16"/>
      <c r="G434" s="16"/>
      <c r="H434" s="16"/>
      <c r="I434" s="16"/>
      <c r="J434" s="436"/>
      <c r="K434" s="16"/>
      <c r="L434" s="16"/>
      <c r="M434" s="16"/>
      <c r="N434" s="16"/>
      <c r="O434" s="16"/>
      <c r="P434" s="41"/>
      <c r="Q434" s="410"/>
      <c r="R434" s="16"/>
      <c r="S434" s="60"/>
      <c r="T434" s="16"/>
      <c r="U434" s="41"/>
      <c r="V434" s="10"/>
      <c r="W434" s="34"/>
      <c r="X434" s="33"/>
      <c r="Y434" s="33"/>
      <c r="Z434" s="33"/>
      <c r="AA434" s="33"/>
      <c r="AB434" s="33"/>
      <c r="AC434" s="46"/>
      <c r="AD434" s="33"/>
      <c r="AE434" s="33"/>
      <c r="AF434" s="50"/>
      <c r="AG434" s="33"/>
      <c r="AH434" s="33"/>
      <c r="AI434" s="213"/>
      <c r="AJ434" s="50"/>
      <c r="AK434" s="10"/>
      <c r="AL434" s="23"/>
      <c r="AM434" s="24"/>
      <c r="AN434" s="24"/>
      <c r="AO434" s="24"/>
      <c r="AP434" s="24"/>
      <c r="AQ434" s="24"/>
      <c r="AR434" s="461"/>
      <c r="AS434" s="25"/>
      <c r="AT434" s="25"/>
      <c r="AU434" s="24"/>
      <c r="AV434" s="298"/>
      <c r="AW434" s="298"/>
      <c r="AX434" s="24"/>
      <c r="AY434" s="308"/>
      <c r="AZ434" s="10"/>
      <c r="BA434" s="65"/>
      <c r="BB434" s="66"/>
      <c r="BC434" s="66"/>
      <c r="BD434" s="66"/>
      <c r="BE434" s="66"/>
      <c r="BF434" s="66"/>
      <c r="BG434" s="144"/>
      <c r="BH434" s="66"/>
      <c r="BI434" s="170"/>
      <c r="BJ434" s="66"/>
      <c r="BK434" s="66"/>
      <c r="BL434" s="66"/>
      <c r="BM434" s="144"/>
      <c r="BN434" s="65"/>
      <c r="BO434" s="66"/>
      <c r="BP434" s="66"/>
      <c r="BQ434" s="66"/>
      <c r="BR434" s="435"/>
      <c r="BS434" s="66"/>
      <c r="BT434" s="75"/>
      <c r="BU434" s="170"/>
      <c r="BV434" s="1"/>
      <c r="BW434" s="61">
        <f>+BW411+1</f>
        <v>403</v>
      </c>
    </row>
    <row r="435" spans="2:85" x14ac:dyDescent="0.3">
      <c r="B435" s="158">
        <f t="shared" si="161"/>
        <v>44335</v>
      </c>
      <c r="D435" s="559"/>
      <c r="E435" s="19"/>
      <c r="F435" s="19"/>
      <c r="G435" s="19"/>
      <c r="H435" s="19"/>
      <c r="I435" s="19"/>
      <c r="J435" s="39"/>
      <c r="K435" s="19"/>
      <c r="L435" s="19"/>
      <c r="M435" s="19"/>
      <c r="N435" s="19"/>
      <c r="O435" s="19"/>
      <c r="P435" s="43"/>
      <c r="Q435" s="18"/>
      <c r="R435" s="19"/>
      <c r="S435" s="19"/>
      <c r="T435" s="19"/>
      <c r="U435" s="43"/>
      <c r="V435" s="1"/>
      <c r="W435" s="35"/>
      <c r="X435" s="36"/>
      <c r="Y435" s="36"/>
      <c r="Z435" s="36"/>
      <c r="AA435" s="36"/>
      <c r="AB435" s="36"/>
      <c r="AC435" s="47"/>
      <c r="AD435" s="36"/>
      <c r="AE435" s="36"/>
      <c r="AF435" s="51"/>
      <c r="AG435" s="36"/>
      <c r="AH435" s="36"/>
      <c r="AI435" s="36"/>
      <c r="AJ435" s="51"/>
      <c r="AK435" s="1"/>
      <c r="AL435" s="26"/>
      <c r="AM435" s="27"/>
      <c r="AN435" s="27"/>
      <c r="AO435" s="27"/>
      <c r="AP435" s="27"/>
      <c r="AQ435" s="27"/>
      <c r="AR435" s="27"/>
      <c r="AS435" s="27"/>
      <c r="AT435" s="27"/>
      <c r="AU435" s="27"/>
      <c r="AV435" s="300"/>
      <c r="AW435" s="300"/>
      <c r="AX435" s="27"/>
      <c r="AY435" s="307"/>
      <c r="AZ435" s="1"/>
      <c r="BA435" s="67"/>
      <c r="BB435" s="68"/>
      <c r="BC435" s="68"/>
      <c r="BD435" s="68"/>
      <c r="BE435" s="68"/>
      <c r="BF435" s="68"/>
      <c r="BG435" s="68"/>
      <c r="BH435" s="68"/>
      <c r="BI435" s="171"/>
      <c r="BJ435" s="68"/>
      <c r="BK435" s="68"/>
      <c r="BL435" s="68"/>
      <c r="BM435" s="68"/>
      <c r="BN435" s="67"/>
      <c r="BO435" s="68"/>
      <c r="BP435" s="68"/>
      <c r="BQ435" s="68"/>
      <c r="BR435" s="70"/>
      <c r="BS435" s="68"/>
      <c r="BT435" s="68"/>
      <c r="BU435" s="171"/>
      <c r="BV435" s="1"/>
      <c r="BW435" s="61">
        <f t="shared" si="186"/>
        <v>404</v>
      </c>
    </row>
    <row r="436" spans="2:85" x14ac:dyDescent="0.3">
      <c r="B436" s="56"/>
      <c r="D436" s="1"/>
      <c r="E436" s="1"/>
      <c r="F436" s="1"/>
      <c r="G436" s="1"/>
      <c r="H436" s="59"/>
      <c r="I436" s="1"/>
      <c r="J436" s="5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59"/>
      <c r="X436" s="1"/>
      <c r="Y436" s="1"/>
      <c r="Z436" s="1"/>
      <c r="AA436" s="1"/>
      <c r="AB436" s="1"/>
      <c r="AC436" s="59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59"/>
      <c r="BD436" s="1"/>
      <c r="BE436" s="59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2:85" x14ac:dyDescent="0.3">
      <c r="B437" s="166" t="s">
        <v>74</v>
      </c>
      <c r="D437" s="56">
        <f>+D432</f>
        <v>17834</v>
      </c>
      <c r="E437" s="56">
        <f>+E238</f>
        <v>0</v>
      </c>
      <c r="F437" s="56">
        <f>+F238</f>
        <v>0</v>
      </c>
      <c r="G437" s="56">
        <f>+G238</f>
        <v>0</v>
      </c>
      <c r="H437" s="56">
        <f t="shared" ref="H437:BS437" si="700">+H432</f>
        <v>33340227</v>
      </c>
      <c r="I437" s="56">
        <f t="shared" si="700"/>
        <v>0</v>
      </c>
      <c r="J437" s="56">
        <f t="shared" si="700"/>
        <v>5.3519565656644165E-4</v>
      </c>
      <c r="K437" s="56">
        <f t="shared" si="700"/>
        <v>0</v>
      </c>
      <c r="L437" s="56">
        <f t="shared" si="700"/>
        <v>0</v>
      </c>
      <c r="M437" s="56">
        <f t="shared" si="700"/>
        <v>0</v>
      </c>
      <c r="N437" s="56">
        <f t="shared" si="700"/>
        <v>223268</v>
      </c>
      <c r="O437" s="56">
        <f t="shared" si="700"/>
        <v>78818.503546099295</v>
      </c>
      <c r="P437" s="56">
        <f t="shared" si="700"/>
        <v>0</v>
      </c>
      <c r="Q437" s="56">
        <f t="shared" si="700"/>
        <v>223268</v>
      </c>
      <c r="R437" s="56">
        <f t="shared" si="700"/>
        <v>0</v>
      </c>
      <c r="S437" s="56">
        <f t="shared" si="700"/>
        <v>-0.21440383952259309</v>
      </c>
      <c r="T437" s="56">
        <f t="shared" si="700"/>
        <v>0</v>
      </c>
      <c r="U437" s="56">
        <f t="shared" si="700"/>
        <v>0</v>
      </c>
      <c r="V437" s="56">
        <f t="shared" si="700"/>
        <v>324</v>
      </c>
      <c r="W437" s="56">
        <f t="shared" si="700"/>
        <v>289</v>
      </c>
      <c r="X437" s="56">
        <f t="shared" si="700"/>
        <v>4256</v>
      </c>
      <c r="Y437" s="56">
        <f t="shared" si="700"/>
        <v>0</v>
      </c>
      <c r="Z437" s="56">
        <f t="shared" si="700"/>
        <v>3867</v>
      </c>
      <c r="AA437" s="56">
        <f t="shared" si="700"/>
        <v>588447</v>
      </c>
      <c r="AB437" s="56">
        <f t="shared" si="700"/>
        <v>0</v>
      </c>
      <c r="AC437" s="56">
        <f t="shared" si="700"/>
        <v>1.7649759853164766E-2</v>
      </c>
      <c r="AD437" s="56">
        <f t="shared" si="700"/>
        <v>0</v>
      </c>
      <c r="AE437" s="56">
        <f t="shared" si="700"/>
        <v>1391.127659574468</v>
      </c>
      <c r="AF437" s="56">
        <f t="shared" si="700"/>
        <v>0</v>
      </c>
      <c r="AG437" s="56">
        <f t="shared" si="700"/>
        <v>4254</v>
      </c>
      <c r="AH437" s="56">
        <f t="shared" si="700"/>
        <v>1115462538.060914</v>
      </c>
      <c r="AI437" s="56">
        <f t="shared" si="700"/>
        <v>-7.0976195675911777E-2</v>
      </c>
      <c r="AJ437" s="56">
        <f t="shared" si="700"/>
        <v>0</v>
      </c>
      <c r="AK437" s="56">
        <f t="shared" si="700"/>
        <v>0</v>
      </c>
      <c r="AL437" s="56">
        <f t="shared" si="700"/>
        <v>37400</v>
      </c>
      <c r="AM437" s="56">
        <f t="shared" si="700"/>
        <v>0</v>
      </c>
      <c r="AN437" s="56">
        <f t="shared" si="700"/>
        <v>0</v>
      </c>
      <c r="AO437" s="56">
        <f t="shared" si="700"/>
        <v>178263</v>
      </c>
      <c r="AP437" s="56">
        <f t="shared" si="700"/>
        <v>27136020</v>
      </c>
      <c r="AQ437" s="56">
        <f t="shared" si="700"/>
        <v>20336656</v>
      </c>
      <c r="AR437" s="56">
        <f t="shared" si="700"/>
        <v>1.3801440811377112E-3</v>
      </c>
      <c r="AS437" s="56">
        <f t="shared" si="700"/>
        <v>0</v>
      </c>
      <c r="AT437" s="56">
        <f t="shared" si="700"/>
        <v>0</v>
      </c>
      <c r="AU437" s="56">
        <f t="shared" si="700"/>
        <v>0</v>
      </c>
      <c r="AV437" s="56">
        <f t="shared" si="700"/>
        <v>0.8139122748024481</v>
      </c>
      <c r="AW437" s="56">
        <f t="shared" si="700"/>
        <v>0</v>
      </c>
      <c r="AX437" s="56">
        <f t="shared" si="700"/>
        <v>64151.347517730494</v>
      </c>
      <c r="AY437" s="56">
        <f t="shared" si="700"/>
        <v>0</v>
      </c>
      <c r="AZ437" s="56">
        <f t="shared" si="700"/>
        <v>0</v>
      </c>
      <c r="BA437" s="56">
        <f t="shared" si="700"/>
        <v>831508</v>
      </c>
      <c r="BB437" s="56">
        <f t="shared" si="700"/>
        <v>0</v>
      </c>
      <c r="BC437" s="56">
        <f t="shared" si="700"/>
        <v>466056452</v>
      </c>
      <c r="BD437" s="56">
        <f t="shared" si="700"/>
        <v>0</v>
      </c>
      <c r="BE437" s="56">
        <f t="shared" si="700"/>
        <v>17834</v>
      </c>
      <c r="BF437" s="56">
        <f t="shared" si="700"/>
        <v>0</v>
      </c>
      <c r="BG437" s="56">
        <f t="shared" si="700"/>
        <v>2.1447779215593838E-2</v>
      </c>
      <c r="BH437" s="56">
        <f t="shared" si="700"/>
        <v>0</v>
      </c>
      <c r="BI437" s="56">
        <f t="shared" si="700"/>
        <v>0</v>
      </c>
      <c r="BJ437" s="56">
        <f t="shared" si="700"/>
        <v>0</v>
      </c>
      <c r="BK437" s="56">
        <f t="shared" si="700"/>
        <v>7888149</v>
      </c>
      <c r="BL437" s="56">
        <f t="shared" si="700"/>
        <v>0</v>
      </c>
      <c r="BM437" s="56">
        <f t="shared" si="700"/>
        <v>2.8304232082837177E-2</v>
      </c>
      <c r="BN437" s="56">
        <f t="shared" si="700"/>
        <v>1101788.3026004727</v>
      </c>
      <c r="BO437" s="56">
        <f t="shared" si="700"/>
        <v>0</v>
      </c>
      <c r="BP437" s="56">
        <f t="shared" si="700"/>
        <v>32433249</v>
      </c>
      <c r="BQ437" s="56">
        <f t="shared" si="700"/>
        <v>0</v>
      </c>
      <c r="BR437" s="56">
        <f t="shared" si="700"/>
        <v>6.9590816436117059E-2</v>
      </c>
      <c r="BS437" s="56">
        <f t="shared" si="700"/>
        <v>0</v>
      </c>
      <c r="BT437" s="56">
        <f t="shared" ref="BT437" si="701">+BT432</f>
        <v>0</v>
      </c>
      <c r="BU437" s="56">
        <f t="shared" ref="BT437:BU437" si="702">+BU429</f>
        <v>0</v>
      </c>
      <c r="BV437" s="56">
        <f>+BV350</f>
        <v>0</v>
      </c>
      <c r="BW437" s="56"/>
      <c r="BX437" s="56"/>
      <c r="BY437" s="56"/>
      <c r="BZ437" s="56"/>
      <c r="CA437" s="56"/>
      <c r="CB437" s="56"/>
      <c r="CC437" s="56"/>
      <c r="CD437" s="56"/>
      <c r="CE437" s="61"/>
      <c r="CF437" s="61"/>
      <c r="CG437" s="145"/>
    </row>
    <row r="438" spans="2:85" x14ac:dyDescent="0.3">
      <c r="B438" t="s">
        <v>105</v>
      </c>
      <c r="D438" s="56">
        <f>+D431-D437</f>
        <v>7808</v>
      </c>
      <c r="E438" s="56">
        <f>+E237-E437</f>
        <v>0</v>
      </c>
      <c r="F438" s="56">
        <f>+F237-F437</f>
        <v>0</v>
      </c>
      <c r="G438" s="56">
        <f>+G237-G437</f>
        <v>0</v>
      </c>
      <c r="H438" s="56">
        <f t="shared" ref="H438:BS438" si="703">+H431-H437</f>
        <v>-17834</v>
      </c>
      <c r="I438" s="56">
        <f t="shared" si="703"/>
        <v>0</v>
      </c>
      <c r="J438" s="56">
        <f t="shared" si="703"/>
        <v>2.3490951075153476E-4</v>
      </c>
      <c r="K438" s="56">
        <f t="shared" si="703"/>
        <v>0</v>
      </c>
      <c r="L438" s="56">
        <f t="shared" si="703"/>
        <v>0</v>
      </c>
      <c r="M438" s="56">
        <f t="shared" si="703"/>
        <v>0</v>
      </c>
      <c r="N438" s="56">
        <f t="shared" si="703"/>
        <v>4366</v>
      </c>
      <c r="O438" s="56">
        <f t="shared" si="703"/>
        <v>144.51304157843697</v>
      </c>
      <c r="P438" s="56">
        <f t="shared" si="703"/>
        <v>0</v>
      </c>
      <c r="Q438" s="56">
        <f t="shared" si="703"/>
        <v>4366</v>
      </c>
      <c r="R438" s="56">
        <f t="shared" si="703"/>
        <v>0</v>
      </c>
      <c r="S438" s="56">
        <f t="shared" si="703"/>
        <v>-7.8999974725863231E-3</v>
      </c>
      <c r="T438" s="56">
        <f t="shared" si="703"/>
        <v>0</v>
      </c>
      <c r="U438" s="56">
        <f t="shared" si="703"/>
        <v>0</v>
      </c>
      <c r="V438" s="56">
        <f t="shared" si="703"/>
        <v>-1</v>
      </c>
      <c r="W438" s="56">
        <f t="shared" si="703"/>
        <v>210</v>
      </c>
      <c r="X438" s="56">
        <f t="shared" si="703"/>
        <v>0</v>
      </c>
      <c r="Y438" s="56">
        <f t="shared" si="703"/>
        <v>0</v>
      </c>
      <c r="Z438" s="56">
        <f t="shared" si="703"/>
        <v>98</v>
      </c>
      <c r="AA438" s="56">
        <f t="shared" si="703"/>
        <v>-289</v>
      </c>
      <c r="AB438" s="56">
        <f t="shared" si="703"/>
        <v>0</v>
      </c>
      <c r="AC438" s="56">
        <f t="shared" si="703"/>
        <v>7.7322829790046899E-7</v>
      </c>
      <c r="AD438" s="56">
        <f t="shared" si="703"/>
        <v>0</v>
      </c>
      <c r="AE438" s="56">
        <f t="shared" si="703"/>
        <v>2.6116769184229724</v>
      </c>
      <c r="AF438" s="56">
        <f t="shared" si="703"/>
        <v>0</v>
      </c>
      <c r="AG438" s="56">
        <f t="shared" si="703"/>
        <v>-48</v>
      </c>
      <c r="AH438" s="56">
        <f t="shared" si="703"/>
        <v>81773</v>
      </c>
      <c r="AI438" s="56">
        <f t="shared" si="703"/>
        <v>-2.4507675291830164E-2</v>
      </c>
      <c r="AJ438" s="56">
        <f t="shared" si="703"/>
        <v>0</v>
      </c>
      <c r="AK438" s="56">
        <f t="shared" si="703"/>
        <v>0</v>
      </c>
      <c r="AL438" s="56">
        <f t="shared" si="703"/>
        <v>348399</v>
      </c>
      <c r="AM438" s="56">
        <f t="shared" si="703"/>
        <v>0</v>
      </c>
      <c r="AN438" s="56">
        <f t="shared" si="703"/>
        <v>0</v>
      </c>
      <c r="AO438" s="56">
        <f t="shared" si="703"/>
        <v>0</v>
      </c>
      <c r="AP438" s="56">
        <f t="shared" si="703"/>
        <v>-37400</v>
      </c>
      <c r="AQ438" s="56">
        <f t="shared" si="703"/>
        <v>0</v>
      </c>
      <c r="AR438" s="56">
        <f t="shared" si="703"/>
        <v>1.3062321579827112E-2</v>
      </c>
      <c r="AS438" s="56">
        <f t="shared" si="703"/>
        <v>0</v>
      </c>
      <c r="AT438" s="56">
        <f t="shared" si="703"/>
        <v>0</v>
      </c>
      <c r="AU438" s="56">
        <f t="shared" si="703"/>
        <v>0</v>
      </c>
      <c r="AV438" s="56">
        <f t="shared" si="703"/>
        <v>-6.8676605822315384E-4</v>
      </c>
      <c r="AW438" s="56">
        <f t="shared" si="703"/>
        <v>0</v>
      </c>
      <c r="AX438" s="56">
        <f t="shared" si="703"/>
        <v>63.391818762400362</v>
      </c>
      <c r="AY438" s="56">
        <f t="shared" si="703"/>
        <v>0</v>
      </c>
      <c r="AZ438" s="56">
        <f t="shared" si="703"/>
        <v>0</v>
      </c>
      <c r="BA438" s="56">
        <f t="shared" si="703"/>
        <v>293894</v>
      </c>
      <c r="BB438" s="56">
        <f t="shared" si="703"/>
        <v>0</v>
      </c>
      <c r="BC438" s="56">
        <f t="shared" si="703"/>
        <v>-831508</v>
      </c>
      <c r="BD438" s="56">
        <f t="shared" si="703"/>
        <v>0</v>
      </c>
      <c r="BE438" s="56">
        <f t="shared" si="703"/>
        <v>7808</v>
      </c>
      <c r="BF438" s="56">
        <f t="shared" si="703"/>
        <v>0</v>
      </c>
      <c r="BG438" s="56">
        <f t="shared" si="703"/>
        <v>1.3369679236506261E-3</v>
      </c>
      <c r="BH438" s="56">
        <f t="shared" si="703"/>
        <v>0</v>
      </c>
      <c r="BI438" s="56">
        <f t="shared" si="703"/>
        <v>0</v>
      </c>
      <c r="BJ438" s="56">
        <f t="shared" si="703"/>
        <v>0</v>
      </c>
      <c r="BK438" s="56">
        <f t="shared" si="703"/>
        <v>42122</v>
      </c>
      <c r="BL438" s="56">
        <f t="shared" si="703"/>
        <v>0</v>
      </c>
      <c r="BM438" s="56">
        <f t="shared" si="703"/>
        <v>4.0020941733349968E-4</v>
      </c>
      <c r="BN438" s="56">
        <f t="shared" si="703"/>
        <v>640.47465071221814</v>
      </c>
      <c r="BO438" s="56">
        <f t="shared" si="703"/>
        <v>0</v>
      </c>
      <c r="BP438" s="56">
        <f t="shared" si="703"/>
        <v>-17834</v>
      </c>
      <c r="BQ438" s="56">
        <f t="shared" si="703"/>
        <v>0</v>
      </c>
      <c r="BR438" s="56">
        <f t="shared" si="703"/>
        <v>8.6047236093941826E-5</v>
      </c>
      <c r="BS438" s="56">
        <f t="shared" si="703"/>
        <v>0</v>
      </c>
      <c r="BT438" s="56">
        <f t="shared" ref="BT438" si="704">+BT431-BT437</f>
        <v>0</v>
      </c>
      <c r="BU438" s="56">
        <f t="shared" ref="BT438:BU438" si="705">+BU428-BU437</f>
        <v>0</v>
      </c>
      <c r="BV438" s="56">
        <f>+BV349-BV437</f>
        <v>0</v>
      </c>
      <c r="BW438" s="56"/>
      <c r="BX438" s="56"/>
      <c r="BY438" s="56"/>
      <c r="BZ438" s="56"/>
      <c r="CA438" s="56"/>
      <c r="CB438" s="56"/>
      <c r="CC438" s="56"/>
      <c r="CD438" s="56"/>
      <c r="CE438" s="61"/>
      <c r="CF438" s="61"/>
      <c r="CG438" s="105"/>
    </row>
    <row r="439" spans="2:85" x14ac:dyDescent="0.3">
      <c r="B439" s="56"/>
      <c r="D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10"/>
      <c r="BT439" s="10"/>
      <c r="BU439" s="10"/>
      <c r="BV439" s="10"/>
      <c r="BW439" s="10"/>
      <c r="BX439" s="10"/>
      <c r="BY439" s="10"/>
      <c r="BZ439" s="10"/>
      <c r="CA439" s="10"/>
      <c r="CB439" s="61"/>
      <c r="CC439" s="105"/>
      <c r="CD439" s="105"/>
      <c r="CE439" s="105"/>
      <c r="CF439" s="105"/>
    </row>
    <row r="440" spans="2:85" x14ac:dyDescent="0.3">
      <c r="B440" s="56"/>
      <c r="D440" s="56"/>
      <c r="H440" s="1"/>
      <c r="N440" s="145"/>
      <c r="O440" s="1"/>
      <c r="W440" s="56"/>
      <c r="AA440" s="59"/>
      <c r="BA440" s="59"/>
      <c r="BC440" s="56"/>
      <c r="BE440" s="59"/>
      <c r="BJ440" s="61"/>
      <c r="BK440" s="10">
        <f>+BK187</f>
        <v>4928581</v>
      </c>
      <c r="BL440" s="61"/>
      <c r="BM440" s="61"/>
      <c r="BN440" s="61"/>
      <c r="BO440" s="61"/>
      <c r="BP440" s="61"/>
      <c r="BQ440" s="61"/>
      <c r="BR440" s="61"/>
      <c r="BS440" s="10"/>
      <c r="BT440" s="10"/>
    </row>
    <row r="441" spans="2:85" x14ac:dyDescent="0.3">
      <c r="B441" s="56"/>
      <c r="D441" s="56"/>
      <c r="H441" s="56"/>
      <c r="N441" s="231"/>
      <c r="W441" s="56"/>
      <c r="AA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56"/>
      <c r="AU441" t="s">
        <v>161</v>
      </c>
      <c r="BC441" s="1"/>
      <c r="BE441" s="59"/>
      <c r="BH441" s="96"/>
      <c r="BI441" s="96"/>
      <c r="BJ441" s="96"/>
      <c r="BK441" s="493"/>
      <c r="BL441" s="96"/>
      <c r="BM441" s="96"/>
      <c r="BN441" s="96"/>
      <c r="BO441" s="96"/>
      <c r="BP441" s="96"/>
      <c r="BQ441" s="96"/>
      <c r="BR441" s="78"/>
      <c r="BS441" s="1"/>
      <c r="BT441" s="1"/>
    </row>
    <row r="442" spans="2:85" x14ac:dyDescent="0.3">
      <c r="D442" s="1"/>
      <c r="E442" s="111" t="s">
        <v>26</v>
      </c>
      <c r="F442" s="112"/>
      <c r="H442" s="112" t="s">
        <v>59</v>
      </c>
      <c r="I442" s="104"/>
      <c r="J442" s="104"/>
      <c r="K442" s="61"/>
      <c r="L442" s="10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BC442" s="56"/>
      <c r="BE442" s="59"/>
      <c r="BH442" s="96"/>
      <c r="BI442" s="96"/>
      <c r="BJ442" s="96"/>
      <c r="BK442" s="493">
        <f>+BK194-BK437</f>
        <v>-2125040</v>
      </c>
      <c r="BL442" s="96"/>
      <c r="BM442" s="96"/>
      <c r="BN442" s="96"/>
      <c r="BO442" s="96"/>
      <c r="BP442" s="96"/>
      <c r="BQ442" s="96"/>
      <c r="BR442" s="78"/>
      <c r="BS442" s="1"/>
      <c r="BT442" s="1"/>
    </row>
    <row r="443" spans="2:85" x14ac:dyDescent="0.3">
      <c r="B443" s="56"/>
      <c r="D443" s="1"/>
      <c r="E443" s="111" t="s">
        <v>38</v>
      </c>
      <c r="F443" s="112"/>
      <c r="H443" s="112" t="s">
        <v>40</v>
      </c>
      <c r="I443" s="10"/>
      <c r="J443" s="10"/>
      <c r="K443" s="61"/>
      <c r="L443" s="10"/>
      <c r="AD443" s="1"/>
      <c r="AE443" s="1"/>
      <c r="AF443" s="1"/>
      <c r="AG443" s="1"/>
      <c r="AH443" s="1"/>
      <c r="AI443" s="1">
        <f>SUM(W213:W243)</f>
        <v>25465</v>
      </c>
      <c r="AJ443" s="1"/>
      <c r="AK443" s="1"/>
      <c r="AL443" s="1" t="s">
        <v>17</v>
      </c>
      <c r="AM443" s="1"/>
      <c r="AN443" s="1"/>
      <c r="AO443" s="1"/>
      <c r="BC443" s="56"/>
      <c r="BE443" s="59"/>
      <c r="BH443" s="97"/>
      <c r="BI443" s="97"/>
      <c r="BJ443" s="97"/>
      <c r="BK443" s="493">
        <f>+BK187-BK437</f>
        <v>-2959568</v>
      </c>
      <c r="BL443" s="97"/>
      <c r="BM443" s="97"/>
      <c r="BN443" s="97"/>
      <c r="BO443" s="97"/>
      <c r="BP443" s="97"/>
      <c r="BQ443" s="97"/>
      <c r="BR443" s="78"/>
      <c r="BS443" s="1"/>
      <c r="BT443" s="1"/>
    </row>
    <row r="444" spans="2:85" x14ac:dyDescent="0.3">
      <c r="B444" s="231"/>
      <c r="D444" s="1"/>
      <c r="E444" s="111" t="s">
        <v>45</v>
      </c>
      <c r="F444" s="112"/>
      <c r="H444" s="112" t="s">
        <v>55</v>
      </c>
      <c r="I444" s="10"/>
      <c r="J444" s="10"/>
      <c r="K444" s="61"/>
      <c r="L444" s="10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BC444" s="56"/>
      <c r="BE444" s="59"/>
      <c r="BH444" s="97"/>
      <c r="BI444" s="97"/>
      <c r="BJ444" s="97"/>
      <c r="BK444" s="493"/>
      <c r="BL444" s="97"/>
      <c r="BM444" s="97"/>
      <c r="BN444" s="97"/>
      <c r="BO444" s="97"/>
      <c r="BP444" s="97"/>
      <c r="BQ444" s="97"/>
      <c r="BR444" s="78"/>
      <c r="BS444" s="1"/>
      <c r="BT444" s="1"/>
    </row>
    <row r="445" spans="2:85" x14ac:dyDescent="0.3">
      <c r="D445" s="1"/>
      <c r="E445" s="111" t="s">
        <v>60</v>
      </c>
      <c r="F445" s="61"/>
      <c r="H445" s="81" t="s">
        <v>135</v>
      </c>
      <c r="I445" s="61"/>
      <c r="J445" s="61"/>
      <c r="K445" s="61"/>
      <c r="L445" s="6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BH445" s="97"/>
      <c r="BI445" s="97"/>
      <c r="BJ445" s="97"/>
      <c r="BK445" s="496"/>
      <c r="BL445" s="97"/>
      <c r="BM445" s="97"/>
      <c r="BN445" s="97"/>
      <c r="BO445" s="97"/>
      <c r="BP445" s="97"/>
      <c r="BQ445" s="97"/>
      <c r="BR445" s="78"/>
      <c r="BS445" s="1"/>
      <c r="BT445" s="1"/>
    </row>
    <row r="446" spans="2:85" x14ac:dyDescent="0.3">
      <c r="E446" s="111" t="s">
        <v>136</v>
      </c>
      <c r="H446" s="81" t="s">
        <v>137</v>
      </c>
      <c r="AD446" s="1"/>
      <c r="AE446" s="1"/>
      <c r="AF446" s="1"/>
      <c r="AG446" s="1"/>
      <c r="AH446" s="1"/>
      <c r="AI446" s="1"/>
      <c r="BD446" s="78"/>
      <c r="BE446" s="78"/>
      <c r="BF446" s="78"/>
      <c r="BG446" s="78"/>
      <c r="BH446" s="78"/>
      <c r="BI446" s="78"/>
      <c r="BJ446" s="78"/>
      <c r="BK446" s="494"/>
      <c r="BL446" s="78"/>
      <c r="BM446" s="78"/>
      <c r="BN446" s="78"/>
      <c r="BO446" s="78"/>
      <c r="BP446" s="78"/>
      <c r="BQ446" s="78"/>
      <c r="BR446" s="78"/>
      <c r="BS446" s="1"/>
      <c r="BT446" s="1"/>
    </row>
    <row r="447" spans="2:85" x14ac:dyDescent="0.3">
      <c r="B447" s="56"/>
      <c r="AD447" s="1"/>
      <c r="AE447" s="1"/>
      <c r="AF447" s="1"/>
      <c r="AG447" s="1"/>
      <c r="AH447" s="1"/>
      <c r="AI447" s="1"/>
      <c r="BA447" s="545">
        <v>157602857</v>
      </c>
      <c r="BK447" s="495"/>
    </row>
    <row r="448" spans="2:85" ht="15" thickBot="1" x14ac:dyDescent="0.35">
      <c r="D448" s="56">
        <f>SUM(D363:D369)</f>
        <v>378583</v>
      </c>
      <c r="AD448" s="1"/>
      <c r="AE448" s="507"/>
      <c r="AF448" s="547"/>
      <c r="AG448" s="507"/>
      <c r="AH448" s="507"/>
      <c r="AI448" s="507"/>
      <c r="AJ448" s="500"/>
      <c r="AK448" s="500"/>
      <c r="AL448" s="500"/>
      <c r="AM448" s="500"/>
      <c r="AN448" s="500"/>
      <c r="AO448" s="500"/>
      <c r="AP448" s="500"/>
      <c r="AQ448" s="500"/>
      <c r="AR448" s="500"/>
      <c r="AS448" s="500"/>
      <c r="AT448" s="500"/>
      <c r="AU448" s="500"/>
      <c r="AV448" s="500"/>
      <c r="AW448" s="500"/>
      <c r="AX448" s="500"/>
      <c r="AZ448" s="106"/>
      <c r="BA448" s="106"/>
      <c r="BB448" s="106"/>
      <c r="BC448" s="106"/>
      <c r="BK448" s="1"/>
    </row>
    <row r="449" spans="2:87" x14ac:dyDescent="0.3">
      <c r="D449" s="531">
        <f>SUM(D356:D362)</f>
        <v>417052</v>
      </c>
      <c r="J449" s="486"/>
      <c r="V449" s="106"/>
      <c r="AA449" s="56"/>
      <c r="AD449" s="1"/>
      <c r="AE449" s="507"/>
      <c r="AF449" s="546"/>
      <c r="AG449" s="1"/>
      <c r="AH449" s="1"/>
      <c r="AI449" s="485"/>
      <c r="AJ449" s="464"/>
      <c r="AK449" s="465"/>
      <c r="AL449" s="465"/>
      <c r="AM449" s="465"/>
      <c r="AN449" s="465"/>
      <c r="AO449" s="465"/>
      <c r="AP449" s="465"/>
      <c r="AQ449" s="465"/>
      <c r="AR449" s="465"/>
      <c r="AS449" s="465"/>
      <c r="AT449" s="465"/>
      <c r="AU449" s="465"/>
      <c r="AV449" s="465"/>
      <c r="AW449" s="466"/>
      <c r="AX449" s="500"/>
      <c r="AZ449" s="106"/>
      <c r="BA449" s="77"/>
      <c r="BB449" s="106"/>
      <c r="BC449" s="106"/>
      <c r="BK449" s="56"/>
    </row>
    <row r="450" spans="2:87" x14ac:dyDescent="0.3">
      <c r="D450" s="1"/>
      <c r="J450" s="214"/>
      <c r="AD450" s="1"/>
      <c r="AE450" s="507"/>
      <c r="AF450" s="546"/>
      <c r="AG450" s="1"/>
      <c r="AH450" s="1"/>
      <c r="AI450" s="485"/>
      <c r="AJ450" s="467"/>
      <c r="AK450" s="587" t="s">
        <v>142</v>
      </c>
      <c r="AL450" s="587"/>
      <c r="AM450" s="587"/>
      <c r="AN450" s="587"/>
      <c r="AO450" s="587"/>
      <c r="AP450" s="587"/>
      <c r="AQ450" s="587"/>
      <c r="AR450" s="587"/>
      <c r="AS450" s="587"/>
      <c r="AT450" s="587"/>
      <c r="AU450" s="587"/>
      <c r="AV450" s="587"/>
      <c r="AW450" s="468"/>
      <c r="AX450" s="500"/>
      <c r="AZ450" s="106"/>
      <c r="BA450" s="106"/>
      <c r="BB450" s="106"/>
      <c r="BC450" s="106"/>
    </row>
    <row r="451" spans="2:87" ht="15.6" x14ac:dyDescent="0.3">
      <c r="D451" s="1">
        <v>331000000</v>
      </c>
      <c r="H451" s="235">
        <f>+H269/D451</f>
        <v>4.5635842900302113E-2</v>
      </c>
      <c r="J451" s="57"/>
      <c r="AD451" s="1"/>
      <c r="AE451" s="507"/>
      <c r="AF451" s="546"/>
      <c r="AG451" s="1"/>
      <c r="AH451" s="1"/>
      <c r="AI451" s="485"/>
      <c r="AJ451" s="467"/>
      <c r="AK451" s="587" t="s">
        <v>141</v>
      </c>
      <c r="AL451" s="587"/>
      <c r="AM451" s="587"/>
      <c r="AN451" s="587"/>
      <c r="AO451" s="473"/>
      <c r="AP451" s="474" t="s">
        <v>20</v>
      </c>
      <c r="AQ451" s="473"/>
      <c r="AR451" s="474" t="s">
        <v>4</v>
      </c>
      <c r="AS451" s="475"/>
      <c r="AT451" s="475"/>
      <c r="AU451" s="475"/>
      <c r="AV451" s="479" t="s">
        <v>10</v>
      </c>
      <c r="AW451" s="468"/>
      <c r="AX451" s="500"/>
      <c r="AZ451" s="106"/>
      <c r="BA451" s="106"/>
      <c r="BB451" s="106"/>
      <c r="BC451" s="106"/>
    </row>
    <row r="452" spans="2:87" ht="15.6" x14ac:dyDescent="0.3">
      <c r="H452" s="235">
        <f>+AA269/H269</f>
        <v>1.9000541790705667E-2</v>
      </c>
      <c r="AD452" s="1"/>
      <c r="AE452" s="507"/>
      <c r="AF452" s="546"/>
      <c r="AG452" s="1"/>
      <c r="AH452" s="1"/>
      <c r="AI452" s="485"/>
      <c r="AJ452" s="467"/>
      <c r="AK452" s="586" t="s">
        <v>138</v>
      </c>
      <c r="AL452" s="586"/>
      <c r="AM452" s="586"/>
      <c r="AN452" s="586"/>
      <c r="AO452" s="473"/>
      <c r="AP452" s="476">
        <f>+AH50</f>
        <v>898992</v>
      </c>
      <c r="AQ452" s="477"/>
      <c r="AR452" s="476">
        <f>+AH51</f>
        <v>55687</v>
      </c>
      <c r="AS452" s="478"/>
      <c r="AT452" s="478"/>
      <c r="AU452" s="478"/>
      <c r="AV452" s="491">
        <f t="shared" ref="AV452:AV458" si="706">+AR452/AP452</f>
        <v>6.194382152455194E-2</v>
      </c>
      <c r="AW452" s="468"/>
      <c r="AX452" s="500"/>
      <c r="AZ452" s="106"/>
      <c r="BA452" s="77"/>
      <c r="BB452" s="106"/>
      <c r="BC452" s="106"/>
    </row>
    <row r="453" spans="2:87" ht="15.6" x14ac:dyDescent="0.3">
      <c r="D453" s="235"/>
      <c r="AD453" s="1"/>
      <c r="AE453" s="507"/>
      <c r="AF453" s="546"/>
      <c r="AG453" s="1"/>
      <c r="AH453" s="1"/>
      <c r="AI453" s="485"/>
      <c r="AJ453" s="467"/>
      <c r="AK453" s="582" t="s">
        <v>139</v>
      </c>
      <c r="AL453" s="583"/>
      <c r="AM453" s="583"/>
      <c r="AN453" s="583"/>
      <c r="AO453" s="64"/>
      <c r="AP453" s="469">
        <f>+AG83</f>
        <v>742147</v>
      </c>
      <c r="AQ453" s="64"/>
      <c r="AR453" s="469">
        <f>+AG84</f>
        <v>42339</v>
      </c>
      <c r="AS453" s="64"/>
      <c r="AT453" s="64"/>
      <c r="AU453" s="64"/>
      <c r="AV453" s="489">
        <f t="shared" si="706"/>
        <v>5.7049344671608188E-2</v>
      </c>
      <c r="AW453" s="468"/>
      <c r="AX453" s="500"/>
      <c r="AZ453" s="106"/>
      <c r="BA453" s="77"/>
      <c r="BB453" s="106"/>
      <c r="BC453" s="106"/>
    </row>
    <row r="454" spans="2:87" ht="15.6" x14ac:dyDescent="0.3">
      <c r="AD454" s="1"/>
      <c r="AE454" s="507"/>
      <c r="AF454" s="546"/>
      <c r="AG454" s="1"/>
      <c r="AH454" s="1"/>
      <c r="AI454" s="485"/>
      <c r="AJ454" s="467"/>
      <c r="AK454" s="583" t="s">
        <v>140</v>
      </c>
      <c r="AL454" s="583"/>
      <c r="AM454" s="583"/>
      <c r="AN454" s="583"/>
      <c r="AO454" s="64"/>
      <c r="AP454" s="469">
        <f>+AH113</f>
        <v>869627</v>
      </c>
      <c r="AQ454" s="64"/>
      <c r="AR454" s="469">
        <f>+AH114</f>
        <v>21252</v>
      </c>
      <c r="AS454" s="64"/>
      <c r="AT454" s="64"/>
      <c r="AU454" s="64"/>
      <c r="AV454" s="489">
        <f t="shared" si="706"/>
        <v>2.4438063675575852E-2</v>
      </c>
      <c r="AW454" s="468"/>
      <c r="AX454" s="500"/>
      <c r="AZ454" s="106"/>
      <c r="BA454" s="106"/>
      <c r="BB454" s="106"/>
      <c r="BC454" s="106"/>
    </row>
    <row r="455" spans="2:87" ht="15.6" x14ac:dyDescent="0.3">
      <c r="D455" s="428"/>
      <c r="AD455" s="1"/>
      <c r="AE455" s="507"/>
      <c r="AF455" s="546"/>
      <c r="AG455" s="1"/>
      <c r="AH455" s="1"/>
      <c r="AI455" s="485"/>
      <c r="AJ455" s="467"/>
      <c r="AK455" s="583" t="s">
        <v>143</v>
      </c>
      <c r="AL455" s="583"/>
      <c r="AM455" s="583"/>
      <c r="AN455" s="583"/>
      <c r="AO455" s="64"/>
      <c r="AP455" s="469">
        <f>+AG461</f>
        <v>1970617</v>
      </c>
      <c r="AQ455" s="64"/>
      <c r="AR455" s="469">
        <f>+AG463</f>
        <v>25901</v>
      </c>
      <c r="AS455" s="64"/>
      <c r="AT455" s="64"/>
      <c r="AU455" s="64"/>
      <c r="AV455" s="489">
        <f t="shared" si="706"/>
        <v>1.3143599187462607E-2</v>
      </c>
      <c r="AW455" s="468"/>
      <c r="AX455" s="500"/>
    </row>
    <row r="456" spans="2:87" ht="15.6" x14ac:dyDescent="0.3">
      <c r="D456" s="428"/>
      <c r="AD456" s="1"/>
      <c r="AE456" s="507"/>
      <c r="AF456" s="546"/>
      <c r="AG456" s="1"/>
      <c r="AH456" s="1"/>
      <c r="AI456" s="485"/>
      <c r="AJ456" s="467"/>
      <c r="AK456" s="543"/>
      <c r="AL456" s="543" t="s">
        <v>151</v>
      </c>
      <c r="AM456" s="543"/>
      <c r="AN456" s="543"/>
      <c r="AO456" s="64"/>
      <c r="AP456" s="469">
        <f>SUM(D144:D174)</f>
        <v>1493931</v>
      </c>
      <c r="AQ456" s="64"/>
      <c r="AR456" s="469">
        <f>SUM(W144:W174)</f>
        <v>30354</v>
      </c>
      <c r="AS456" s="64"/>
      <c r="AT456" s="64"/>
      <c r="AU456" s="64"/>
      <c r="AV456" s="489">
        <f t="shared" si="706"/>
        <v>2.0318207467413155E-2</v>
      </c>
      <c r="AW456" s="468"/>
      <c r="AX456" s="500"/>
    </row>
    <row r="457" spans="2:87" ht="15.6" x14ac:dyDescent="0.3">
      <c r="D457" s="428"/>
      <c r="AD457" s="1"/>
      <c r="AE457" s="507"/>
      <c r="AF457" s="546"/>
      <c r="AG457" s="1"/>
      <c r="AH457" s="1"/>
      <c r="AI457" s="485"/>
      <c r="AJ457" s="467"/>
      <c r="AK457" s="543"/>
      <c r="AL457" s="543" t="s">
        <v>152</v>
      </c>
      <c r="AM457" s="543"/>
      <c r="AN457" s="543"/>
      <c r="AO457" s="64"/>
      <c r="AP457" s="469">
        <f>SUM(D175:D204)</f>
        <v>1202331</v>
      </c>
      <c r="AQ457" s="64"/>
      <c r="AR457" s="544">
        <f>SUM(W175:W204)</f>
        <v>24042</v>
      </c>
      <c r="AS457" s="64"/>
      <c r="AT457" s="64"/>
      <c r="AU457" s="64"/>
      <c r="AV457" s="489">
        <f t="shared" si="706"/>
        <v>1.9996157464125936E-2</v>
      </c>
      <c r="AW457" s="468"/>
      <c r="AX457" s="500"/>
    </row>
    <row r="458" spans="2:87" ht="15.6" x14ac:dyDescent="0.3">
      <c r="D458" s="428"/>
      <c r="AD458" s="1"/>
      <c r="AE458" s="507"/>
      <c r="AF458" s="546"/>
      <c r="AG458" s="1"/>
      <c r="AH458" s="1"/>
      <c r="AI458" s="485"/>
      <c r="AJ458" s="467"/>
      <c r="AK458" s="543"/>
      <c r="AL458" s="543" t="s">
        <v>153</v>
      </c>
      <c r="AM458" s="543"/>
      <c r="AN458" s="543"/>
      <c r="AO458" s="64"/>
      <c r="AP458" s="469">
        <f>SUM(D205:D230)</f>
        <v>1470960</v>
      </c>
      <c r="AQ458" s="64"/>
      <c r="AR458" s="469">
        <f>SUM(W205:W235)</f>
        <v>24156</v>
      </c>
      <c r="AS458" s="64"/>
      <c r="AT458" s="64"/>
      <c r="AU458" s="64"/>
      <c r="AV458" s="489">
        <f t="shared" si="706"/>
        <v>1.6421928536465982E-2</v>
      </c>
      <c r="AW458" s="468"/>
      <c r="AX458" s="500"/>
      <c r="BA458" s="486">
        <f>+AV452-AV458</f>
        <v>4.5521892988085955E-2</v>
      </c>
    </row>
    <row r="459" spans="2:87" ht="15" thickBot="1" x14ac:dyDescent="0.35">
      <c r="B459" s="427"/>
      <c r="D459" s="235"/>
      <c r="AD459" s="1"/>
      <c r="AE459" s="507"/>
      <c r="AF459" s="546"/>
      <c r="AG459" s="1"/>
      <c r="AH459" s="1"/>
      <c r="AI459" s="485"/>
      <c r="AJ459" s="467"/>
      <c r="AK459" s="480"/>
      <c r="AL459" s="480"/>
      <c r="AM459" s="480"/>
      <c r="AN459" s="480"/>
      <c r="AO459" s="481"/>
      <c r="AP459" s="482"/>
      <c r="AQ459" s="481"/>
      <c r="AR459" s="482"/>
      <c r="AS459" s="481"/>
      <c r="AT459" s="481"/>
      <c r="AU459" s="481"/>
      <c r="AV459" s="483"/>
      <c r="AW459" s="468"/>
      <c r="AX459" s="500"/>
      <c r="BA459">
        <f>+BA458/AV452</f>
        <v>0.73488996751747038</v>
      </c>
    </row>
    <row r="460" spans="2:87" ht="15.6" x14ac:dyDescent="0.3">
      <c r="B460" s="427"/>
      <c r="D460" s="235"/>
      <c r="AD460" s="1"/>
      <c r="AE460" s="507"/>
      <c r="AF460" s="546"/>
      <c r="AG460" s="1"/>
      <c r="AH460" s="1"/>
      <c r="AI460" s="485"/>
      <c r="AJ460" s="467"/>
      <c r="AK460" s="586" t="s">
        <v>138</v>
      </c>
      <c r="AL460" s="586"/>
      <c r="AM460" s="586"/>
      <c r="AN460" s="586"/>
      <c r="AO460" s="64"/>
      <c r="AP460" s="469"/>
      <c r="AQ460" s="64"/>
      <c r="AR460" s="469">
        <f>+AR452</f>
        <v>55687</v>
      </c>
      <c r="AS460" s="64"/>
      <c r="AT460" s="64"/>
      <c r="AU460" s="64"/>
      <c r="AV460" s="144"/>
      <c r="AW460" s="468"/>
      <c r="AX460" s="500"/>
    </row>
    <row r="461" spans="2:87" ht="15.6" x14ac:dyDescent="0.3">
      <c r="B461" s="427"/>
      <c r="D461" s="235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10"/>
      <c r="AE461" s="507"/>
      <c r="AF461" s="546"/>
      <c r="AG461" s="33">
        <f>SUM(D113:D143)</f>
        <v>1970617</v>
      </c>
      <c r="AH461" s="1"/>
      <c r="AI461" s="485"/>
      <c r="AJ461" s="467"/>
      <c r="AK461" s="588" t="s">
        <v>153</v>
      </c>
      <c r="AL461" s="588"/>
      <c r="AM461" s="588"/>
      <c r="AN461" s="588"/>
      <c r="AO461" s="64"/>
      <c r="AP461" s="469"/>
      <c r="AQ461" s="64"/>
      <c r="AR461" s="469">
        <f>+AR458</f>
        <v>24156</v>
      </c>
      <c r="AS461" s="64"/>
      <c r="AT461" s="64"/>
      <c r="AU461" s="64"/>
      <c r="AV461" s="144"/>
      <c r="AW461" s="468"/>
      <c r="AX461" s="500"/>
    </row>
    <row r="462" spans="2:87" ht="15.6" x14ac:dyDescent="0.3">
      <c r="B462" s="427"/>
      <c r="D462" s="235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10"/>
      <c r="AE462" s="507"/>
      <c r="AF462" s="546"/>
      <c r="AG462" s="33">
        <f>SUM(W125:W138)</f>
        <v>12117</v>
      </c>
      <c r="AH462" s="1"/>
      <c r="AI462" s="485"/>
      <c r="AJ462" s="467"/>
      <c r="AK462" s="63"/>
      <c r="AL462" s="497" t="s">
        <v>3</v>
      </c>
      <c r="AM462" s="63"/>
      <c r="AN462" s="63"/>
      <c r="AO462" s="64"/>
      <c r="AP462" s="469"/>
      <c r="AQ462" s="64"/>
      <c r="AR462" s="469">
        <f>+AR460-AR461</f>
        <v>31531</v>
      </c>
      <c r="AS462" s="64"/>
      <c r="AT462" s="64"/>
      <c r="AU462" s="64"/>
      <c r="AV462" s="484">
        <f>+AR462/AR460</f>
        <v>0.5662183274372834</v>
      </c>
      <c r="AW462" s="468"/>
      <c r="AX462" s="500"/>
    </row>
    <row r="463" spans="2:87" ht="15" thickBot="1" x14ac:dyDescent="0.35">
      <c r="D463" s="427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10"/>
      <c r="AE463" s="507"/>
      <c r="AF463" s="548"/>
      <c r="AG463" s="33">
        <f>SUM(W113:W143)</f>
        <v>25901</v>
      </c>
      <c r="AH463" s="1"/>
      <c r="AI463" s="485"/>
      <c r="AJ463" s="470"/>
      <c r="AK463" s="471"/>
      <c r="AL463" s="471"/>
      <c r="AM463" s="471"/>
      <c r="AN463" s="471"/>
      <c r="AO463" s="471"/>
      <c r="AP463" s="471"/>
      <c r="AQ463" s="471"/>
      <c r="AR463" s="471"/>
      <c r="AS463" s="471"/>
      <c r="AT463" s="471"/>
      <c r="AU463" s="471"/>
      <c r="AV463" s="471"/>
      <c r="AW463" s="472"/>
      <c r="AX463" s="500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1"/>
      <c r="BT463" s="1"/>
      <c r="BU463" s="1"/>
      <c r="BV463" s="1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</row>
    <row r="464" spans="2:87" x14ac:dyDescent="0.3"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10"/>
      <c r="AE464" s="507"/>
      <c r="AF464" s="507"/>
      <c r="AG464" s="507"/>
      <c r="AH464" s="507"/>
      <c r="AI464" s="507"/>
      <c r="AJ464" s="500"/>
      <c r="AK464" s="500"/>
      <c r="AL464" s="500"/>
      <c r="AM464" s="500"/>
      <c r="AN464" s="500"/>
      <c r="AO464" s="500"/>
      <c r="AP464" s="500"/>
      <c r="AQ464" s="500"/>
      <c r="AR464" s="500"/>
      <c r="AS464" s="500"/>
      <c r="AT464" s="500"/>
      <c r="AU464" s="500"/>
      <c r="AV464" s="500"/>
      <c r="AW464" s="500"/>
      <c r="AX464" s="500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77"/>
      <c r="BX464" s="77"/>
      <c r="BY464" s="77"/>
      <c r="BZ464" s="77"/>
      <c r="CA464" s="109"/>
      <c r="CB464" s="1"/>
      <c r="CC464" s="1"/>
      <c r="CD464" s="1"/>
      <c r="CE464" s="1"/>
      <c r="CF464" s="1"/>
      <c r="CG464" s="1"/>
      <c r="CH464" s="1"/>
      <c r="CI464" s="1"/>
    </row>
    <row r="465" spans="4:87" x14ac:dyDescent="0.3">
      <c r="D465">
        <v>10</v>
      </c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10"/>
      <c r="AE465" s="10"/>
      <c r="AF465" s="10"/>
      <c r="AG465" s="10"/>
      <c r="AH465" s="10"/>
      <c r="AI465" s="10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77"/>
      <c r="BX465" s="77"/>
      <c r="BY465" s="77"/>
      <c r="BZ465" s="77"/>
      <c r="CA465" s="77"/>
      <c r="CB465" s="1"/>
      <c r="CC465" s="1"/>
      <c r="CD465" s="1"/>
      <c r="CE465" s="1"/>
      <c r="CF465" s="1"/>
      <c r="CG465" s="1"/>
      <c r="CH465" s="1"/>
      <c r="CI465" s="1"/>
    </row>
    <row r="466" spans="4:87" x14ac:dyDescent="0.3">
      <c r="D466" s="1">
        <v>77000000</v>
      </c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10"/>
      <c r="AE466" s="10"/>
      <c r="AF466" s="10"/>
      <c r="AG466" s="10"/>
      <c r="AH466" s="10"/>
      <c r="AI466" s="10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77"/>
      <c r="BX466" s="77"/>
      <c r="BY466" s="77"/>
      <c r="BZ466" s="77"/>
      <c r="CA466" s="77"/>
      <c r="CB466" s="1"/>
      <c r="CC466" s="1"/>
      <c r="CD466" s="1"/>
      <c r="CE466" s="1"/>
      <c r="CF466" s="1"/>
      <c r="CG466" s="1"/>
    </row>
    <row r="467" spans="4:87" x14ac:dyDescent="0.3">
      <c r="D467" s="57">
        <f>+D466/D469</f>
        <v>0.23262839879154079</v>
      </c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10"/>
      <c r="AE467" s="10"/>
      <c r="AF467" s="10"/>
      <c r="AG467" s="501"/>
      <c r="AH467" s="10"/>
      <c r="AI467" s="10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77"/>
      <c r="BX467" s="77"/>
      <c r="BY467" s="77"/>
      <c r="BZ467" s="77"/>
      <c r="CA467" s="77"/>
      <c r="CB467" s="1"/>
      <c r="CC467" s="1"/>
      <c r="CD467" s="1"/>
      <c r="CE467" s="1"/>
      <c r="CF467" s="1"/>
      <c r="CG467" s="1"/>
    </row>
    <row r="468" spans="4:87" x14ac:dyDescent="0.3"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10"/>
      <c r="AE468" s="10"/>
      <c r="AF468" s="507"/>
      <c r="AG468" s="526"/>
      <c r="AH468" s="507"/>
      <c r="AI468" s="507"/>
      <c r="AJ468" s="500"/>
      <c r="AK468" s="500"/>
      <c r="AL468" s="500"/>
      <c r="AM468" s="500"/>
      <c r="AN468" s="500"/>
      <c r="AO468" s="500"/>
      <c r="AP468" s="500"/>
      <c r="AQ468" s="500"/>
      <c r="AR468" s="500"/>
      <c r="AS468" s="500"/>
      <c r="AT468" s="500"/>
      <c r="AU468" s="500"/>
      <c r="AV468" s="500"/>
      <c r="AW468" s="500"/>
      <c r="AX468" s="500"/>
      <c r="AY468" s="500"/>
      <c r="AZ468" s="500"/>
      <c r="BA468" s="500"/>
      <c r="BB468" s="500"/>
      <c r="BC468" s="500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77"/>
      <c r="BX468" s="77"/>
      <c r="BY468" s="110"/>
      <c r="BZ468" s="77"/>
      <c r="CA468" s="77"/>
    </row>
    <row r="469" spans="4:87" x14ac:dyDescent="0.3">
      <c r="D469" s="1">
        <v>331000000</v>
      </c>
      <c r="H469">
        <v>0.13400000000000001</v>
      </c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10"/>
      <c r="AE469" s="10"/>
      <c r="AF469" s="507"/>
      <c r="AG469" s="527"/>
      <c r="AH469" s="507"/>
      <c r="AI469" s="507"/>
      <c r="AJ469" s="524"/>
      <c r="AK469" s="524"/>
      <c r="AL469" s="525"/>
      <c r="AM469" s="525"/>
      <c r="AN469" s="525"/>
      <c r="AO469" s="525"/>
      <c r="AP469" s="525"/>
      <c r="AQ469" s="525"/>
      <c r="AR469" s="525"/>
      <c r="AS469" s="525"/>
      <c r="AT469" s="525"/>
      <c r="AU469" s="525"/>
      <c r="AV469" s="525"/>
      <c r="AW469" s="525"/>
      <c r="AX469" s="525"/>
      <c r="AY469" s="525"/>
      <c r="AZ469" s="525"/>
      <c r="BA469" s="525"/>
      <c r="BB469" s="524"/>
      <c r="BC469" s="524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77"/>
      <c r="BX469" s="77"/>
      <c r="BY469" s="77"/>
      <c r="BZ469" s="77"/>
      <c r="CA469" s="77"/>
    </row>
    <row r="470" spans="4:87" x14ac:dyDescent="0.3">
      <c r="D470" s="1">
        <f>+D469*H469</f>
        <v>44354000</v>
      </c>
      <c r="H470" s="1">
        <f>+D470*0.001</f>
        <v>44354</v>
      </c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10"/>
      <c r="AE470" s="10"/>
      <c r="AF470" s="507"/>
      <c r="AG470" s="526"/>
      <c r="AH470" s="507"/>
      <c r="AI470" s="507"/>
      <c r="AJ470" s="524"/>
      <c r="AK470" s="524"/>
      <c r="AL470" s="138"/>
      <c r="AM470" s="138"/>
      <c r="AN470" s="138"/>
      <c r="AO470" s="138"/>
      <c r="AP470" s="138"/>
      <c r="AQ470" s="138"/>
      <c r="AR470" s="138"/>
      <c r="AS470" s="78"/>
      <c r="AT470" s="78"/>
      <c r="AU470" s="78"/>
      <c r="AV470" s="98"/>
      <c r="AW470" s="98"/>
      <c r="AX470" s="98"/>
      <c r="AY470" s="98"/>
      <c r="AZ470" s="524"/>
      <c r="BA470" s="524"/>
      <c r="BB470" s="530"/>
      <c r="BC470" s="524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77"/>
      <c r="BX470" s="77"/>
      <c r="BY470" s="77"/>
      <c r="BZ470" s="77"/>
      <c r="CA470" s="77"/>
    </row>
    <row r="471" spans="4:87" x14ac:dyDescent="0.3">
      <c r="D471" s="425">
        <v>7.1999999999999995E-2</v>
      </c>
      <c r="H471" s="1">
        <f>+AA204*H469</f>
        <v>28746.886000000002</v>
      </c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10"/>
      <c r="AE471" s="10"/>
      <c r="AF471" s="507"/>
      <c r="AG471" s="526">
        <v>44031</v>
      </c>
      <c r="AH471" s="507"/>
      <c r="AI471" s="507"/>
      <c r="AJ471" s="524"/>
      <c r="AK471" s="524"/>
      <c r="AL471" s="138"/>
      <c r="AM471" s="138"/>
      <c r="AN471" s="138"/>
      <c r="AO471" s="138"/>
      <c r="AP471" s="138"/>
      <c r="AQ471" s="138"/>
      <c r="AR471" s="138"/>
      <c r="AS471" s="138"/>
      <c r="AT471" s="98"/>
      <c r="AU471" s="78"/>
      <c r="AV471" s="98"/>
      <c r="AW471" s="98"/>
      <c r="AX471" s="98"/>
      <c r="AY471" s="98"/>
      <c r="AZ471" s="524"/>
      <c r="BA471" s="524"/>
      <c r="BB471" s="530"/>
      <c r="BC471" s="524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77"/>
      <c r="BX471" s="77"/>
      <c r="BY471" s="77"/>
      <c r="BZ471" s="77"/>
      <c r="CA471" s="77"/>
    </row>
    <row r="472" spans="4:87" x14ac:dyDescent="0.3"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10"/>
      <c r="AE472" s="10"/>
      <c r="AF472" s="507"/>
      <c r="AG472" s="526">
        <v>44038</v>
      </c>
      <c r="AH472" s="507"/>
      <c r="AI472" s="507"/>
      <c r="AJ472" s="524"/>
      <c r="AK472" s="524"/>
      <c r="AL472" s="78"/>
      <c r="AM472" s="78"/>
      <c r="AN472" s="139"/>
      <c r="AO472" s="139"/>
      <c r="AP472" s="139"/>
      <c r="AQ472" s="139"/>
      <c r="AR472" s="139"/>
      <c r="AS472" s="78"/>
      <c r="AT472" s="78"/>
      <c r="AU472" s="78"/>
      <c r="AV472" s="98"/>
      <c r="AW472" s="98"/>
      <c r="AX472" s="98"/>
      <c r="AY472" s="98"/>
      <c r="AZ472" s="524"/>
      <c r="BA472" s="524"/>
      <c r="BB472" s="530"/>
      <c r="BC472" s="524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77"/>
      <c r="BX472" s="77"/>
      <c r="BY472" s="77"/>
      <c r="BZ472" s="77"/>
      <c r="CA472" s="77"/>
    </row>
    <row r="473" spans="4:87" x14ac:dyDescent="0.3">
      <c r="D473" s="235">
        <v>4.2000000000000003E-2</v>
      </c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10"/>
      <c r="AE473" s="10"/>
      <c r="AF473" s="507"/>
      <c r="AG473" s="526">
        <v>44045</v>
      </c>
      <c r="AH473" s="507"/>
      <c r="AI473" s="507"/>
      <c r="AJ473" s="524"/>
      <c r="AK473" s="524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98"/>
      <c r="AW473" s="98"/>
      <c r="AX473" s="98"/>
      <c r="AY473" s="98"/>
      <c r="AZ473" s="524"/>
      <c r="BA473" s="524"/>
      <c r="BB473" s="530"/>
      <c r="BC473" s="524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4:87" x14ac:dyDescent="0.3">
      <c r="D474" s="531">
        <f>+D469*D471*D473</f>
        <v>1000944.0000000001</v>
      </c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10"/>
      <c r="AE474" s="10"/>
      <c r="AF474" s="507"/>
      <c r="AG474" s="526">
        <v>44052</v>
      </c>
      <c r="AH474" s="507"/>
      <c r="AI474" s="507"/>
      <c r="AJ474" s="524"/>
      <c r="AK474" s="524"/>
      <c r="AL474" s="78"/>
      <c r="AM474" s="78"/>
      <c r="AN474" s="139"/>
      <c r="AO474" s="139"/>
      <c r="AP474" s="139"/>
      <c r="AQ474" s="139"/>
      <c r="AR474" s="139"/>
      <c r="AS474" s="139"/>
      <c r="AT474" s="139"/>
      <c r="AU474" s="78"/>
      <c r="AV474" s="98"/>
      <c r="AW474" s="98"/>
      <c r="AX474" s="98"/>
      <c r="AY474" s="98"/>
      <c r="AZ474" s="524"/>
      <c r="BA474" s="524"/>
      <c r="BB474" s="530"/>
      <c r="BC474" s="524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4:87" x14ac:dyDescent="0.3"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10"/>
      <c r="AE475" s="10"/>
      <c r="AF475" s="507"/>
      <c r="AG475" s="526"/>
      <c r="AH475" s="507"/>
      <c r="AI475" s="507"/>
      <c r="AJ475" s="524"/>
      <c r="AK475" s="524"/>
      <c r="AL475" s="78"/>
      <c r="AM475" s="78"/>
      <c r="AN475" s="139"/>
      <c r="AO475" s="139"/>
      <c r="AP475" s="139"/>
      <c r="AQ475" s="139"/>
      <c r="AR475" s="139"/>
      <c r="AS475" s="139"/>
      <c r="AT475" s="139"/>
      <c r="AU475" s="78"/>
      <c r="AV475" s="98"/>
      <c r="AW475" s="98"/>
      <c r="AX475" s="98"/>
      <c r="AY475" s="98"/>
      <c r="AZ475" s="524"/>
      <c r="BA475" s="524"/>
      <c r="BB475" s="530"/>
      <c r="BC475" s="524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4:87" x14ac:dyDescent="0.3"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10"/>
      <c r="AE476" s="10"/>
      <c r="AF476" s="507"/>
      <c r="AG476" s="526"/>
      <c r="AH476" s="507"/>
      <c r="AI476" s="507"/>
      <c r="AJ476" s="524"/>
      <c r="AK476" s="524"/>
      <c r="AL476" s="78"/>
      <c r="AM476" s="78"/>
      <c r="AN476" s="139"/>
      <c r="AO476" s="139"/>
      <c r="AP476" s="139"/>
      <c r="AQ476" s="139"/>
      <c r="AR476" s="139"/>
      <c r="AS476" s="139"/>
      <c r="AT476" s="139"/>
      <c r="AU476" s="78"/>
      <c r="AV476" s="98"/>
      <c r="AW476" s="98"/>
      <c r="AX476" s="98"/>
      <c r="AY476" s="98"/>
      <c r="AZ476" s="524"/>
      <c r="BA476" s="524"/>
      <c r="BB476" s="530"/>
      <c r="BC476" s="524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4:87" x14ac:dyDescent="0.3"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10"/>
      <c r="AE477" s="10"/>
      <c r="AF477" s="507"/>
      <c r="AG477" s="528"/>
      <c r="AH477" s="507"/>
      <c r="AI477" s="507"/>
      <c r="AJ477" s="524"/>
      <c r="AK477" s="524"/>
      <c r="AL477" s="78"/>
      <c r="AM477" s="78"/>
      <c r="AN477" s="139"/>
      <c r="AO477" s="139"/>
      <c r="AP477" s="139"/>
      <c r="AQ477" s="139"/>
      <c r="AR477" s="139"/>
      <c r="AS477" s="139"/>
      <c r="AT477" s="139"/>
      <c r="AU477" s="78"/>
      <c r="AV477" s="98"/>
      <c r="AW477" s="98"/>
      <c r="AX477" s="98"/>
      <c r="AY477" s="98"/>
      <c r="AZ477" s="524"/>
      <c r="BA477" s="524"/>
      <c r="BB477" s="530"/>
      <c r="BC477" s="524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4:87" x14ac:dyDescent="0.3"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10"/>
      <c r="AE478" s="10"/>
      <c r="AF478" s="507"/>
      <c r="AG478" s="507"/>
      <c r="AH478" s="507"/>
      <c r="AI478" s="507"/>
      <c r="AJ478" s="524"/>
      <c r="AK478" s="524"/>
      <c r="AL478" s="78"/>
      <c r="AM478" s="78"/>
      <c r="AN478" s="139"/>
      <c r="AO478" s="139"/>
      <c r="AP478" s="139"/>
      <c r="AQ478" s="139"/>
      <c r="AR478" s="139"/>
      <c r="AS478" s="139"/>
      <c r="AT478" s="139"/>
      <c r="AU478" s="78"/>
      <c r="AV478" s="98"/>
      <c r="AW478" s="98"/>
      <c r="AX478" s="98"/>
      <c r="AY478" s="98"/>
      <c r="AZ478" s="524"/>
      <c r="BA478" s="524"/>
      <c r="BB478" s="530"/>
      <c r="BC478" s="524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4:87" x14ac:dyDescent="0.3"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10"/>
      <c r="AE479" s="10"/>
      <c r="AF479" s="507"/>
      <c r="AG479" s="507"/>
      <c r="AH479" s="507"/>
      <c r="AI479" s="507"/>
      <c r="AJ479" s="524"/>
      <c r="AK479" s="524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78"/>
      <c r="AW479" s="78"/>
      <c r="AX479" s="78"/>
      <c r="AY479" s="78"/>
      <c r="AZ479" s="524"/>
      <c r="BA479" s="530"/>
      <c r="BB479" s="530"/>
      <c r="BC479" s="524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4:87" x14ac:dyDescent="0.3">
      <c r="AD480" s="10"/>
      <c r="AE480" s="10"/>
      <c r="AF480" s="507"/>
      <c r="AG480" s="507"/>
      <c r="AH480" s="507"/>
      <c r="AI480" s="507"/>
      <c r="AJ480" s="524"/>
      <c r="AK480" s="524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78"/>
      <c r="AW480" s="78"/>
      <c r="AX480" s="78"/>
      <c r="AY480" s="78"/>
      <c r="AZ480" s="524"/>
      <c r="BA480" s="530"/>
      <c r="BB480" s="530"/>
      <c r="BC480" s="524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2:79" ht="15" thickBot="1" x14ac:dyDescent="0.35">
      <c r="B481" s="500"/>
      <c r="C481" s="500"/>
      <c r="D481" s="500"/>
      <c r="E481" s="500"/>
      <c r="F481" s="500"/>
      <c r="G481" s="500"/>
      <c r="H481" s="500"/>
      <c r="I481" s="500"/>
      <c r="J481" s="500"/>
      <c r="K481" s="500"/>
      <c r="L481" s="500"/>
      <c r="M481" s="500"/>
      <c r="N481" s="500"/>
      <c r="O481" s="500"/>
      <c r="P481" s="500"/>
      <c r="Q481" s="500"/>
      <c r="R481" s="500"/>
      <c r="S481" s="500"/>
      <c r="T481" s="500"/>
      <c r="U481" s="500"/>
      <c r="V481" s="500"/>
      <c r="AD481" s="10"/>
      <c r="AE481" s="10"/>
      <c r="AF481" s="507"/>
      <c r="AG481" s="507"/>
      <c r="AH481" s="507"/>
      <c r="AI481" s="507"/>
      <c r="AJ481" s="524"/>
      <c r="AK481" s="524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78"/>
      <c r="AW481" s="78"/>
      <c r="AX481" s="78"/>
      <c r="AY481" s="78"/>
      <c r="AZ481" s="524"/>
      <c r="BA481" s="530"/>
      <c r="BB481" s="530"/>
      <c r="BC481" s="524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2:79" x14ac:dyDescent="0.3">
      <c r="B482" s="500"/>
      <c r="C482" s="510"/>
      <c r="D482" s="357"/>
      <c r="E482" s="357"/>
      <c r="F482" s="357"/>
      <c r="G482" s="357"/>
      <c r="H482" s="357"/>
      <c r="I482" s="357"/>
      <c r="J482" s="357"/>
      <c r="K482" s="357"/>
      <c r="L482" s="357"/>
      <c r="M482" s="357"/>
      <c r="N482" s="357"/>
      <c r="O482" s="357"/>
      <c r="P482" s="511"/>
      <c r="V482" s="500"/>
      <c r="AD482" s="10"/>
      <c r="AE482" s="10"/>
      <c r="AF482" s="507"/>
      <c r="AG482" s="507"/>
      <c r="AH482" s="507"/>
      <c r="AI482" s="507"/>
      <c r="AJ482" s="524"/>
      <c r="AK482" s="524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78"/>
      <c r="AW482" s="78"/>
      <c r="AX482" s="78"/>
      <c r="AY482" s="78"/>
      <c r="AZ482" s="524"/>
      <c r="BA482" s="530"/>
      <c r="BB482" s="530"/>
      <c r="BC482" s="524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2:79" x14ac:dyDescent="0.3">
      <c r="B483" s="500"/>
      <c r="C483" s="512"/>
      <c r="D483" s="502" t="s">
        <v>149</v>
      </c>
      <c r="E483" s="387"/>
      <c r="F483" s="387"/>
      <c r="G483" s="387"/>
      <c r="H483" s="585" t="s">
        <v>20</v>
      </c>
      <c r="I483" s="585"/>
      <c r="J483" s="585"/>
      <c r="K483" s="387"/>
      <c r="L483" s="387"/>
      <c r="M483" s="387"/>
      <c r="N483" s="387"/>
      <c r="O483" s="387"/>
      <c r="P483" s="513"/>
      <c r="V483" s="500"/>
      <c r="AD483" s="10"/>
      <c r="AE483" s="10"/>
      <c r="AF483" s="507"/>
      <c r="AG483" s="507"/>
      <c r="AH483" s="507"/>
      <c r="AI483" s="507"/>
      <c r="AJ483" s="524"/>
      <c r="AK483" s="524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78"/>
      <c r="AW483" s="78"/>
      <c r="AX483" s="78"/>
      <c r="AY483" s="78"/>
      <c r="AZ483" s="524"/>
      <c r="BA483" s="530"/>
      <c r="BB483" s="530"/>
      <c r="BC483" s="524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2:79" x14ac:dyDescent="0.3">
      <c r="B484" s="500"/>
      <c r="C484" s="512"/>
      <c r="D484" s="514" t="s">
        <v>150</v>
      </c>
      <c r="E484" s="387"/>
      <c r="F484" s="387"/>
      <c r="G484" s="387"/>
      <c r="H484" s="515" t="s">
        <v>147</v>
      </c>
      <c r="I484" s="502"/>
      <c r="J484" s="516" t="s">
        <v>148</v>
      </c>
      <c r="K484" s="502"/>
      <c r="L484" s="502"/>
      <c r="M484" s="502"/>
      <c r="N484" s="502"/>
      <c r="O484" s="517" t="s">
        <v>3</v>
      </c>
      <c r="P484" s="513"/>
      <c r="V484" s="500"/>
      <c r="AD484" s="10"/>
      <c r="AE484" s="10"/>
      <c r="AF484" s="507"/>
      <c r="AG484" s="507"/>
      <c r="AH484" s="507"/>
      <c r="AI484" s="507"/>
      <c r="AJ484" s="524"/>
      <c r="AK484" s="524"/>
      <c r="AL484" s="529"/>
      <c r="AM484" s="529"/>
      <c r="AN484" s="529"/>
      <c r="AO484" s="529"/>
      <c r="AP484" s="529"/>
      <c r="AQ484" s="529"/>
      <c r="AR484" s="529"/>
      <c r="AS484" s="529"/>
      <c r="AT484" s="529"/>
      <c r="AU484" s="529"/>
      <c r="AV484" s="524"/>
      <c r="AW484" s="524"/>
      <c r="AX484" s="524"/>
      <c r="AY484" s="524"/>
      <c r="AZ484" s="524"/>
      <c r="BA484" s="530"/>
      <c r="BB484" s="530"/>
      <c r="BC484" s="524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2:79" x14ac:dyDescent="0.3">
      <c r="B485" s="500"/>
      <c r="C485" s="512"/>
      <c r="D485" s="503" t="s">
        <v>146</v>
      </c>
      <c r="E485" s="15"/>
      <c r="F485" s="15"/>
      <c r="G485" s="15"/>
      <c r="H485" s="518">
        <f>SUM(D133:D139)</f>
        <v>471981</v>
      </c>
      <c r="I485" s="15"/>
      <c r="J485" s="16">
        <f>+H485/7</f>
        <v>67425.857142857145</v>
      </c>
      <c r="K485" s="15"/>
      <c r="L485" s="15"/>
      <c r="M485" s="15"/>
      <c r="N485" s="15"/>
      <c r="O485" s="15"/>
      <c r="P485" s="513"/>
      <c r="V485" s="500"/>
      <c r="AD485" s="10"/>
      <c r="AE485" s="10"/>
      <c r="AF485" s="507"/>
      <c r="AG485" s="507"/>
      <c r="AH485" s="507"/>
      <c r="AI485" s="507"/>
      <c r="AJ485" s="524"/>
      <c r="AK485" s="524"/>
      <c r="AL485" s="529"/>
      <c r="AM485" s="529"/>
      <c r="AN485" s="529"/>
      <c r="AO485" s="529"/>
      <c r="AP485" s="529"/>
      <c r="AQ485" s="529"/>
      <c r="AR485" s="529"/>
      <c r="AS485" s="529"/>
      <c r="AT485" s="529"/>
      <c r="AU485" s="529"/>
      <c r="AV485" s="529"/>
      <c r="AW485" s="529"/>
      <c r="AX485" s="529"/>
      <c r="AY485" s="529"/>
      <c r="AZ485" s="524"/>
      <c r="BA485" s="524"/>
      <c r="BB485" s="530"/>
      <c r="BC485" s="524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2:79" x14ac:dyDescent="0.3">
      <c r="B486" s="500"/>
      <c r="C486" s="512"/>
      <c r="D486" s="503" t="s">
        <v>145</v>
      </c>
      <c r="E486" s="15"/>
      <c r="F486" s="15"/>
      <c r="G486" s="15"/>
      <c r="H486" s="16">
        <f>SUM(D140:D146)</f>
        <v>427527</v>
      </c>
      <c r="I486" s="15"/>
      <c r="J486" s="16">
        <f>+H486/7</f>
        <v>61075.285714285717</v>
      </c>
      <c r="K486" s="15"/>
      <c r="L486" s="15"/>
      <c r="M486" s="15"/>
      <c r="N486" s="15"/>
      <c r="O486" s="15"/>
      <c r="P486" s="513"/>
      <c r="V486" s="500"/>
      <c r="AJ486" s="98"/>
      <c r="AK486" s="98"/>
      <c r="AL486" s="98"/>
      <c r="AM486" s="98"/>
      <c r="AN486" s="98"/>
      <c r="AO486" s="98"/>
      <c r="AP486" s="98"/>
      <c r="AQ486" s="98"/>
      <c r="AR486" s="98"/>
      <c r="AS486" s="98"/>
      <c r="AT486" s="78"/>
      <c r="AU486" s="98"/>
      <c r="AV486" s="140"/>
      <c r="AW486" s="140"/>
      <c r="AX486" s="140"/>
      <c r="AY486" s="140"/>
      <c r="AZ486" s="98"/>
      <c r="BA486" s="98"/>
      <c r="BB486" s="98"/>
      <c r="BC486" s="98"/>
    </row>
    <row r="487" spans="2:79" x14ac:dyDescent="0.3">
      <c r="B487" s="506"/>
      <c r="C487" s="512"/>
      <c r="D487" s="503" t="s">
        <v>144</v>
      </c>
      <c r="E487" s="15"/>
      <c r="F487" s="15"/>
      <c r="G487" s="15"/>
      <c r="H487" s="16">
        <f>SUM(D147:D153)</f>
        <v>383516</v>
      </c>
      <c r="I487" s="15"/>
      <c r="J487" s="16">
        <f>+H487/7</f>
        <v>54788</v>
      </c>
      <c r="K487" s="15"/>
      <c r="L487" s="15"/>
      <c r="M487" s="15"/>
      <c r="N487" s="15"/>
      <c r="O487" s="518">
        <f>+H485-H487</f>
        <v>88465</v>
      </c>
      <c r="P487" s="513"/>
      <c r="V487" s="500"/>
      <c r="AA487">
        <f>+O487/7</f>
        <v>12637.857142857143</v>
      </c>
      <c r="AJ487" s="98"/>
      <c r="AK487" s="98"/>
      <c r="AL487" s="98"/>
      <c r="AM487" s="98"/>
      <c r="AN487" s="98"/>
      <c r="AO487" s="98"/>
      <c r="AP487" s="98"/>
      <c r="AQ487" s="98"/>
      <c r="AR487" s="98"/>
      <c r="AS487" s="98"/>
      <c r="AT487" s="98"/>
      <c r="AU487" s="98"/>
      <c r="AV487" s="78"/>
      <c r="AW487" s="78"/>
      <c r="AX487" s="78"/>
      <c r="AY487" s="78"/>
      <c r="AZ487" s="98"/>
      <c r="BA487" s="141"/>
      <c r="BB487" s="98"/>
      <c r="BC487" s="98"/>
    </row>
    <row r="488" spans="2:79" x14ac:dyDescent="0.3">
      <c r="B488" s="507"/>
      <c r="C488" s="512"/>
      <c r="D488" s="519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60">
        <f>+O487/H485</f>
        <v>0.18743339244588236</v>
      </c>
      <c r="P488" s="513"/>
      <c r="V488" s="500"/>
      <c r="X488" s="61"/>
      <c r="Y488" s="61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78">
        <v>480454</v>
      </c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</row>
    <row r="489" spans="2:79" ht="15" thickBot="1" x14ac:dyDescent="0.35">
      <c r="B489" s="507"/>
      <c r="C489" s="520"/>
      <c r="D489" s="521"/>
      <c r="E489" s="521"/>
      <c r="F489" s="521"/>
      <c r="G489" s="521"/>
      <c r="H489" s="521"/>
      <c r="I489" s="521"/>
      <c r="J489" s="522"/>
      <c r="K489" s="521"/>
      <c r="L489" s="521"/>
      <c r="M489" s="521"/>
      <c r="N489" s="521"/>
      <c r="O489" s="521"/>
      <c r="P489" s="523"/>
      <c r="V489" s="500"/>
      <c r="X489" s="61"/>
      <c r="Y489" s="61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98"/>
      <c r="AP489" s="140">
        <f>+N201</f>
        <v>290088</v>
      </c>
      <c r="AQ489" s="98"/>
      <c r="AR489" s="98"/>
      <c r="AS489" s="98"/>
      <c r="AT489" s="98"/>
      <c r="AU489" s="98"/>
      <c r="AV489" s="98"/>
      <c r="AW489" s="98"/>
      <c r="AX489" s="98"/>
      <c r="AY489" s="98"/>
      <c r="AZ489" s="98"/>
      <c r="BA489" s="98"/>
      <c r="BB489" s="98"/>
      <c r="BC489" s="98"/>
    </row>
    <row r="490" spans="2:79" x14ac:dyDescent="0.3">
      <c r="B490" s="507"/>
      <c r="C490" s="500"/>
      <c r="D490" s="508"/>
      <c r="E490" s="500"/>
      <c r="F490" s="500"/>
      <c r="G490" s="500"/>
      <c r="H490" s="509"/>
      <c r="I490" s="500"/>
      <c r="J490" s="500"/>
      <c r="K490" s="500"/>
      <c r="L490" s="500"/>
      <c r="M490" s="500"/>
      <c r="N490" s="500"/>
      <c r="O490" s="500"/>
      <c r="P490" s="500"/>
      <c r="Q490" s="500"/>
      <c r="R490" s="500"/>
      <c r="S490" s="500"/>
      <c r="T490" s="500"/>
      <c r="U490" s="500"/>
      <c r="V490" s="500"/>
      <c r="X490" s="61"/>
      <c r="Y490" s="61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98"/>
      <c r="AP490" s="140">
        <f>+AP488-AP489</f>
        <v>190366</v>
      </c>
      <c r="AQ490" s="98"/>
      <c r="AR490" s="98"/>
    </row>
    <row r="491" spans="2:79" x14ac:dyDescent="0.3">
      <c r="B491" s="1"/>
      <c r="D491" s="55"/>
      <c r="X491" s="61"/>
      <c r="Y491" s="61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98"/>
      <c r="AP491" s="84">
        <f>+AP490/AP488</f>
        <v>0.3962210742339537</v>
      </c>
      <c r="AQ491" s="98"/>
      <c r="AR491" s="98"/>
    </row>
    <row r="492" spans="2:79" x14ac:dyDescent="0.3">
      <c r="B492" s="55"/>
      <c r="D492" s="55"/>
      <c r="J492" s="56">
        <f>+J485-J487</f>
        <v>12637.857142857145</v>
      </c>
      <c r="X492" s="61"/>
      <c r="Y492" s="61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98"/>
      <c r="AP492" s="98"/>
      <c r="AQ492" s="98"/>
      <c r="AR492" s="98"/>
    </row>
    <row r="493" spans="2:79" x14ac:dyDescent="0.3">
      <c r="B493" s="57"/>
      <c r="D493" s="55"/>
      <c r="X493" s="61"/>
      <c r="Y493" s="61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98"/>
      <c r="AP493" s="98"/>
      <c r="AQ493" s="98"/>
      <c r="AR493" s="98"/>
    </row>
    <row r="494" spans="2:79" x14ac:dyDescent="0.3">
      <c r="B494" s="1"/>
      <c r="D494" s="55"/>
      <c r="X494" s="61"/>
      <c r="Y494" s="61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98"/>
      <c r="AP494" s="98"/>
      <c r="AQ494" s="98"/>
      <c r="AR494" s="98"/>
    </row>
    <row r="495" spans="2:79" x14ac:dyDescent="0.3">
      <c r="B495" s="1"/>
      <c r="D495" s="55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</row>
    <row r="496" spans="2:79" x14ac:dyDescent="0.3">
      <c r="B496" s="1"/>
      <c r="D496" s="55"/>
      <c r="AT496" s="500"/>
      <c r="AU496" s="500"/>
      <c r="AV496" s="500"/>
      <c r="AW496" s="500"/>
      <c r="AX496" s="500"/>
      <c r="AY496" s="500"/>
      <c r="AZ496" s="500"/>
      <c r="BA496" s="500"/>
      <c r="BB496" s="500"/>
      <c r="BC496" s="500"/>
      <c r="BD496" s="500"/>
      <c r="BE496" s="500"/>
      <c r="BF496" s="500"/>
      <c r="BG496" s="500"/>
      <c r="BH496" s="500"/>
      <c r="BI496" s="500"/>
    </row>
    <row r="497" spans="2:61" ht="15.6" x14ac:dyDescent="0.3">
      <c r="B497" s="1"/>
      <c r="D497" s="55"/>
      <c r="AT497" s="500"/>
      <c r="AU497" s="533"/>
      <c r="AV497" s="534"/>
      <c r="AW497" s="534"/>
      <c r="AX497" s="534"/>
      <c r="AY497" s="534"/>
      <c r="AZ497" s="534"/>
      <c r="BA497" s="534"/>
      <c r="BB497" s="534"/>
      <c r="BC497" s="534"/>
      <c r="BD497" s="534"/>
      <c r="BE497" s="534" t="s">
        <v>156</v>
      </c>
      <c r="BF497" s="534"/>
      <c r="BG497" s="534" t="s">
        <v>2</v>
      </c>
      <c r="BH497" s="533"/>
      <c r="BI497" s="500"/>
    </row>
    <row r="498" spans="2:61" ht="16.2" thickBot="1" x14ac:dyDescent="0.35">
      <c r="B498" s="57" t="e">
        <f>+B497/B496</f>
        <v>#DIV/0!</v>
      </c>
      <c r="D498" s="55"/>
      <c r="AT498" s="500"/>
      <c r="AU498" s="533"/>
      <c r="AV498" s="581" t="s">
        <v>155</v>
      </c>
      <c r="AW498" s="581"/>
      <c r="AX498" s="581"/>
      <c r="AY498" s="534"/>
      <c r="AZ498" s="534"/>
      <c r="BA498" s="535" t="s">
        <v>20</v>
      </c>
      <c r="BB498" s="534"/>
      <c r="BC498" s="535" t="s">
        <v>3</v>
      </c>
      <c r="BD498" s="534"/>
      <c r="BE498" s="535" t="s">
        <v>65</v>
      </c>
      <c r="BF498" s="534"/>
      <c r="BG498" s="535" t="s">
        <v>65</v>
      </c>
      <c r="BH498" s="533"/>
      <c r="BI498" s="500"/>
    </row>
    <row r="499" spans="2:61" ht="21" x14ac:dyDescent="0.4">
      <c r="B499" s="1"/>
      <c r="D499" s="55"/>
      <c r="AT499" s="500"/>
      <c r="AU499" s="533"/>
      <c r="AV499" s="536" t="s">
        <v>143</v>
      </c>
      <c r="AW499" s="533"/>
      <c r="AX499" s="537"/>
      <c r="AY499" s="533"/>
      <c r="AZ499" s="533"/>
      <c r="BA499" s="538">
        <f>+N143</f>
        <v>1970617</v>
      </c>
      <c r="BB499" s="537"/>
      <c r="BC499" s="537"/>
      <c r="BD499" s="537"/>
      <c r="BE499" s="537"/>
      <c r="BF499" s="537"/>
      <c r="BG499" s="537"/>
      <c r="BH499" s="533"/>
      <c r="BI499" s="500"/>
    </row>
    <row r="500" spans="2:61" ht="21" x14ac:dyDescent="0.4">
      <c r="B500" s="1"/>
      <c r="D500" s="55"/>
      <c r="AT500" s="500"/>
      <c r="AU500" s="533"/>
      <c r="AV500" s="536" t="s">
        <v>151</v>
      </c>
      <c r="AW500" s="533"/>
      <c r="AX500" s="537"/>
      <c r="AY500" s="533"/>
      <c r="AZ500" s="533"/>
      <c r="BA500" s="538">
        <f>+N174</f>
        <v>1493931</v>
      </c>
      <c r="BB500" s="537"/>
      <c r="BC500" s="538">
        <f>+BA500-BA499</f>
        <v>-476686</v>
      </c>
      <c r="BD500" s="537"/>
      <c r="BE500" s="539">
        <f>+BC500/BA499</f>
        <v>-0.24189682723735764</v>
      </c>
      <c r="BF500" s="537"/>
      <c r="BG500" s="537"/>
      <c r="BH500" s="533"/>
      <c r="BI500" s="500"/>
    </row>
    <row r="501" spans="2:61" ht="21" x14ac:dyDescent="0.4">
      <c r="B501" s="1">
        <f>+B497*50</f>
        <v>0</v>
      </c>
      <c r="D501" s="55"/>
      <c r="AT501" s="500"/>
      <c r="AU501" s="533"/>
      <c r="AV501" s="536" t="s">
        <v>152</v>
      </c>
      <c r="AW501" s="533"/>
      <c r="AX501" s="537"/>
      <c r="AY501" s="533"/>
      <c r="AZ501" s="533"/>
      <c r="BA501" s="538">
        <f>+N204</f>
        <v>1202331</v>
      </c>
      <c r="BB501" s="537"/>
      <c r="BC501" s="538">
        <f>+BA501-BA500</f>
        <v>-291600</v>
      </c>
      <c r="BD501" s="537"/>
      <c r="BE501" s="539">
        <f>+BC501/BA500</f>
        <v>-0.19518973767864781</v>
      </c>
      <c r="BF501" s="537"/>
      <c r="BG501" s="537"/>
      <c r="BH501" s="533"/>
      <c r="BI501" s="500"/>
    </row>
    <row r="502" spans="2:61" ht="21" x14ac:dyDescent="0.4">
      <c r="B502" s="1"/>
      <c r="D502" s="55"/>
      <c r="AT502" s="500"/>
      <c r="AU502" s="533"/>
      <c r="AV502" s="536" t="s">
        <v>153</v>
      </c>
      <c r="AW502" s="533"/>
      <c r="AX502" s="537"/>
      <c r="AY502" s="533"/>
      <c r="AZ502" s="540" t="s">
        <v>26</v>
      </c>
      <c r="BA502" s="538">
        <f>+N218</f>
        <v>371489</v>
      </c>
      <c r="BB502" s="537"/>
      <c r="BC502" s="538">
        <f>+BA502-BA501</f>
        <v>-830842</v>
      </c>
      <c r="BD502" s="537"/>
      <c r="BE502" s="539">
        <f>+BC502/BA501</f>
        <v>-0.69102601529861574</v>
      </c>
      <c r="BF502" s="537"/>
      <c r="BG502" s="539">
        <f>+(BA502-BA499)/BA499</f>
        <v>-0.81148594577231392</v>
      </c>
      <c r="BH502" s="533"/>
      <c r="BI502" s="500"/>
    </row>
    <row r="503" spans="2:61" x14ac:dyDescent="0.3">
      <c r="B503" s="1"/>
      <c r="D503" s="55"/>
      <c r="AT503" s="500"/>
      <c r="AU503" s="533"/>
      <c r="AV503" s="533"/>
      <c r="AW503" s="533"/>
      <c r="AX503" s="533"/>
      <c r="AY503" s="533"/>
      <c r="AZ503" s="533"/>
      <c r="BA503" s="533"/>
      <c r="BB503" s="533"/>
      <c r="BC503" s="533"/>
      <c r="BD503" s="533"/>
      <c r="BE503" s="533"/>
      <c r="BF503" s="533"/>
      <c r="BG503" s="533"/>
      <c r="BH503" s="533"/>
      <c r="BI503" s="500"/>
    </row>
    <row r="504" spans="2:61" ht="16.2" x14ac:dyDescent="0.3">
      <c r="B504" s="1"/>
      <c r="D504" s="55"/>
      <c r="AT504" s="500"/>
      <c r="AU504" s="533"/>
      <c r="AV504" s="533"/>
      <c r="AW504" s="533"/>
      <c r="AX504" s="541" t="s">
        <v>26</v>
      </c>
      <c r="AY504" s="533"/>
      <c r="AZ504" s="542" t="s">
        <v>154</v>
      </c>
      <c r="BA504" s="533"/>
      <c r="BB504" s="533"/>
      <c r="BC504" s="533"/>
      <c r="BD504" s="533"/>
      <c r="BE504" s="533"/>
      <c r="BF504" s="533"/>
      <c r="BG504" s="533"/>
      <c r="BH504" s="533"/>
      <c r="BI504" s="500"/>
    </row>
    <row r="505" spans="2:61" x14ac:dyDescent="0.3">
      <c r="B505" s="1"/>
      <c r="D505" s="55"/>
      <c r="AT505" s="500"/>
      <c r="AU505" s="533"/>
      <c r="AV505" s="533"/>
      <c r="AW505" s="533"/>
      <c r="AX505" s="533"/>
      <c r="AY505" s="533"/>
      <c r="AZ505" s="533"/>
      <c r="BA505" s="533"/>
      <c r="BB505" s="533"/>
      <c r="BC505" s="533"/>
      <c r="BD505" s="533"/>
      <c r="BE505" s="533"/>
      <c r="BF505" s="533"/>
      <c r="BG505" s="533"/>
      <c r="BH505" s="533"/>
      <c r="BI505" s="500"/>
    </row>
    <row r="506" spans="2:61" x14ac:dyDescent="0.3">
      <c r="B506" s="1"/>
      <c r="D506" s="55"/>
      <c r="AT506" s="532"/>
      <c r="AU506" s="532"/>
      <c r="AV506" s="532"/>
      <c r="AW506" s="532"/>
      <c r="AX506" s="532"/>
      <c r="AY506" s="532"/>
      <c r="AZ506" s="532"/>
      <c r="BA506" s="532"/>
      <c r="BB506" s="532"/>
      <c r="BC506" s="532"/>
      <c r="BD506" s="532"/>
      <c r="BE506" s="532"/>
      <c r="BF506" s="532"/>
      <c r="BG506" s="532"/>
      <c r="BH506" s="532"/>
      <c r="BI506" s="532"/>
    </row>
    <row r="507" spans="2:61" x14ac:dyDescent="0.3">
      <c r="B507" s="1"/>
      <c r="D507" s="55"/>
    </row>
    <row r="508" spans="2:61" x14ac:dyDescent="0.3">
      <c r="B508" s="1"/>
      <c r="D508" s="55"/>
      <c r="AS508" s="61"/>
      <c r="AT508" s="500"/>
      <c r="AU508" s="500"/>
      <c r="AV508" s="500"/>
      <c r="AW508" s="500"/>
      <c r="AX508" s="500"/>
      <c r="AY508" s="500"/>
      <c r="AZ508" s="500"/>
      <c r="BA508" s="500"/>
      <c r="BB508" s="500"/>
      <c r="BC508" s="500"/>
      <c r="BD508" s="500"/>
      <c r="BE508" s="500"/>
      <c r="BF508" s="500"/>
      <c r="BG508" s="500"/>
      <c r="BH508" s="500"/>
      <c r="BI508" s="500"/>
    </row>
    <row r="509" spans="2:61" x14ac:dyDescent="0.3">
      <c r="B509" s="1"/>
      <c r="D509" s="55"/>
      <c r="AT509" s="500"/>
      <c r="AU509" s="550"/>
      <c r="AV509" s="550"/>
      <c r="AW509" s="550"/>
      <c r="AX509" s="550"/>
      <c r="AY509" s="550"/>
      <c r="AZ509" s="550"/>
      <c r="BA509" s="550"/>
      <c r="BB509" s="550"/>
      <c r="BC509" s="550"/>
      <c r="BD509" s="550"/>
      <c r="BE509" s="550"/>
      <c r="BF509" s="550"/>
      <c r="BG509" s="550"/>
      <c r="BH509" s="550"/>
      <c r="BI509" s="500"/>
    </row>
    <row r="510" spans="2:61" ht="15" thickBot="1" x14ac:dyDescent="0.35">
      <c r="B510" s="1"/>
      <c r="D510" s="55"/>
      <c r="AT510" s="500"/>
      <c r="AU510" s="550"/>
      <c r="AV510" s="589" t="s">
        <v>160</v>
      </c>
      <c r="AW510" s="589"/>
      <c r="AX510" s="589"/>
      <c r="AY510" s="551"/>
      <c r="AZ510" s="551"/>
      <c r="BA510" s="552" t="s">
        <v>23</v>
      </c>
      <c r="BB510" s="553"/>
      <c r="BC510" s="552" t="s">
        <v>3</v>
      </c>
      <c r="BD510" s="553"/>
      <c r="BE510" s="552" t="s">
        <v>20</v>
      </c>
      <c r="BF510" s="553"/>
      <c r="BG510" s="552" t="s">
        <v>21</v>
      </c>
      <c r="BH510" s="550"/>
      <c r="BI510" s="500"/>
    </row>
    <row r="511" spans="2:61" x14ac:dyDescent="0.3">
      <c r="B511" s="1"/>
      <c r="AT511" s="500"/>
      <c r="AU511" s="550"/>
      <c r="AV511" s="551" t="s">
        <v>143</v>
      </c>
      <c r="AW511" s="551"/>
      <c r="AX511" s="551"/>
      <c r="AY511" s="551"/>
      <c r="AZ511" s="551"/>
      <c r="BA511" s="554">
        <f>+BK275</f>
        <v>13351981</v>
      </c>
      <c r="BB511" s="551"/>
      <c r="BC511" s="551"/>
      <c r="BD511" s="551"/>
      <c r="BE511" s="555">
        <f>+N143</f>
        <v>1970617</v>
      </c>
      <c r="BF511" s="551"/>
      <c r="BG511" s="556">
        <f>+BE511/BA511</f>
        <v>0.14758985951223269</v>
      </c>
      <c r="BH511" s="550"/>
      <c r="BI511" s="500"/>
    </row>
    <row r="512" spans="2:61" x14ac:dyDescent="0.3">
      <c r="B512" s="1"/>
      <c r="AT512" s="500"/>
      <c r="AU512" s="550"/>
      <c r="AV512" s="551"/>
      <c r="AW512" s="551"/>
      <c r="AX512" s="551"/>
      <c r="AY512" s="551"/>
      <c r="AZ512" s="551"/>
      <c r="BA512" s="554"/>
      <c r="BB512" s="551"/>
      <c r="BC512" s="551"/>
      <c r="BD512" s="551"/>
      <c r="BE512" s="551"/>
      <c r="BF512" s="551"/>
      <c r="BG512" s="556"/>
      <c r="BH512" s="550"/>
      <c r="BI512" s="500"/>
    </row>
    <row r="513" spans="2:68" x14ac:dyDescent="0.3">
      <c r="B513" s="1"/>
      <c r="AT513" s="500"/>
      <c r="AU513" s="550"/>
      <c r="AV513" s="551" t="s">
        <v>159</v>
      </c>
      <c r="AW513" s="551"/>
      <c r="AX513" s="551"/>
      <c r="AY513" s="551"/>
      <c r="AZ513" s="551"/>
      <c r="BA513" s="554">
        <v>52440389</v>
      </c>
      <c r="BB513" s="551"/>
      <c r="BC513" s="556">
        <f>+(BA513-BA511)/BA511</f>
        <v>2.9275362210296736</v>
      </c>
      <c r="BD513" s="551"/>
      <c r="BE513" s="555">
        <f>+N273</f>
        <v>1462688</v>
      </c>
      <c r="BF513" s="551"/>
      <c r="BG513" s="556">
        <f>+BE513/BA513</f>
        <v>2.7892394162064665E-2</v>
      </c>
      <c r="BH513" s="550"/>
      <c r="BI513" s="500"/>
    </row>
    <row r="514" spans="2:68" x14ac:dyDescent="0.3">
      <c r="B514" s="1"/>
      <c r="AT514" s="500"/>
      <c r="AU514" s="550"/>
      <c r="AV514" s="551"/>
      <c r="AW514" s="551"/>
      <c r="AX514" s="551"/>
      <c r="AY514" s="551"/>
      <c r="AZ514" s="551"/>
      <c r="BA514" s="554"/>
      <c r="BB514" s="551"/>
      <c r="BC514" s="551"/>
      <c r="BD514" s="551"/>
      <c r="BE514" s="551"/>
      <c r="BF514" s="551"/>
      <c r="BG514" s="551"/>
      <c r="BH514" s="550"/>
      <c r="BI514" s="500"/>
    </row>
    <row r="515" spans="2:68" x14ac:dyDescent="0.3">
      <c r="B515" s="1"/>
      <c r="AT515" s="500"/>
      <c r="AU515" s="550"/>
      <c r="AV515" s="578" t="s">
        <v>105</v>
      </c>
      <c r="AW515" s="578"/>
      <c r="AX515" s="578"/>
      <c r="AY515" s="578"/>
      <c r="AZ515" s="551"/>
      <c r="BA515" s="555">
        <f>+BA513-BA511</f>
        <v>39088408</v>
      </c>
      <c r="BB515" s="551"/>
      <c r="BC515" s="551"/>
      <c r="BD515" s="551"/>
      <c r="BE515" s="555">
        <f>+BE513-BE511</f>
        <v>-507929</v>
      </c>
      <c r="BF515" s="551"/>
      <c r="BG515" s="558"/>
      <c r="BH515" s="550"/>
      <c r="BI515" s="500"/>
    </row>
    <row r="516" spans="2:68" x14ac:dyDescent="0.3">
      <c r="B516" s="1"/>
      <c r="AT516" s="500"/>
      <c r="AU516" s="550"/>
      <c r="AV516" s="550"/>
      <c r="AW516" s="550"/>
      <c r="AX516" s="550"/>
      <c r="AY516" s="550"/>
      <c r="AZ516" s="550"/>
      <c r="BA516" s="550"/>
      <c r="BB516" s="550"/>
      <c r="BC516" s="550"/>
      <c r="BD516" s="550"/>
      <c r="BE516" s="550"/>
      <c r="BF516" s="550"/>
      <c r="BG516" s="550"/>
      <c r="BH516" s="550"/>
      <c r="BI516" s="500"/>
    </row>
    <row r="517" spans="2:68" x14ac:dyDescent="0.3">
      <c r="B517" s="1"/>
      <c r="AT517" s="500"/>
      <c r="AU517" s="500"/>
      <c r="AV517" s="500"/>
      <c r="AW517" s="500"/>
      <c r="AX517" s="500"/>
      <c r="AY517" s="500"/>
      <c r="AZ517" s="500"/>
      <c r="BA517" s="500"/>
      <c r="BB517" s="500"/>
      <c r="BC517" s="500"/>
      <c r="BD517" s="500"/>
      <c r="BE517" s="557"/>
      <c r="BF517" s="500"/>
      <c r="BG517" s="507"/>
      <c r="BH517" s="500"/>
      <c r="BI517" s="500"/>
    </row>
    <row r="518" spans="2:68" x14ac:dyDescent="0.3">
      <c r="B518" s="1"/>
    </row>
    <row r="519" spans="2:68" x14ac:dyDescent="0.3">
      <c r="B519" s="1"/>
    </row>
    <row r="520" spans="2:68" x14ac:dyDescent="0.3">
      <c r="B520" s="1"/>
      <c r="H520" s="1">
        <v>4000000</v>
      </c>
      <c r="AR520" s="500"/>
      <c r="AS520" s="500"/>
      <c r="AT520" s="500"/>
      <c r="AU520" s="500"/>
      <c r="AV520" s="500"/>
      <c r="AW520" s="500"/>
      <c r="AX520" s="500"/>
      <c r="AY520" s="500"/>
      <c r="AZ520" s="500"/>
      <c r="BA520" s="500"/>
      <c r="BB520" s="500"/>
      <c r="BC520" s="500"/>
      <c r="BD520" s="500"/>
      <c r="BE520" s="500"/>
      <c r="BF520" s="500"/>
      <c r="BG520" s="500"/>
      <c r="BH520" s="500"/>
      <c r="BI520" s="500"/>
    </row>
    <row r="521" spans="2:68" ht="15.6" x14ac:dyDescent="0.3">
      <c r="B521" s="1"/>
      <c r="H521" s="1"/>
      <c r="AR521" s="500"/>
      <c r="AS521" s="584" t="s">
        <v>171</v>
      </c>
      <c r="AT521" s="584"/>
      <c r="AU521" s="584"/>
      <c r="AV521" s="584"/>
      <c r="AW521" s="584"/>
      <c r="AX521" s="584"/>
      <c r="AY521" s="584"/>
      <c r="AZ521" s="584"/>
      <c r="BA521" s="584"/>
      <c r="BB521" s="584"/>
      <c r="BC521" s="584"/>
      <c r="BD521" s="584"/>
      <c r="BE521" s="584"/>
      <c r="BF521" s="584"/>
      <c r="BG521" s="584"/>
      <c r="BH521" s="584"/>
      <c r="BI521" s="500"/>
    </row>
    <row r="522" spans="2:68" x14ac:dyDescent="0.3">
      <c r="H522" s="1">
        <f>+H520/7</f>
        <v>571428.57142857148</v>
      </c>
      <c r="AR522" s="500"/>
      <c r="AS522" s="533"/>
      <c r="AT522" s="561"/>
      <c r="AU522" s="561"/>
      <c r="AV522" s="561"/>
      <c r="AW522" s="561"/>
      <c r="AX522" s="561"/>
      <c r="AY522" s="561"/>
      <c r="AZ522" s="561"/>
      <c r="BA522" s="561"/>
      <c r="BB522" s="561"/>
      <c r="BC522" s="561"/>
      <c r="BD522" s="561"/>
      <c r="BE522" s="579" t="s">
        <v>167</v>
      </c>
      <c r="BF522" s="561"/>
      <c r="BG522" s="626" t="s">
        <v>168</v>
      </c>
      <c r="BH522" s="533"/>
      <c r="BI522" s="500"/>
    </row>
    <row r="523" spans="2:68" x14ac:dyDescent="0.3">
      <c r="AR523" s="500"/>
      <c r="AS523" s="533"/>
      <c r="AT523" s="587" t="s">
        <v>19</v>
      </c>
      <c r="AU523" s="587"/>
      <c r="AV523" s="587"/>
      <c r="AW523" s="587"/>
      <c r="AX523" s="587"/>
      <c r="AY523" s="587"/>
      <c r="AZ523" s="561"/>
      <c r="BA523" s="560" t="s">
        <v>20</v>
      </c>
      <c r="BB523" s="561"/>
      <c r="BC523" s="560" t="s">
        <v>166</v>
      </c>
      <c r="BD523" s="561"/>
      <c r="BE523" s="580"/>
      <c r="BF523" s="561"/>
      <c r="BG523" s="622"/>
      <c r="BH523" s="533"/>
      <c r="BI523" s="500"/>
    </row>
    <row r="524" spans="2:68" x14ac:dyDescent="0.3">
      <c r="H524" t="s">
        <v>169</v>
      </c>
      <c r="J524">
        <v>28</v>
      </c>
      <c r="N524" s="1">
        <f>+H522*J524</f>
        <v>16000000.000000002</v>
      </c>
      <c r="AR524" s="500"/>
      <c r="AS524" s="533"/>
      <c r="AT524" s="624" t="s">
        <v>162</v>
      </c>
      <c r="AU524" s="624"/>
      <c r="AV524" s="624"/>
      <c r="AW524" s="624"/>
      <c r="AX524" s="624"/>
      <c r="AY524" s="561"/>
      <c r="AZ524" s="561"/>
      <c r="BA524" s="562">
        <f>+H174</f>
        <v>6826001</v>
      </c>
      <c r="BB524" s="561"/>
      <c r="BC524" s="561">
        <v>10</v>
      </c>
      <c r="BD524" s="561"/>
      <c r="BE524" s="563">
        <f>+BA524*BC524</f>
        <v>68260010</v>
      </c>
      <c r="BF524" s="561"/>
      <c r="BG524" s="561"/>
      <c r="BH524" s="533"/>
      <c r="BI524" s="500"/>
      <c r="BP524" s="56">
        <f>+BE524-BA524</f>
        <v>61434009</v>
      </c>
    </row>
    <row r="525" spans="2:68" x14ac:dyDescent="0.3">
      <c r="D525" s="56">
        <f>+N524+N525</f>
        <v>33714285.714285716</v>
      </c>
      <c r="H525" t="s">
        <v>170</v>
      </c>
      <c r="J525">
        <v>31</v>
      </c>
      <c r="N525" s="1">
        <f>+J525*H$522</f>
        <v>17714285.714285716</v>
      </c>
      <c r="AR525" s="500"/>
      <c r="AS525" s="533"/>
      <c r="AT525" s="624" t="s">
        <v>172</v>
      </c>
      <c r="AU525" s="624"/>
      <c r="AV525" s="624"/>
      <c r="AW525" s="624"/>
      <c r="AX525" s="624"/>
      <c r="AY525" s="561"/>
      <c r="AZ525" s="561"/>
      <c r="BA525" s="562">
        <f>+BA537-BA524</f>
        <v>3109228</v>
      </c>
      <c r="BB525" s="561"/>
      <c r="BC525" s="561">
        <v>5</v>
      </c>
      <c r="BD525" s="561"/>
      <c r="BE525" s="563">
        <f>+BA525*BC525</f>
        <v>15546140</v>
      </c>
      <c r="BF525" s="561"/>
      <c r="BG525" s="561"/>
      <c r="BH525" s="533"/>
      <c r="BI525" s="500"/>
      <c r="BP525" s="56">
        <f>+BE525-BA525</f>
        <v>12436912</v>
      </c>
    </row>
    <row r="526" spans="2:68" x14ac:dyDescent="0.3">
      <c r="D526" s="56">
        <f>+D525+N526</f>
        <v>50857142.857142866</v>
      </c>
      <c r="H526" t="s">
        <v>138</v>
      </c>
      <c r="J526">
        <v>30</v>
      </c>
      <c r="N526" s="1">
        <f>+J526*H$522</f>
        <v>17142857.142857146</v>
      </c>
      <c r="AR526" s="500"/>
      <c r="AS526" s="533"/>
      <c r="AT526" s="624" t="s">
        <v>163</v>
      </c>
      <c r="AU526" s="624"/>
      <c r="AV526" s="624"/>
      <c r="AW526" s="624"/>
      <c r="AX526" s="624"/>
      <c r="AY526" s="624"/>
      <c r="AZ526" s="624"/>
      <c r="BA526" s="562">
        <f>+BA539-BA537</f>
        <v>16784558</v>
      </c>
      <c r="BB526" s="561"/>
      <c r="BC526" s="561">
        <v>1</v>
      </c>
      <c r="BD526" s="561"/>
      <c r="BE526" s="563">
        <f>+BC526*BA526</f>
        <v>16784558</v>
      </c>
      <c r="BF526" s="561"/>
      <c r="BG526" s="561"/>
      <c r="BH526" s="533"/>
      <c r="BI526" s="500"/>
      <c r="BP526" s="56">
        <f>+BE526-BA526</f>
        <v>0</v>
      </c>
    </row>
    <row r="527" spans="2:68" x14ac:dyDescent="0.3">
      <c r="D527" s="56">
        <f>+D526+N527</f>
        <v>68571428.571428582</v>
      </c>
      <c r="H527" t="s">
        <v>139</v>
      </c>
      <c r="J527">
        <v>31</v>
      </c>
      <c r="N527" s="1">
        <f>+J527*H$522</f>
        <v>17714285.714285716</v>
      </c>
      <c r="AR527" s="500"/>
      <c r="AS527" s="533"/>
      <c r="AT527" s="569" t="s">
        <v>184</v>
      </c>
      <c r="AU527" s="561"/>
      <c r="AV527" s="561"/>
      <c r="AW527" s="561"/>
      <c r="AX527" s="561"/>
      <c r="AY527" s="561"/>
      <c r="AZ527" s="561"/>
      <c r="BA527" s="562">
        <f>SUM(D328:D386)</f>
        <v>4197929</v>
      </c>
      <c r="BB527" s="561"/>
      <c r="BC527" s="561">
        <v>1</v>
      </c>
      <c r="BD527" s="561"/>
      <c r="BE527" s="563">
        <f>+BC527*BA527</f>
        <v>4197929</v>
      </c>
      <c r="BF527" s="561"/>
      <c r="BG527" s="561"/>
      <c r="BH527" s="533"/>
      <c r="BI527" s="500"/>
      <c r="BP527" s="56">
        <f>+BE527-BA527</f>
        <v>0</v>
      </c>
    </row>
    <row r="528" spans="2:68" x14ac:dyDescent="0.3">
      <c r="D528" s="56"/>
      <c r="N528" s="1"/>
      <c r="AR528" s="500"/>
      <c r="AS528" s="533"/>
      <c r="AT528" s="569" t="s">
        <v>189</v>
      </c>
      <c r="AU528" s="561"/>
      <c r="AV528" s="561"/>
      <c r="AW528" s="561"/>
      <c r="AX528" s="561"/>
      <c r="AY528" s="561"/>
      <c r="AZ528" s="561"/>
      <c r="BA528" s="562">
        <f>SUM(D387:D432)</f>
        <v>2422511</v>
      </c>
      <c r="BB528" s="561"/>
      <c r="BC528" s="561">
        <v>1</v>
      </c>
      <c r="BD528" s="561"/>
      <c r="BE528" s="563">
        <f>+BC528*BA528</f>
        <v>2422511</v>
      </c>
      <c r="BF528" s="561"/>
      <c r="BG528" s="561"/>
      <c r="BH528" s="533"/>
      <c r="BI528" s="500"/>
      <c r="BP528" s="56"/>
    </row>
    <row r="529" spans="4:75" x14ac:dyDescent="0.3">
      <c r="AR529" s="500"/>
      <c r="AS529" s="533"/>
      <c r="AT529" s="625" t="s">
        <v>165</v>
      </c>
      <c r="AU529" s="625"/>
      <c r="AV529" s="625"/>
      <c r="AW529" s="625"/>
      <c r="AX529" s="625"/>
      <c r="AY529" s="625"/>
      <c r="AZ529" s="625"/>
      <c r="BA529" s="561"/>
      <c r="BB529" s="561"/>
      <c r="BC529" s="561"/>
      <c r="BD529" s="561"/>
      <c r="BE529" s="563"/>
      <c r="BF529" s="561"/>
      <c r="BG529" s="561"/>
      <c r="BH529" s="533"/>
      <c r="BI529" s="500"/>
      <c r="BP529" s="56">
        <f>+BA527-BA528</f>
        <v>1775418</v>
      </c>
    </row>
    <row r="530" spans="4:75" ht="15" thickBot="1" x14ac:dyDescent="0.35">
      <c r="D530" s="56">
        <f>+BE530+D527</f>
        <v>175782576.5714286</v>
      </c>
      <c r="H530" s="59">
        <f>+D530/320000000</f>
        <v>0.54932055178571437</v>
      </c>
      <c r="AR530" s="500"/>
      <c r="AS530" s="533"/>
      <c r="AT530" s="561"/>
      <c r="AU530" s="561"/>
      <c r="AV530" s="561"/>
      <c r="AW530" s="561"/>
      <c r="AX530" s="561"/>
      <c r="AY530" s="561"/>
      <c r="AZ530" s="561"/>
      <c r="BA530" s="564">
        <f>SUM(BA524:BA528)</f>
        <v>33340227</v>
      </c>
      <c r="BB530" s="561"/>
      <c r="BC530" s="561"/>
      <c r="BD530" s="561"/>
      <c r="BE530" s="564">
        <f>SUM(BE524:BE529)</f>
        <v>107211148</v>
      </c>
      <c r="BF530" s="561"/>
      <c r="BG530" s="565">
        <f>+BE530/320000000</f>
        <v>0.33503483750000002</v>
      </c>
      <c r="BH530" s="533"/>
      <c r="BI530" s="500"/>
      <c r="BP530" s="59">
        <f>+BP529/BA527</f>
        <v>0.42292711477492828</v>
      </c>
    </row>
    <row r="531" spans="4:75" ht="15" thickTop="1" x14ac:dyDescent="0.3">
      <c r="D531" s="56"/>
      <c r="H531" s="59"/>
      <c r="AR531" s="500"/>
      <c r="AS531" s="533"/>
      <c r="AT531" s="575" t="s">
        <v>186</v>
      </c>
      <c r="AU531" s="561"/>
      <c r="AV531" s="561"/>
      <c r="AW531" s="561"/>
      <c r="AX531" s="561"/>
      <c r="AY531" s="561"/>
      <c r="AZ531" s="561"/>
      <c r="BA531" s="484">
        <f>+BY550</f>
        <v>0.37132530120481927</v>
      </c>
      <c r="BB531" s="561"/>
      <c r="BC531" s="561"/>
      <c r="BD531" s="561"/>
      <c r="BE531" s="574"/>
      <c r="BF531" s="561"/>
      <c r="BG531" s="484"/>
      <c r="BH531" s="533"/>
      <c r="BI531" s="500"/>
      <c r="BP531" s="59"/>
    </row>
    <row r="532" spans="4:75" x14ac:dyDescent="0.3">
      <c r="D532" s="56"/>
      <c r="H532" s="59"/>
      <c r="AR532" s="500"/>
      <c r="AS532" s="533"/>
      <c r="AT532" s="575" t="s">
        <v>188</v>
      </c>
      <c r="AU532" s="561"/>
      <c r="AV532" s="561"/>
      <c r="AW532" s="561"/>
      <c r="AX532" s="561"/>
      <c r="AY532" s="561"/>
      <c r="AZ532" s="561"/>
      <c r="BA532" s="576">
        <f>+BA530*BA531</f>
        <v>12380069.833012048</v>
      </c>
      <c r="BB532" s="561"/>
      <c r="BC532" s="561"/>
      <c r="BD532" s="561"/>
      <c r="BE532" s="574"/>
      <c r="BF532" s="561"/>
      <c r="BG532" s="484"/>
      <c r="BH532" s="533"/>
      <c r="BI532" s="500"/>
      <c r="BP532" s="59"/>
    </row>
    <row r="533" spans="4:75" ht="15" thickBot="1" x14ac:dyDescent="0.35">
      <c r="D533" s="56"/>
      <c r="H533" s="59"/>
      <c r="AR533" s="500"/>
      <c r="AS533" s="533"/>
      <c r="AT533" s="575" t="s">
        <v>187</v>
      </c>
      <c r="AU533" s="561"/>
      <c r="AV533" s="561"/>
      <c r="AW533" s="561"/>
      <c r="AX533" s="561"/>
      <c r="AY533" s="561"/>
      <c r="AZ533" s="561"/>
      <c r="BA533" s="564">
        <f>+BA530-BA532</f>
        <v>20960157.166987952</v>
      </c>
      <c r="BB533" s="561"/>
      <c r="BC533" s="561"/>
      <c r="BD533" s="561"/>
      <c r="BE533" s="574"/>
      <c r="BF533" s="561"/>
      <c r="BG533" s="484"/>
      <c r="BH533" s="533"/>
      <c r="BI533" s="500"/>
      <c r="BP533" s="59"/>
    </row>
    <row r="534" spans="4:75" ht="15" thickTop="1" x14ac:dyDescent="0.3">
      <c r="AR534" s="500"/>
      <c r="AS534" s="533"/>
      <c r="AT534" s="561"/>
      <c r="AU534" s="561"/>
      <c r="AV534" s="561"/>
      <c r="AW534" s="561"/>
      <c r="AX534" s="561"/>
      <c r="AY534" s="561"/>
      <c r="AZ534" s="561"/>
      <c r="BA534" s="561"/>
      <c r="BB534" s="561"/>
      <c r="BC534" s="561"/>
      <c r="BD534" s="561"/>
      <c r="BE534" s="561"/>
      <c r="BF534" s="561"/>
      <c r="BG534" s="561"/>
      <c r="BH534" s="533"/>
      <c r="BI534" s="500"/>
    </row>
    <row r="535" spans="4:75" x14ac:dyDescent="0.3">
      <c r="AR535" s="500"/>
      <c r="AS535" s="500"/>
      <c r="AT535" s="500"/>
      <c r="AU535" s="500"/>
      <c r="AV535" s="500"/>
      <c r="AW535" s="500"/>
      <c r="AX535" s="500"/>
      <c r="AY535" s="500"/>
      <c r="AZ535" s="500"/>
      <c r="BA535" s="500"/>
      <c r="BB535" s="500"/>
      <c r="BC535" s="500"/>
      <c r="BD535" s="500"/>
      <c r="BE535" s="500"/>
      <c r="BF535" s="500"/>
      <c r="BG535" s="500"/>
      <c r="BH535" s="500"/>
      <c r="BI535" s="500"/>
    </row>
    <row r="537" spans="4:75" x14ac:dyDescent="0.3">
      <c r="AV537" t="s">
        <v>153</v>
      </c>
      <c r="BA537" s="56">
        <f>+H235</f>
        <v>9935229</v>
      </c>
    </row>
    <row r="539" spans="4:75" x14ac:dyDescent="0.3">
      <c r="AV539" t="s">
        <v>164</v>
      </c>
      <c r="BA539" s="56">
        <f>+H327</f>
        <v>26719787</v>
      </c>
    </row>
    <row r="540" spans="4:75" x14ac:dyDescent="0.3">
      <c r="BA540" s="56"/>
    </row>
    <row r="541" spans="4:75" x14ac:dyDescent="0.3">
      <c r="AR541" s="500"/>
      <c r="AS541" s="500"/>
      <c r="AT541" s="500"/>
      <c r="AU541" s="500"/>
      <c r="AV541" s="500"/>
      <c r="AW541" s="500"/>
      <c r="AX541" s="500"/>
      <c r="AY541" s="500"/>
      <c r="AZ541" s="500"/>
      <c r="BA541" s="557"/>
      <c r="BB541" s="500"/>
      <c r="BC541" s="500"/>
      <c r="BD541" s="500"/>
      <c r="BE541" s="500"/>
      <c r="BF541" s="500"/>
      <c r="BG541" s="500"/>
      <c r="BH541" s="500"/>
      <c r="BI541" s="500"/>
      <c r="BJ541" s="500"/>
      <c r="BK541" s="500"/>
      <c r="BL541" s="500"/>
      <c r="BM541" s="500"/>
      <c r="BN541" s="500"/>
      <c r="BO541" s="500"/>
      <c r="BP541" s="500"/>
      <c r="BQ541" s="500"/>
      <c r="BR541" s="500"/>
      <c r="BS541" s="500"/>
      <c r="BT541" s="500"/>
      <c r="BU541" s="500"/>
      <c r="BV541" s="500"/>
      <c r="BW541" s="500"/>
    </row>
    <row r="542" spans="4:75" ht="14.4" customHeight="1" x14ac:dyDescent="0.3">
      <c r="AR542" s="500"/>
      <c r="AS542" s="533"/>
      <c r="AT542" s="587" t="s">
        <v>177</v>
      </c>
      <c r="AU542" s="587"/>
      <c r="AV542" s="587"/>
      <c r="AW542" s="587"/>
      <c r="AX542" s="587"/>
      <c r="AY542" s="587"/>
      <c r="AZ542" s="587"/>
      <c r="BA542" s="587"/>
      <c r="BB542" s="587"/>
      <c r="BC542" s="587"/>
      <c r="BD542" s="587"/>
      <c r="BE542" s="587"/>
      <c r="BF542" s="587"/>
      <c r="BG542" s="587"/>
      <c r="BH542" s="587"/>
      <c r="BI542" s="587"/>
      <c r="BJ542" s="587"/>
      <c r="BK542" s="587"/>
      <c r="BL542" s="587"/>
      <c r="BM542" s="587"/>
      <c r="BN542" s="587"/>
      <c r="BO542" s="587"/>
      <c r="BP542" s="587"/>
      <c r="BQ542" s="587"/>
      <c r="BR542" s="587"/>
      <c r="BS542" s="587"/>
      <c r="BT542" s="587"/>
      <c r="BU542" s="587"/>
      <c r="BV542" s="587"/>
      <c r="BW542" s="500"/>
    </row>
    <row r="543" spans="4:75" ht="14.4" customHeight="1" x14ac:dyDescent="0.3">
      <c r="AR543" s="500"/>
      <c r="AS543" s="533"/>
      <c r="AT543" s="533"/>
      <c r="AU543" s="533"/>
      <c r="AV543" s="533"/>
      <c r="AW543" s="533"/>
      <c r="AX543" s="533"/>
      <c r="AY543" s="533"/>
      <c r="AZ543" s="533"/>
      <c r="BA543" s="629" t="s">
        <v>173</v>
      </c>
      <c r="BB543" s="629"/>
      <c r="BC543" s="629"/>
      <c r="BD543" s="629"/>
      <c r="BE543" s="629"/>
      <c r="BF543" s="561"/>
      <c r="BG543" s="587" t="s">
        <v>181</v>
      </c>
      <c r="BH543" s="587"/>
      <c r="BI543" s="587"/>
      <c r="BJ543" s="587"/>
      <c r="BK543" s="587"/>
      <c r="BL543" s="587"/>
      <c r="BM543" s="587"/>
      <c r="BN543" s="587"/>
      <c r="BO543" s="587"/>
      <c r="BP543" s="587"/>
      <c r="BQ543" s="533"/>
      <c r="BR543" s="621" t="s">
        <v>177</v>
      </c>
      <c r="BS543" s="621"/>
      <c r="BT543" s="621"/>
      <c r="BU543" s="621"/>
      <c r="BV543" s="621"/>
      <c r="BW543" s="500"/>
    </row>
    <row r="544" spans="4:75" x14ac:dyDescent="0.3">
      <c r="AR544" s="500"/>
      <c r="AS544" s="533"/>
      <c r="AT544" s="533"/>
      <c r="AU544" s="533"/>
      <c r="AV544" s="533"/>
      <c r="AW544" s="533"/>
      <c r="AX544" s="533"/>
      <c r="AY544" s="533"/>
      <c r="AZ544" s="533"/>
      <c r="BA544" s="570" t="s">
        <v>178</v>
      </c>
      <c r="BB544" s="571"/>
      <c r="BC544" s="572" t="s">
        <v>183</v>
      </c>
      <c r="BD544" s="571"/>
      <c r="BE544" s="572" t="s">
        <v>179</v>
      </c>
      <c r="BF544" s="561"/>
      <c r="BG544" s="570"/>
      <c r="BH544" s="571"/>
      <c r="BI544" s="630"/>
      <c r="BJ544" s="630"/>
      <c r="BK544" s="630"/>
      <c r="BL544" s="630"/>
      <c r="BM544" s="630"/>
      <c r="BN544" s="630"/>
      <c r="BO544" s="473"/>
      <c r="BP544" s="572"/>
      <c r="BQ544" s="533"/>
      <c r="BR544" s="622"/>
      <c r="BS544" s="622"/>
      <c r="BT544" s="622"/>
      <c r="BU544" s="622"/>
      <c r="BV544" s="622"/>
      <c r="BW544" s="500"/>
    </row>
    <row r="545" spans="42:90" x14ac:dyDescent="0.3">
      <c r="AR545" s="500"/>
      <c r="AS545" s="533"/>
      <c r="AT545" s="533"/>
      <c r="AU545" s="533"/>
      <c r="AV545" s="533"/>
      <c r="AW545" s="533"/>
      <c r="AX545" s="533"/>
      <c r="AY545" s="533"/>
      <c r="AZ545" s="533"/>
      <c r="BA545" s="568" t="s">
        <v>174</v>
      </c>
      <c r="BB545" s="566"/>
      <c r="BC545" s="568" t="s">
        <v>176</v>
      </c>
      <c r="BD545" s="566"/>
      <c r="BE545" s="568" t="s">
        <v>175</v>
      </c>
      <c r="BF545" s="561"/>
      <c r="BG545" s="567" t="s">
        <v>181</v>
      </c>
      <c r="BH545" s="561"/>
      <c r="BI545" s="610" t="s">
        <v>185</v>
      </c>
      <c r="BJ545" s="610"/>
      <c r="BK545" s="610"/>
      <c r="BL545" s="610"/>
      <c r="BM545" s="610"/>
      <c r="BN545" s="610"/>
      <c r="BO545" s="561"/>
      <c r="BP545" s="568" t="s">
        <v>182</v>
      </c>
      <c r="BQ545" s="533"/>
      <c r="BR545" s="623" t="s">
        <v>180</v>
      </c>
      <c r="BS545" s="623"/>
      <c r="BT545" s="623"/>
      <c r="BU545" s="623"/>
      <c r="BV545" s="623"/>
      <c r="BW545" s="500"/>
    </row>
    <row r="546" spans="42:90" x14ac:dyDescent="0.3">
      <c r="AR546" s="500"/>
      <c r="AS546" s="533"/>
      <c r="AT546" s="624" t="s">
        <v>162</v>
      </c>
      <c r="AU546" s="624"/>
      <c r="AV546" s="624"/>
      <c r="AW546" s="624"/>
      <c r="AX546" s="624"/>
      <c r="AY546" s="561"/>
      <c r="AZ546" s="561"/>
      <c r="BA546" s="562">
        <f>+BA524</f>
        <v>6826001</v>
      </c>
      <c r="BB546" s="561"/>
      <c r="BC546" s="562">
        <f>+BE546-BA546</f>
        <v>61434009</v>
      </c>
      <c r="BD546" s="561"/>
      <c r="BE546" s="562">
        <f>+BE524</f>
        <v>68260010</v>
      </c>
      <c r="BF546" s="533"/>
      <c r="BG546" s="563">
        <v>0</v>
      </c>
      <c r="BH546" s="563"/>
      <c r="BI546" s="563"/>
      <c r="BJ546" s="563"/>
      <c r="BK546" s="563"/>
      <c r="BL546" s="563"/>
      <c r="BM546" s="563"/>
      <c r="BN546" s="563">
        <f>+BG546</f>
        <v>0</v>
      </c>
      <c r="BO546" s="563"/>
      <c r="BP546" s="563">
        <f>+BN546*0.5</f>
        <v>0</v>
      </c>
      <c r="BQ546" s="561"/>
      <c r="BR546" s="628">
        <f>+BE546+BP546</f>
        <v>68260010</v>
      </c>
      <c r="BS546" s="625"/>
      <c r="BT546" s="625"/>
      <c r="BU546" s="625"/>
      <c r="BV546" s="625"/>
      <c r="BW546" s="500"/>
    </row>
    <row r="547" spans="42:90" x14ac:dyDescent="0.3">
      <c r="AR547" s="500"/>
      <c r="AS547" s="533"/>
      <c r="AT547" s="624" t="s">
        <v>172</v>
      </c>
      <c r="AU547" s="624"/>
      <c r="AV547" s="624"/>
      <c r="AW547" s="624"/>
      <c r="AX547" s="624"/>
      <c r="AY547" s="561"/>
      <c r="AZ547" s="561"/>
      <c r="BA547" s="562">
        <f>+BA546+BA525</f>
        <v>9935229</v>
      </c>
      <c r="BB547" s="561"/>
      <c r="BC547" s="562">
        <f>+BE547-BA547</f>
        <v>73870921</v>
      </c>
      <c r="BD547" s="561"/>
      <c r="BE547" s="562">
        <f>+BE546+BE525</f>
        <v>83806150</v>
      </c>
      <c r="BF547" s="533"/>
      <c r="BG547" s="563">
        <v>0</v>
      </c>
      <c r="BH547" s="563"/>
      <c r="BI547" s="563"/>
      <c r="BJ547" s="563"/>
      <c r="BK547" s="563"/>
      <c r="BL547" s="563"/>
      <c r="BM547" s="563"/>
      <c r="BN547" s="563">
        <f>+BN546+BG547</f>
        <v>0</v>
      </c>
      <c r="BO547" s="563"/>
      <c r="BP547" s="563">
        <f>+BN547*0.5</f>
        <v>0</v>
      </c>
      <c r="BQ547" s="561"/>
      <c r="BR547" s="628">
        <f>+BE547+BP547</f>
        <v>83806150</v>
      </c>
      <c r="BS547" s="625"/>
      <c r="BT547" s="625"/>
      <c r="BU547" s="625"/>
      <c r="BV547" s="625"/>
      <c r="BW547" s="500"/>
    </row>
    <row r="548" spans="42:90" x14ac:dyDescent="0.3">
      <c r="AR548" s="500"/>
      <c r="AS548" s="533"/>
      <c r="AT548" s="624" t="s">
        <v>163</v>
      </c>
      <c r="AU548" s="624"/>
      <c r="AV548" s="624"/>
      <c r="AW548" s="624"/>
      <c r="AX548" s="624"/>
      <c r="AY548" s="624"/>
      <c r="AZ548" s="624"/>
      <c r="BA548" s="562">
        <f>+BA547+BA526</f>
        <v>26719787</v>
      </c>
      <c r="BB548" s="561"/>
      <c r="BC548" s="562">
        <f>+BE548-BA548</f>
        <v>73870921</v>
      </c>
      <c r="BD548" s="561"/>
      <c r="BE548" s="562">
        <f>+BE547+BE526</f>
        <v>100590708</v>
      </c>
      <c r="BF548" s="533"/>
      <c r="BG548" s="563">
        <f>13400000+5660000</f>
        <v>19060000</v>
      </c>
      <c r="BH548" s="563"/>
      <c r="BI548" s="627"/>
      <c r="BJ548" s="627"/>
      <c r="BK548" s="627"/>
      <c r="BL548" s="627"/>
      <c r="BM548" s="627"/>
      <c r="BN548" s="627"/>
      <c r="BO548" s="563"/>
      <c r="BP548" s="563">
        <f>+BG548</f>
        <v>19060000</v>
      </c>
      <c r="BQ548" s="561"/>
      <c r="BR548" s="628">
        <f>+BE548+BP548</f>
        <v>119650708</v>
      </c>
      <c r="BS548" s="625"/>
      <c r="BT548" s="625"/>
      <c r="BU548" s="625"/>
      <c r="BV548" s="625"/>
      <c r="BW548" s="500"/>
    </row>
    <row r="549" spans="42:90" x14ac:dyDescent="0.3">
      <c r="AR549" s="500"/>
      <c r="AS549" s="533"/>
      <c r="AT549" s="569" t="s">
        <v>184</v>
      </c>
      <c r="AU549" s="561"/>
      <c r="AV549" s="561"/>
      <c r="AW549" s="561"/>
      <c r="AX549" s="561"/>
      <c r="AY549" s="561"/>
      <c r="AZ549" s="561"/>
      <c r="BA549" s="562">
        <f>+BA548+BA527</f>
        <v>30917716</v>
      </c>
      <c r="BB549" s="561"/>
      <c r="BC549" s="562">
        <f>+BE549-BA549</f>
        <v>73870921</v>
      </c>
      <c r="BD549" s="561"/>
      <c r="BE549" s="562">
        <f>+BE548+BE527</f>
        <v>104788637</v>
      </c>
      <c r="BF549" s="533"/>
      <c r="BG549" s="563">
        <f>53420000-BG548</f>
        <v>34360000</v>
      </c>
      <c r="BH549" s="563"/>
      <c r="BI549" s="627"/>
      <c r="BJ549" s="627"/>
      <c r="BK549" s="627"/>
      <c r="BL549" s="627"/>
      <c r="BM549" s="627"/>
      <c r="BN549" s="627"/>
      <c r="BO549" s="563"/>
      <c r="BP549" s="563">
        <f>+BP548+BG549</f>
        <v>53420000</v>
      </c>
      <c r="BQ549" s="561"/>
      <c r="BR549" s="628">
        <f>+BE549+BP549</f>
        <v>158208637</v>
      </c>
      <c r="BS549" s="625"/>
      <c r="BT549" s="625"/>
      <c r="BU549" s="625"/>
      <c r="BV549" s="625"/>
      <c r="BW549" s="500"/>
    </row>
    <row r="550" spans="42:90" x14ac:dyDescent="0.3">
      <c r="AR550" s="500"/>
      <c r="AS550" s="533"/>
      <c r="AT550" s="569" t="s">
        <v>189</v>
      </c>
      <c r="AU550" s="561"/>
      <c r="AV550" s="561"/>
      <c r="AW550" s="561"/>
      <c r="AX550" s="561"/>
      <c r="AY550" s="561"/>
      <c r="AZ550" s="561"/>
      <c r="BA550" s="562">
        <f>+BA533</f>
        <v>20960157.166987952</v>
      </c>
      <c r="BB550" s="561"/>
      <c r="BC550" s="562">
        <f>+BE550-BA550</f>
        <v>73870921</v>
      </c>
      <c r="BD550" s="561"/>
      <c r="BE550" s="562">
        <f>+BE549+BE528-BA532</f>
        <v>94831078.166987956</v>
      </c>
      <c r="BF550" s="533"/>
      <c r="BG550" s="563">
        <f>123280000-BP549</f>
        <v>69860000</v>
      </c>
      <c r="BH550" s="563"/>
      <c r="BI550" s="627"/>
      <c r="BJ550" s="627"/>
      <c r="BK550" s="627"/>
      <c r="BL550" s="627"/>
      <c r="BM550" s="627"/>
      <c r="BN550" s="627"/>
      <c r="BO550" s="563"/>
      <c r="BP550" s="563">
        <f>+BP549+BG550</f>
        <v>123280000</v>
      </c>
      <c r="BQ550" s="561"/>
      <c r="BR550" s="628">
        <f>+BE550+BP550</f>
        <v>218111078.16698796</v>
      </c>
      <c r="BS550" s="625"/>
      <c r="BT550" s="625"/>
      <c r="BU550" s="625"/>
      <c r="BV550" s="625"/>
      <c r="BW550" s="500"/>
      <c r="BY550" s="59">
        <f>+BP550/CL550</f>
        <v>0.37132530120481927</v>
      </c>
      <c r="CL550" s="1">
        <v>332000000</v>
      </c>
    </row>
    <row r="551" spans="42:90" x14ac:dyDescent="0.3">
      <c r="AR551" s="500"/>
      <c r="AS551" s="500"/>
      <c r="AT551" s="500"/>
      <c r="AU551" s="500"/>
      <c r="AV551" s="500"/>
      <c r="AW551" s="500"/>
      <c r="AX551" s="500"/>
      <c r="AY551" s="500"/>
      <c r="AZ551" s="500"/>
      <c r="BA551" s="500"/>
      <c r="BB551" s="500"/>
      <c r="BC551" s="500"/>
      <c r="BD551" s="500"/>
      <c r="BE551" s="500"/>
      <c r="BF551" s="500"/>
      <c r="BG551" s="500"/>
      <c r="BH551" s="500"/>
      <c r="BI551" s="500"/>
      <c r="BJ551" s="500"/>
      <c r="BK551" s="500"/>
      <c r="BL551" s="500"/>
      <c r="BM551" s="500"/>
      <c r="BN551" s="500"/>
      <c r="BO551" s="500"/>
      <c r="BP551" s="500"/>
      <c r="BQ551" s="500"/>
      <c r="BR551" s="500"/>
      <c r="BS551" s="500"/>
      <c r="BT551" s="500"/>
      <c r="BU551" s="500"/>
      <c r="BV551" s="500"/>
      <c r="BW551" s="500"/>
      <c r="CL551" s="59">
        <f>+BR550/CL550</f>
        <v>0.65696107881622878</v>
      </c>
    </row>
    <row r="553" spans="42:90" x14ac:dyDescent="0.3">
      <c r="BA553" s="56">
        <f>+BR550+BA532</f>
        <v>230491148</v>
      </c>
      <c r="BC553" s="59">
        <f>+BA553/CL550</f>
        <v>0.69425044578313255</v>
      </c>
      <c r="BE553" s="56"/>
      <c r="CL553" s="56">
        <f>+CL550-BR550</f>
        <v>113888921.83301204</v>
      </c>
    </row>
    <row r="556" spans="42:90" x14ac:dyDescent="0.3">
      <c r="CL556" s="59">
        <f>+BP550/CL550</f>
        <v>0.37132530120481927</v>
      </c>
    </row>
    <row r="558" spans="42:90" x14ac:dyDescent="0.3">
      <c r="BE558" s="500"/>
      <c r="BF558" s="500"/>
      <c r="BG558" s="500"/>
      <c r="BH558" s="500"/>
      <c r="BI558" s="500"/>
      <c r="BJ558" s="500"/>
      <c r="BK558" s="500"/>
      <c r="BL558" s="500"/>
      <c r="BM558" s="500"/>
      <c r="BN558" s="500"/>
      <c r="BO558" s="500"/>
      <c r="BP558" s="500"/>
      <c r="BQ558" s="500"/>
      <c r="BR558" s="500"/>
      <c r="BS558" s="500"/>
      <c r="BT558" s="500"/>
      <c r="BU558" s="500"/>
      <c r="BV558" s="500"/>
      <c r="BW558" s="500"/>
      <c r="BX558" s="500"/>
      <c r="BY558" s="500"/>
    </row>
    <row r="559" spans="42:90" x14ac:dyDescent="0.3">
      <c r="BE559" s="500"/>
      <c r="BF559" s="500"/>
      <c r="BG559" s="500"/>
      <c r="BH559" s="500"/>
      <c r="BI559" s="500"/>
      <c r="BJ559" s="500"/>
      <c r="BK559" s="500"/>
      <c r="BL559" s="500"/>
      <c r="BM559" s="500"/>
      <c r="BN559" s="500"/>
      <c r="BO559" s="500"/>
      <c r="BP559" s="500"/>
      <c r="BQ559" s="500"/>
      <c r="BR559" s="500"/>
      <c r="BS559" s="500"/>
      <c r="BT559" s="500"/>
      <c r="BU559" s="500"/>
      <c r="BV559" s="500"/>
      <c r="BW559" s="500"/>
      <c r="BX559" s="500"/>
      <c r="BY559" s="500"/>
    </row>
    <row r="560" spans="42:90" x14ac:dyDescent="0.3">
      <c r="AP560" s="1">
        <v>1500000</v>
      </c>
      <c r="BE560" s="500"/>
      <c r="BF560" s="500"/>
      <c r="BG560" s="500"/>
      <c r="BH560" s="500"/>
      <c r="BI560" s="500"/>
      <c r="BJ560" s="500"/>
      <c r="BK560" s="500"/>
      <c r="BL560" s="500"/>
      <c r="BM560" s="500"/>
      <c r="BN560" s="500"/>
      <c r="BO560" s="500"/>
      <c r="BP560" s="500"/>
      <c r="BQ560" s="500"/>
      <c r="BR560" s="500"/>
      <c r="BS560" s="500"/>
      <c r="BT560" s="500"/>
      <c r="BU560" s="500"/>
      <c r="BV560" s="500"/>
      <c r="BW560" s="500"/>
      <c r="BX560" s="500"/>
      <c r="BY560" s="500"/>
    </row>
    <row r="561" spans="42:77" x14ac:dyDescent="0.3">
      <c r="AP561">
        <v>7</v>
      </c>
      <c r="BE561" s="500"/>
      <c r="BY561" s="500"/>
    </row>
    <row r="562" spans="42:77" x14ac:dyDescent="0.3">
      <c r="AP562" s="1">
        <f>+AP560*AP561</f>
        <v>10500000</v>
      </c>
      <c r="BE562" s="500"/>
      <c r="BY562" s="500"/>
    </row>
    <row r="563" spans="42:77" x14ac:dyDescent="0.3">
      <c r="BE563" s="500"/>
      <c r="BY563" s="500"/>
    </row>
    <row r="564" spans="42:77" x14ac:dyDescent="0.3">
      <c r="BE564" s="500"/>
      <c r="BY564" s="500"/>
    </row>
    <row r="565" spans="42:77" x14ac:dyDescent="0.3">
      <c r="BE565" s="500"/>
      <c r="BY565" s="500"/>
    </row>
    <row r="566" spans="42:77" x14ac:dyDescent="0.3">
      <c r="BE566" s="500"/>
      <c r="BY566" s="500"/>
    </row>
    <row r="567" spans="42:77" x14ac:dyDescent="0.3">
      <c r="BE567" s="500"/>
      <c r="BY567" s="500"/>
    </row>
    <row r="568" spans="42:77" x14ac:dyDescent="0.3">
      <c r="BE568" s="500"/>
      <c r="BY568" s="500"/>
    </row>
    <row r="569" spans="42:77" x14ac:dyDescent="0.3">
      <c r="BE569" s="500"/>
      <c r="BY569" s="500"/>
    </row>
    <row r="570" spans="42:77" x14ac:dyDescent="0.3">
      <c r="BE570" s="500"/>
      <c r="BY570" s="500"/>
    </row>
    <row r="571" spans="42:77" x14ac:dyDescent="0.3">
      <c r="BE571" s="500"/>
      <c r="BY571" s="500"/>
    </row>
    <row r="572" spans="42:77" x14ac:dyDescent="0.3">
      <c r="BE572" s="500"/>
      <c r="BY572" s="500"/>
    </row>
    <row r="573" spans="42:77" x14ac:dyDescent="0.3">
      <c r="BE573" s="500"/>
      <c r="BY573" s="500"/>
    </row>
    <row r="574" spans="42:77" x14ac:dyDescent="0.3">
      <c r="BE574" s="500"/>
      <c r="BF574" s="500"/>
      <c r="BG574" s="500"/>
      <c r="BH574" s="500"/>
      <c r="BI574" s="500"/>
      <c r="BJ574" s="500"/>
      <c r="BK574" s="500"/>
      <c r="BL574" s="500"/>
      <c r="BM574" s="500"/>
      <c r="BN574" s="500"/>
      <c r="BO574" s="500"/>
      <c r="BP574" s="500"/>
      <c r="BQ574" s="500"/>
      <c r="BR574" s="500"/>
      <c r="BS574" s="500"/>
      <c r="BT574" s="500"/>
      <c r="BU574" s="500"/>
      <c r="BV574" s="500"/>
      <c r="BW574" s="500"/>
      <c r="BX574" s="500"/>
      <c r="BY574" s="500"/>
    </row>
    <row r="575" spans="42:77" x14ac:dyDescent="0.3">
      <c r="BE575" s="500"/>
      <c r="BF575" s="500"/>
      <c r="BG575" s="500"/>
      <c r="BH575" s="500"/>
      <c r="BI575" s="500"/>
      <c r="BJ575" s="500"/>
      <c r="BK575" s="500"/>
      <c r="BL575" s="500"/>
      <c r="BM575" s="500"/>
      <c r="BN575" s="500"/>
      <c r="BO575" s="500"/>
      <c r="BP575" s="500"/>
      <c r="BQ575" s="500"/>
      <c r="BR575" s="500"/>
      <c r="BS575" s="500"/>
      <c r="BT575" s="500"/>
      <c r="BU575" s="500"/>
      <c r="BV575" s="500"/>
      <c r="BW575" s="500"/>
      <c r="BX575" s="500"/>
      <c r="BY575" s="500"/>
    </row>
    <row r="576" spans="42:77" x14ac:dyDescent="0.3">
      <c r="BE576" s="500"/>
      <c r="BF576" s="500"/>
      <c r="BG576" s="500"/>
      <c r="BH576" s="500"/>
      <c r="BI576" s="500"/>
      <c r="BJ576" s="500"/>
      <c r="BK576" s="500"/>
      <c r="BL576" s="500"/>
      <c r="BM576" s="500"/>
      <c r="BN576" s="500"/>
      <c r="BO576" s="500"/>
      <c r="BP576" s="500"/>
      <c r="BQ576" s="500"/>
      <c r="BR576" s="500"/>
      <c r="BS576" s="500"/>
      <c r="BT576" s="500"/>
      <c r="BU576" s="500"/>
      <c r="BV576" s="500"/>
      <c r="BW576" s="500"/>
      <c r="BX576" s="500"/>
      <c r="BY576" s="500"/>
    </row>
    <row r="577" spans="57:77" x14ac:dyDescent="0.3">
      <c r="BE577" s="500"/>
      <c r="BF577" s="500"/>
      <c r="BG577" s="500"/>
      <c r="BH577" s="500"/>
      <c r="BI577" s="500"/>
      <c r="BJ577" s="500"/>
      <c r="BK577" s="500"/>
      <c r="BL577" s="500"/>
      <c r="BM577" s="500"/>
      <c r="BN577" s="500"/>
      <c r="BO577" s="500"/>
      <c r="BP577" s="500"/>
      <c r="BQ577" s="500"/>
      <c r="BR577" s="500"/>
      <c r="BS577" s="500"/>
      <c r="BT577" s="500"/>
      <c r="BU577" s="500"/>
      <c r="BV577" s="500"/>
      <c r="BW577" s="500"/>
      <c r="BX577" s="500"/>
      <c r="BY577" s="500"/>
    </row>
    <row r="578" spans="57:77" x14ac:dyDescent="0.3">
      <c r="BE578" s="500"/>
      <c r="BF578" s="500"/>
      <c r="BG578" s="500"/>
      <c r="BH578" s="500"/>
      <c r="BI578" s="500"/>
      <c r="BJ578" s="500"/>
      <c r="BK578" s="500"/>
      <c r="BL578" s="500"/>
      <c r="BM578" s="500"/>
      <c r="BN578" s="500"/>
      <c r="BO578" s="500"/>
      <c r="BP578" s="500"/>
      <c r="BQ578" s="500"/>
      <c r="BR578" s="500"/>
      <c r="BS578" s="500"/>
      <c r="BT578" s="500"/>
      <c r="BU578" s="500"/>
      <c r="BV578" s="500"/>
      <c r="BW578" s="500"/>
      <c r="BX578" s="500"/>
      <c r="BY578" s="500"/>
    </row>
    <row r="579" spans="57:77" x14ac:dyDescent="0.3">
      <c r="BE579" s="500"/>
      <c r="BF579" s="500"/>
      <c r="BG579" s="500"/>
      <c r="BH579" s="500"/>
      <c r="BI579" s="500"/>
      <c r="BJ579" s="500"/>
      <c r="BK579" s="500"/>
      <c r="BL579" s="500"/>
      <c r="BM579" s="500"/>
      <c r="BN579" s="500"/>
      <c r="BO579" s="500"/>
      <c r="BP579" s="500"/>
      <c r="BQ579" s="500"/>
      <c r="BR579" s="500"/>
      <c r="BS579" s="500"/>
      <c r="BT579" s="500"/>
      <c r="BU579" s="500"/>
      <c r="BV579" s="500"/>
      <c r="BW579" s="500"/>
      <c r="BX579" s="500"/>
      <c r="BY579" s="500"/>
    </row>
    <row r="580" spans="57:77" x14ac:dyDescent="0.3">
      <c r="BE580" s="500"/>
      <c r="BF580" s="500"/>
      <c r="BG580" s="500"/>
      <c r="BH580" s="500"/>
      <c r="BI580" s="500"/>
      <c r="BJ580" s="500"/>
      <c r="BK580" s="500"/>
      <c r="BL580" s="500"/>
      <c r="BM580" s="500"/>
      <c r="BN580" s="500"/>
      <c r="BO580" s="500"/>
      <c r="BP580" s="500"/>
      <c r="BQ580" s="500"/>
      <c r="BR580" s="500"/>
      <c r="BS580" s="500"/>
      <c r="BT580" s="500"/>
      <c r="BU580" s="500"/>
      <c r="BV580" s="500"/>
      <c r="BW580" s="500"/>
      <c r="BX580" s="500"/>
      <c r="BY580" s="500"/>
    </row>
    <row r="581" spans="57:77" x14ac:dyDescent="0.3">
      <c r="BE581" s="500"/>
      <c r="BF581" s="500"/>
      <c r="BG581" s="500"/>
      <c r="BH581" s="500"/>
      <c r="BI581" s="500"/>
      <c r="BJ581" s="500"/>
      <c r="BK581" s="500"/>
      <c r="BL581" s="500"/>
      <c r="BM581" s="500"/>
      <c r="BN581" s="500"/>
      <c r="BO581" s="500"/>
      <c r="BP581" s="500"/>
      <c r="BQ581" s="500"/>
      <c r="BR581" s="500"/>
      <c r="BS581" s="500"/>
      <c r="BT581" s="500"/>
      <c r="BU581" s="500"/>
      <c r="BV581" s="500"/>
      <c r="BW581" s="500"/>
      <c r="BX581" s="500"/>
      <c r="BY581" s="500"/>
    </row>
  </sheetData>
  <mergeCells count="57">
    <mergeCell ref="AT546:AX546"/>
    <mergeCell ref="AT547:AX547"/>
    <mergeCell ref="AT548:AZ548"/>
    <mergeCell ref="BA543:BE543"/>
    <mergeCell ref="BG543:BP543"/>
    <mergeCell ref="BI545:BN545"/>
    <mergeCell ref="BI548:BN548"/>
    <mergeCell ref="BI544:BN544"/>
    <mergeCell ref="BI550:BN550"/>
    <mergeCell ref="BR546:BV546"/>
    <mergeCell ref="BR547:BV547"/>
    <mergeCell ref="BR548:BV548"/>
    <mergeCell ref="BR550:BV550"/>
    <mergeCell ref="BI549:BN549"/>
    <mergeCell ref="BR549:BV549"/>
    <mergeCell ref="BR543:BV544"/>
    <mergeCell ref="BR545:BV545"/>
    <mergeCell ref="AT525:AX525"/>
    <mergeCell ref="AT529:AZ529"/>
    <mergeCell ref="AT523:AY523"/>
    <mergeCell ref="AT526:AZ526"/>
    <mergeCell ref="AT542:BV542"/>
    <mergeCell ref="BG522:BG523"/>
    <mergeCell ref="AT524:AX524"/>
    <mergeCell ref="AK450:AV450"/>
    <mergeCell ref="AK452:AN452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483:J483"/>
    <mergeCell ref="AK460:AN460"/>
    <mergeCell ref="AK451:AN451"/>
    <mergeCell ref="AK461:AN461"/>
    <mergeCell ref="AV510:AX510"/>
    <mergeCell ref="AV515:AY515"/>
    <mergeCell ref="BE522:BE523"/>
    <mergeCell ref="AV498:AX498"/>
    <mergeCell ref="AK453:AN453"/>
    <mergeCell ref="AK454:AN454"/>
    <mergeCell ref="AK455:AN455"/>
    <mergeCell ref="AS521:BH521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456:AP458 AR456:AR4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451"/>
  <sheetViews>
    <sheetView topLeftCell="A408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+K439</f>
        <v>3441213</v>
      </c>
      <c r="AG16" s="187"/>
      <c r="AH16" s="201">
        <f>+AJ31</f>
        <v>10703.601317515808</v>
      </c>
      <c r="AI16" s="201"/>
      <c r="AJ16" s="202">
        <f>+S439</f>
        <v>87087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702039</v>
      </c>
      <c r="AG17" s="188"/>
      <c r="AH17" s="149">
        <v>10186</v>
      </c>
      <c r="AI17" s="201"/>
      <c r="AJ17" s="148">
        <v>17753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1186798</v>
      </c>
      <c r="AG18" s="188"/>
      <c r="AH18" s="149">
        <v>9270</v>
      </c>
      <c r="AI18" s="201"/>
      <c r="AJ18" s="148">
        <v>26764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5330050</v>
      </c>
      <c r="AG19" s="188"/>
      <c r="AH19" s="188"/>
      <c r="AI19" s="188"/>
      <c r="AJ19" s="206">
        <f>SUM(AJ16:AJ18)</f>
        <v>131604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Table'!H437</f>
        <v>0.15986843760841821</v>
      </c>
      <c r="AG21" s="188"/>
      <c r="AH21" s="188"/>
      <c r="AI21" s="188"/>
      <c r="AJ21" s="208">
        <f>+AJ19/'Main Table'!AA437</f>
        <v>0.22364630969314145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+E439</f>
        <v>2085477</v>
      </c>
      <c r="AE27" s="155"/>
      <c r="AF27" s="186">
        <v>10720</v>
      </c>
      <c r="AG27" s="155"/>
      <c r="AH27" s="177">
        <f>+AD27/AD$31</f>
        <v>0.50334302620260607</v>
      </c>
      <c r="AI27" s="177"/>
      <c r="AJ27" s="155">
        <f>+AF27*AH27</f>
        <v>5395.8372408919367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+G439</f>
        <v>1010759</v>
      </c>
      <c r="AE28" s="155"/>
      <c r="AF28" s="186">
        <v>11380</v>
      </c>
      <c r="AG28" s="155"/>
      <c r="AH28" s="177">
        <f>+AD28/AD$31</f>
        <v>0.24395305909464354</v>
      </c>
      <c r="AI28" s="177"/>
      <c r="AJ28" s="155">
        <f>+AF28*AH28</f>
        <v>2776.1858124970436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+I439</f>
        <v>344977</v>
      </c>
      <c r="AE29" s="155"/>
      <c r="AF29" s="186">
        <v>9676</v>
      </c>
      <c r="AG29" s="155"/>
      <c r="AH29" s="177">
        <f>+AD29/AD$31</f>
        <v>8.3262374579195275E-2</v>
      </c>
      <c r="AI29" s="177"/>
      <c r="AJ29" s="155">
        <f>+AF29*AH29</f>
        <v>805.64673642829348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702039</v>
      </c>
      <c r="AE30" s="237"/>
      <c r="AF30" s="155">
        <f>+AH17</f>
        <v>10186</v>
      </c>
      <c r="AG30" s="237"/>
      <c r="AH30" s="177">
        <f>+AD30/AD$31</f>
        <v>0.16944154012355511</v>
      </c>
      <c r="AI30" s="237"/>
      <c r="AJ30" s="155">
        <f>+AF30*AH30</f>
        <v>1725.9315276985324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4143252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10703.601317515808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Table'!AA437</f>
        <v>588447</v>
      </c>
      <c r="AJ49" s="56">
        <f>+AJ19</f>
        <v>131604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131604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456843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191874.06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264968.94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0.45028514037797795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33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43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" si="76">SUM(E420:I420)</f>
        <v>3398814</v>
      </c>
      <c r="L420" s="6"/>
      <c r="M420" s="438">
        <f t="shared" ref="M420" si="77">+(K420-K419)/K419</f>
        <v>1.3915360548671205E-3</v>
      </c>
      <c r="N420" s="29"/>
      <c r="O420" s="29"/>
      <c r="P420" s="29"/>
      <c r="Q420" s="332">
        <f t="shared" ref="Q420" si="78">+K420-K419</f>
        <v>4723</v>
      </c>
      <c r="R420" s="6"/>
      <c r="S420" s="7">
        <f>52423+25616+8112</f>
        <v>86151</v>
      </c>
      <c r="T420" s="6"/>
      <c r="U420" s="243">
        <f t="shared" ref="U42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ref="K421" si="80">SUM(E421:I421)</f>
        <v>3402444</v>
      </c>
      <c r="L421" s="6"/>
      <c r="M421" s="438">
        <f t="shared" ref="M421" si="81">+(K421-K420)/K420</f>
        <v>1.0680196091930891E-3</v>
      </c>
      <c r="N421" s="29"/>
      <c r="O421" s="29"/>
      <c r="P421" s="29"/>
      <c r="Q421" s="332">
        <f t="shared" ref="Q421" si="82">+K421-K420</f>
        <v>3630</v>
      </c>
      <c r="R421" s="6"/>
      <c r="S421" s="7">
        <f>52483+25658+8117</f>
        <v>86258</v>
      </c>
      <c r="T421" s="6"/>
      <c r="U421" s="243">
        <f t="shared" ref="U421" si="83">+S421/K421</f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ref="K422" si="84">SUM(E422:I422)</f>
        <v>3407983</v>
      </c>
      <c r="L422" s="6"/>
      <c r="M422" s="438">
        <f t="shared" ref="M422" si="85">+(K422-K421)/K421</f>
        <v>1.6279474401342095E-3</v>
      </c>
      <c r="N422" s="29"/>
      <c r="O422" s="29"/>
      <c r="P422" s="29"/>
      <c r="Q422" s="332">
        <f t="shared" ref="Q422" si="86">+K422-K421</f>
        <v>5539</v>
      </c>
      <c r="R422" s="6"/>
      <c r="S422" s="7">
        <f>52538+25707+8124</f>
        <v>86369</v>
      </c>
      <c r="T422" s="6"/>
      <c r="U422" s="243">
        <f t="shared" ref="U422" si="87">+S422/K422</f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ref="K423" si="88">SUM(E423:I423)</f>
        <v>3412750</v>
      </c>
      <c r="L423" s="6"/>
      <c r="M423" s="438">
        <f t="shared" ref="M423" si="89">+(K423-K422)/K422</f>
        <v>1.3987745830891763E-3</v>
      </c>
      <c r="N423" s="29"/>
      <c r="O423" s="29"/>
      <c r="P423" s="29"/>
      <c r="Q423" s="332">
        <f t="shared" ref="Q423" si="90">+K423-K422</f>
        <v>4767</v>
      </c>
      <c r="R423" s="6"/>
      <c r="S423" s="7">
        <f>52572+25740+8131</f>
        <v>86443</v>
      </c>
      <c r="T423" s="6"/>
      <c r="U423" s="243">
        <f t="shared" ref="U423" si="91">+S423/K423</f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ref="K424" si="92">SUM(E424:I424)</f>
        <v>3416612</v>
      </c>
      <c r="L424" s="6"/>
      <c r="M424" s="438">
        <f t="shared" ref="M424" si="93">+(K424-K423)/K423</f>
        <v>1.1316387077869752E-3</v>
      </c>
      <c r="N424" s="29"/>
      <c r="O424" s="29"/>
      <c r="P424" s="29"/>
      <c r="Q424" s="332">
        <f t="shared" ref="Q424" si="94">+K424-K423</f>
        <v>3862</v>
      </c>
      <c r="R424" s="6"/>
      <c r="S424" s="7">
        <f>52611+25769+8137</f>
        <v>86517</v>
      </c>
      <c r="T424" s="6"/>
      <c r="U424" s="243">
        <f t="shared" ref="U424" si="95">+S424/K424</f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ref="K425" si="96">SUM(E425:I425)</f>
        <v>3420326</v>
      </c>
      <c r="L425" s="6"/>
      <c r="M425" s="438">
        <f t="shared" ref="M425" si="97">+(K425-K424)/K424</f>
        <v>1.0870417829124291E-3</v>
      </c>
      <c r="N425" s="29"/>
      <c r="O425" s="29"/>
      <c r="P425" s="29"/>
      <c r="Q425" s="332">
        <f t="shared" ref="Q425" si="98">+K425-K424</f>
        <v>3714</v>
      </c>
      <c r="R425" s="6"/>
      <c r="S425" s="7">
        <f>52653+25791+8137</f>
        <v>86581</v>
      </c>
      <c r="T425" s="6"/>
      <c r="U425" s="243">
        <f t="shared" ref="U425" si="99">+S425/K425</f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ref="K426" si="100">SUM(E426:I426)</f>
        <v>3423038</v>
      </c>
      <c r="L426" s="6"/>
      <c r="M426" s="438">
        <f t="shared" ref="M426" si="101">+(K426-K425)/K425</f>
        <v>7.9290687495870273E-4</v>
      </c>
      <c r="N426" s="29"/>
      <c r="O426" s="29"/>
      <c r="P426" s="29"/>
      <c r="Q426" s="332">
        <f t="shared" ref="Q426" si="102">+K426-K425</f>
        <v>2712</v>
      </c>
      <c r="R426" s="6"/>
      <c r="S426" s="7">
        <f>52688+25801+8137</f>
        <v>86626</v>
      </c>
      <c r="T426" s="6"/>
      <c r="U426" s="243">
        <f t="shared" ref="U426" si="103">+S426/K426</f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ref="K427" si="104">SUM(E427:I427)</f>
        <v>3425670</v>
      </c>
      <c r="L427" s="6"/>
      <c r="M427" s="438">
        <f t="shared" ref="M427" si="105">+(K427-K426)/K426</f>
        <v>7.6890761948888683E-4</v>
      </c>
      <c r="N427" s="29"/>
      <c r="O427" s="29"/>
      <c r="P427" s="29"/>
      <c r="Q427" s="332">
        <f t="shared" ref="Q427" si="106">+K427-K426</f>
        <v>2632</v>
      </c>
      <c r="R427" s="6"/>
      <c r="S427" s="7">
        <f>52729+25810+8154</f>
        <v>86693</v>
      </c>
      <c r="T427" s="6"/>
      <c r="U427" s="243">
        <f t="shared" ref="U427" si="107">+S427/K427</f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ref="K428" si="108">SUM(E428:I428)</f>
        <v>3428100</v>
      </c>
      <c r="L428" s="6"/>
      <c r="M428" s="438">
        <f t="shared" ref="M428" si="109">+(K428-K427)/K427</f>
        <v>7.0935028768095E-4</v>
      </c>
      <c r="N428" s="29"/>
      <c r="O428" s="29"/>
      <c r="P428" s="29"/>
      <c r="Q428" s="332">
        <f t="shared" ref="Q428" si="110">+K428-K427</f>
        <v>2430</v>
      </c>
      <c r="R428" s="6"/>
      <c r="S428" s="7">
        <f>52770+25841+8156</f>
        <v>86767</v>
      </c>
      <c r="T428" s="6"/>
      <c r="U428" s="243">
        <f t="shared" ref="U428" si="111">+S428/K428</f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ref="K429" si="112">SUM(E429:I429)</f>
        <v>3430797</v>
      </c>
      <c r="L429" s="6"/>
      <c r="M429" s="438">
        <f t="shared" ref="M429" si="113">+(K429-K428)/K428</f>
        <v>7.867331758116741E-4</v>
      </c>
      <c r="N429" s="29"/>
      <c r="O429" s="29"/>
      <c r="P429" s="29"/>
      <c r="Q429" s="332">
        <f t="shared" ref="Q429" si="114">+K429-K428</f>
        <v>2697</v>
      </c>
      <c r="R429" s="6"/>
      <c r="S429" s="7">
        <f>52825+25882+8161</f>
        <v>86868</v>
      </c>
      <c r="T429" s="6"/>
      <c r="U429" s="243">
        <f t="shared" ref="U429" si="115">+S429/K429</f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ref="K430" si="116">SUM(E430:I430)</f>
        <v>3433882</v>
      </c>
      <c r="L430" s="6"/>
      <c r="M430" s="438">
        <f t="shared" ref="M430" si="117">+(K430-K429)/K429</f>
        <v>8.9920796829424769E-4</v>
      </c>
      <c r="N430" s="29"/>
      <c r="O430" s="29"/>
      <c r="P430" s="29"/>
      <c r="Q430" s="332">
        <f t="shared" ref="Q430" si="118">+K430-K429</f>
        <v>3085</v>
      </c>
      <c r="R430" s="6"/>
      <c r="S430" s="7">
        <f>52866+25906+8168</f>
        <v>86940</v>
      </c>
      <c r="T430" s="6"/>
      <c r="U430" s="243">
        <f t="shared" ref="U430" si="119">+S430/K430</f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ref="K431" si="120">SUM(E431:I431)</f>
        <v>3436644</v>
      </c>
      <c r="L431" s="6"/>
      <c r="M431" s="438">
        <f t="shared" ref="M431" si="121">+(K431-K430)/K430</f>
        <v>8.0433748160245455E-4</v>
      </c>
      <c r="N431" s="29"/>
      <c r="O431" s="29"/>
      <c r="P431" s="29"/>
      <c r="Q431" s="332">
        <f t="shared" ref="Q431" si="122">+K431-K430</f>
        <v>2762</v>
      </c>
      <c r="R431" s="6"/>
      <c r="S431" s="7">
        <f>52903+25932+8173</f>
        <v>87008</v>
      </c>
      <c r="T431" s="6"/>
      <c r="U431" s="243">
        <f t="shared" ref="U431" si="123">+S431/K431</f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ref="K432" si="124">SUM(E432:I432)</f>
        <v>3439090</v>
      </c>
      <c r="L432" s="6"/>
      <c r="M432" s="438">
        <f t="shared" ref="M432" si="125">+(K432-K431)/K431</f>
        <v>7.1174087278170215E-4</v>
      </c>
      <c r="N432" s="29"/>
      <c r="O432" s="29"/>
      <c r="P432" s="29"/>
      <c r="Q432" s="332">
        <f t="shared" ref="Q432" si="126">+K432-K431</f>
        <v>2446</v>
      </c>
      <c r="R432" s="6"/>
      <c r="S432" s="7">
        <f>52914+25952+8173</f>
        <v>87039</v>
      </c>
      <c r="T432" s="6"/>
      <c r="U432" s="243">
        <f t="shared" ref="U432" si="127">+S432/K432</f>
        <v>2.5308729925648935E-2</v>
      </c>
      <c r="W432">
        <f t="shared" si="65"/>
        <v>422</v>
      </c>
      <c r="Y432" s="56"/>
    </row>
    <row r="433" spans="3:41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ref="K433" si="128">SUM(E433:I433)</f>
        <v>3441213</v>
      </c>
      <c r="L433" s="6"/>
      <c r="M433" s="438">
        <f t="shared" ref="M433" si="129">+(K433-K432)/K432</f>
        <v>6.1731446400065137E-4</v>
      </c>
      <c r="N433" s="29"/>
      <c r="O433" s="29"/>
      <c r="P433" s="29"/>
      <c r="Q433" s="332">
        <f t="shared" ref="Q433" si="130">+K433-K432</f>
        <v>2123</v>
      </c>
      <c r="R433" s="6"/>
      <c r="S433" s="7">
        <f>52953+25961+8173</f>
        <v>87087</v>
      </c>
      <c r="T433" s="6"/>
      <c r="U433" s="243">
        <f t="shared" ref="U433" si="131">+S433/K433</f>
        <v>2.530706468910817E-2</v>
      </c>
      <c r="W433">
        <f t="shared" si="65"/>
        <v>423</v>
      </c>
      <c r="Y433" s="56"/>
    </row>
    <row r="434" spans="3:41" x14ac:dyDescent="0.3">
      <c r="C434" s="157">
        <f t="shared" si="75"/>
        <v>44333</v>
      </c>
      <c r="E434" s="241"/>
      <c r="F434" s="7"/>
      <c r="G434" s="7"/>
      <c r="H434" s="7"/>
      <c r="I434" s="7"/>
      <c r="J434" s="244"/>
      <c r="K434" s="7"/>
      <c r="L434" s="6"/>
      <c r="M434" s="438"/>
      <c r="N434" s="29"/>
      <c r="O434" s="29"/>
      <c r="P434" s="29"/>
      <c r="Q434" s="332"/>
      <c r="R434" s="6"/>
      <c r="S434" s="7"/>
      <c r="T434" s="6"/>
      <c r="U434" s="243"/>
      <c r="Y434" s="56"/>
    </row>
    <row r="435" spans="3:41" x14ac:dyDescent="0.3">
      <c r="C435" s="157">
        <f t="shared" si="75"/>
        <v>44334</v>
      </c>
      <c r="E435" s="241"/>
      <c r="F435" s="7"/>
      <c r="G435" s="7"/>
      <c r="H435" s="7"/>
      <c r="I435" s="7"/>
      <c r="J435" s="244"/>
      <c r="K435" s="7"/>
      <c r="L435" s="6"/>
      <c r="M435" s="438"/>
      <c r="N435" s="29"/>
      <c r="O435" s="29"/>
      <c r="P435" s="29"/>
      <c r="Q435" s="332"/>
      <c r="R435" s="6"/>
      <c r="S435" s="7"/>
      <c r="T435" s="6"/>
      <c r="U435" s="243"/>
      <c r="Y435" s="56"/>
    </row>
    <row r="436" spans="3:41" x14ac:dyDescent="0.3">
      <c r="C436" s="157">
        <f t="shared" si="75"/>
        <v>44335</v>
      </c>
      <c r="E436" s="241"/>
      <c r="F436" s="7"/>
      <c r="G436" s="7"/>
      <c r="H436" s="7"/>
      <c r="I436" s="7"/>
      <c r="J436" s="244"/>
      <c r="K436" s="7"/>
      <c r="L436" s="6"/>
      <c r="M436" s="438"/>
      <c r="N436" s="29"/>
      <c r="O436" s="29"/>
      <c r="P436" s="29"/>
      <c r="Q436" s="332"/>
      <c r="R436" s="6"/>
      <c r="S436" s="7"/>
      <c r="T436" s="6"/>
      <c r="U436" s="243"/>
      <c r="Y436" s="56"/>
    </row>
    <row r="437" spans="3:41" ht="15" thickBot="1" x14ac:dyDescent="0.35">
      <c r="C437" s="157">
        <f t="shared" si="75"/>
        <v>44336</v>
      </c>
      <c r="E437" s="245"/>
      <c r="F437" s="246"/>
      <c r="G437" s="246"/>
      <c r="H437" s="246"/>
      <c r="I437" s="246"/>
      <c r="J437" s="246"/>
      <c r="K437" s="246"/>
      <c r="L437" s="247"/>
      <c r="M437" s="248"/>
      <c r="N437" s="248"/>
      <c r="O437" s="248"/>
      <c r="P437" s="248"/>
      <c r="Q437" s="331"/>
      <c r="R437" s="247"/>
      <c r="S437" s="247"/>
      <c r="T437" s="247"/>
      <c r="U437" s="249"/>
      <c r="W437">
        <f>+W405+1</f>
        <v>396</v>
      </c>
      <c r="Y437" s="59"/>
    </row>
    <row r="438" spans="3:41" x14ac:dyDescent="0.3">
      <c r="E438" s="56"/>
      <c r="F438" s="1"/>
      <c r="G438" s="56"/>
      <c r="H438" s="56"/>
      <c r="I438" s="56"/>
      <c r="J438" s="1"/>
      <c r="K438" s="56"/>
      <c r="S438" s="56"/>
    </row>
    <row r="439" spans="3:41" x14ac:dyDescent="0.3">
      <c r="C439" s="166" t="s">
        <v>73</v>
      </c>
      <c r="E439" s="56">
        <f>+E433</f>
        <v>2085477</v>
      </c>
      <c r="F439" s="56"/>
      <c r="G439" s="56">
        <f t="shared" ref="G439:U439" si="132">+G433</f>
        <v>1010759</v>
      </c>
      <c r="H439" s="56">
        <f t="shared" si="132"/>
        <v>0</v>
      </c>
      <c r="I439" s="56">
        <f t="shared" si="132"/>
        <v>344977</v>
      </c>
      <c r="J439" s="56">
        <f t="shared" si="132"/>
        <v>0</v>
      </c>
      <c r="K439" s="56">
        <f t="shared" si="132"/>
        <v>3441213</v>
      </c>
      <c r="L439" s="56">
        <f t="shared" si="132"/>
        <v>0</v>
      </c>
      <c r="M439" s="56">
        <f t="shared" si="132"/>
        <v>6.1731446400065137E-4</v>
      </c>
      <c r="N439" s="56">
        <f t="shared" si="132"/>
        <v>0</v>
      </c>
      <c r="O439" s="56">
        <f t="shared" si="132"/>
        <v>0</v>
      </c>
      <c r="P439" s="56">
        <f t="shared" si="132"/>
        <v>0</v>
      </c>
      <c r="Q439" s="56">
        <f t="shared" si="132"/>
        <v>2123</v>
      </c>
      <c r="R439" s="56">
        <f t="shared" si="132"/>
        <v>0</v>
      </c>
      <c r="S439" s="56">
        <f t="shared" si="132"/>
        <v>87087</v>
      </c>
      <c r="T439" s="56">
        <f t="shared" si="132"/>
        <v>0</v>
      </c>
      <c r="U439" s="56">
        <f t="shared" si="132"/>
        <v>2.530706468910817E-2</v>
      </c>
      <c r="V439" s="56">
        <f>+V259</f>
        <v>0</v>
      </c>
    </row>
    <row r="440" spans="3:41" x14ac:dyDescent="0.3">
      <c r="E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</row>
    <row r="441" spans="3:41" x14ac:dyDescent="0.3">
      <c r="E441" s="59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</row>
    <row r="442" spans="3:41" x14ac:dyDescent="0.3">
      <c r="C442" s="111"/>
      <c r="D442" s="112"/>
      <c r="E442" s="349"/>
      <c r="F442" s="10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</row>
    <row r="443" spans="3:41" x14ac:dyDescent="0.3">
      <c r="E443" s="56"/>
      <c r="K443" s="56"/>
      <c r="Q443" s="56"/>
    </row>
    <row r="444" spans="3:41" x14ac:dyDescent="0.3">
      <c r="D444" s="549" t="s">
        <v>26</v>
      </c>
      <c r="E444" t="s">
        <v>158</v>
      </c>
      <c r="K444" s="549"/>
      <c r="Q444" s="56"/>
      <c r="S444" s="59"/>
    </row>
    <row r="447" spans="3:41" x14ac:dyDescent="0.3">
      <c r="AO447" s="1">
        <v>3797000</v>
      </c>
    </row>
    <row r="448" spans="3:41" x14ac:dyDescent="0.3">
      <c r="C448" s="1"/>
    </row>
    <row r="449" spans="3:41" x14ac:dyDescent="0.3">
      <c r="C449" s="1"/>
      <c r="AO449" s="1">
        <v>30000</v>
      </c>
    </row>
    <row r="450" spans="3:41" x14ac:dyDescent="0.3">
      <c r="C450" s="59"/>
    </row>
    <row r="451" spans="3:41" x14ac:dyDescent="0.3">
      <c r="AO451" s="235">
        <f>+AO449/AO447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28"/>
  <sheetViews>
    <sheetView topLeftCell="A355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59" t="s">
        <v>101</v>
      </c>
      <c r="U3" s="660"/>
      <c r="V3" s="660"/>
      <c r="W3" s="660"/>
      <c r="X3" s="660"/>
      <c r="Y3" s="660"/>
      <c r="Z3" s="660"/>
      <c r="AA3" s="660"/>
      <c r="AB3" s="660"/>
      <c r="AC3" s="660"/>
      <c r="AD3" s="661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1.0158449131135189E-2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62" t="s">
        <v>91</v>
      </c>
      <c r="F15" s="662"/>
      <c r="G15" s="662"/>
      <c r="H15" s="662"/>
      <c r="I15" s="662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68" t="s">
        <v>44</v>
      </c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70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1" t="s">
        <v>67</v>
      </c>
      <c r="F19" s="671"/>
      <c r="G19" s="671"/>
      <c r="H19" s="671"/>
      <c r="I19" s="134" t="s">
        <v>66</v>
      </c>
      <c r="J19" s="135"/>
      <c r="K19" s="676" t="s">
        <v>64</v>
      </c>
      <c r="L19" s="676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Table'!H422</f>
        <v>33009513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Table'!AA437</f>
        <v>588447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7971</v>
      </c>
      <c r="J22" s="116"/>
      <c r="K22" s="127"/>
      <c r="L22" s="238">
        <v>8016</v>
      </c>
      <c r="M22" s="127"/>
      <c r="N22" s="147">
        <f>+(I22-L22)/I22</f>
        <v>-5.6454648099360178E-3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32413095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Table'!AP437</f>
        <v>27136020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72" t="s">
        <v>47</v>
      </c>
      <c r="E25" s="673"/>
      <c r="F25" s="673"/>
      <c r="G25" s="673"/>
      <c r="H25" s="673"/>
      <c r="I25" s="119">
        <f>+I23-I24</f>
        <v>5277075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27136020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72" t="s">
        <v>44</v>
      </c>
      <c r="E27" s="673"/>
      <c r="F27" s="673"/>
      <c r="G27" s="673"/>
      <c r="H27" s="673"/>
      <c r="I27" s="136">
        <f>+I25+I26</f>
        <v>32413095</v>
      </c>
      <c r="J27" s="116"/>
      <c r="K27" s="677">
        <v>32365520</v>
      </c>
      <c r="L27" s="677"/>
      <c r="M27" s="127"/>
      <c r="N27" s="137">
        <f>+I27-K27</f>
        <v>47575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74" t="s">
        <v>61</v>
      </c>
      <c r="F28" s="674"/>
      <c r="G28" s="674"/>
      <c r="H28" s="124"/>
      <c r="I28" s="232">
        <f>+I27/I32</f>
        <v>0.97219179101570008</v>
      </c>
      <c r="J28" s="127"/>
      <c r="K28" s="127"/>
      <c r="L28" s="127"/>
      <c r="M28" s="98"/>
      <c r="N28" s="463">
        <f>+N27/K27</f>
        <v>1.4699284918023871E-3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83" t="s">
        <v>101</v>
      </c>
      <c r="F31" s="684"/>
      <c r="G31" s="684"/>
      <c r="H31" s="684"/>
      <c r="I31" s="684"/>
      <c r="J31" s="685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78">
        <f>+'Main Table'!H437</f>
        <v>33340227</v>
      </c>
      <c r="J32" s="678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79">
        <f>+I27</f>
        <v>32413095</v>
      </c>
      <c r="J34" s="680"/>
      <c r="K34" s="22"/>
      <c r="L34" s="25">
        <f>+I34/$I$32</f>
        <v>0.97219179101570008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86">
        <f>+I21</f>
        <v>588447</v>
      </c>
      <c r="J35" s="687"/>
      <c r="K35" s="22"/>
      <c r="L35" s="25">
        <f>+I35/$I$32</f>
        <v>1.7649759853164766E-2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75" t="s">
        <v>101</v>
      </c>
      <c r="F36" s="675"/>
      <c r="G36" s="675"/>
      <c r="H36" s="233"/>
      <c r="I36" s="681">
        <f>+I32-I34-I35</f>
        <v>338685</v>
      </c>
      <c r="J36" s="682"/>
      <c r="K36" s="259"/>
      <c r="L36" s="234">
        <f>+I36/$I$32</f>
        <v>1.0158449131135189E-2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63" t="s">
        <v>114</v>
      </c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5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66" t="s">
        <v>67</v>
      </c>
      <c r="F42" s="666"/>
      <c r="G42" s="666"/>
      <c r="H42" s="666"/>
      <c r="I42" s="260" t="s">
        <v>66</v>
      </c>
      <c r="J42" s="261"/>
      <c r="K42" s="667" t="s">
        <v>35</v>
      </c>
      <c r="L42" s="667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Table'!AP455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9" t="s">
        <v>47</v>
      </c>
      <c r="E48" s="690"/>
      <c r="F48" s="690"/>
      <c r="G48" s="690"/>
      <c r="H48" s="690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9" t="s">
        <v>44</v>
      </c>
      <c r="E50" s="690"/>
      <c r="F50" s="690"/>
      <c r="G50" s="690"/>
      <c r="H50" s="690"/>
      <c r="I50" s="340">
        <f>+I48+I49</f>
        <v>22172</v>
      </c>
      <c r="J50" s="336"/>
      <c r="K50" s="691">
        <v>30167</v>
      </c>
      <c r="L50" s="691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2" t="s">
        <v>61</v>
      </c>
      <c r="F51" s="692"/>
      <c r="G51" s="692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55" t="s">
        <v>115</v>
      </c>
      <c r="F54" s="656"/>
      <c r="G54" s="656"/>
      <c r="H54" s="656"/>
      <c r="I54" s="656"/>
      <c r="J54" s="657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3">
        <f>+K50</f>
        <v>30167</v>
      </c>
      <c r="J55" s="693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4">
        <f>+I50</f>
        <v>22172</v>
      </c>
      <c r="J57" s="695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6">
        <f>+I44</f>
        <v>1836</v>
      </c>
      <c r="J58" s="697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8" t="s">
        <v>101</v>
      </c>
      <c r="F59" s="698"/>
      <c r="G59" s="698"/>
      <c r="H59" s="267"/>
      <c r="I59" s="658">
        <f>+I55-I57-I58</f>
        <v>6159</v>
      </c>
      <c r="J59" s="699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0">
        <f>+I45</f>
        <v>1397</v>
      </c>
      <c r="J60" s="700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58">
        <f>+I59-I60</f>
        <v>4762</v>
      </c>
      <c r="J61" s="658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55" t="s">
        <v>104</v>
      </c>
      <c r="F64" s="656"/>
      <c r="G64" s="656"/>
      <c r="H64" s="656"/>
      <c r="I64" s="656"/>
      <c r="J64" s="656"/>
      <c r="K64" s="656"/>
      <c r="L64" s="656"/>
      <c r="M64" s="657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8">
        <v>11690000</v>
      </c>
      <c r="J65" s="688"/>
      <c r="K65" s="688"/>
      <c r="L65" s="688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54" t="s">
        <v>95</v>
      </c>
      <c r="G67" s="654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17" t="s">
        <v>118</v>
      </c>
      <c r="E72" s="718"/>
      <c r="F72" s="718"/>
      <c r="G72" s="718"/>
      <c r="H72" s="718"/>
      <c r="I72" s="718"/>
      <c r="J72" s="718"/>
      <c r="K72" s="718"/>
      <c r="L72" s="718"/>
      <c r="M72" s="718"/>
      <c r="N72" s="718"/>
      <c r="O72" s="719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0" t="s">
        <v>67</v>
      </c>
      <c r="F73" s="720"/>
      <c r="G73" s="720"/>
      <c r="H73" s="720"/>
      <c r="I73" s="355" t="s">
        <v>66</v>
      </c>
      <c r="J73" s="356"/>
      <c r="K73" s="721" t="s">
        <v>35</v>
      </c>
      <c r="L73" s="721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Table'!AP496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22" t="s">
        <v>47</v>
      </c>
      <c r="E79" s="723"/>
      <c r="F79" s="723"/>
      <c r="G79" s="723"/>
      <c r="H79" s="723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22" t="s">
        <v>44</v>
      </c>
      <c r="E81" s="723"/>
      <c r="F81" s="723"/>
      <c r="G81" s="723"/>
      <c r="H81" s="723"/>
      <c r="I81" s="370">
        <f>+I79+I80</f>
        <v>36684</v>
      </c>
      <c r="J81" s="363"/>
      <c r="K81" s="725">
        <v>48675</v>
      </c>
      <c r="L81" s="725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24" t="s">
        <v>61</v>
      </c>
      <c r="F82" s="724"/>
      <c r="G82" s="724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1.0158449131135189E-2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1.0158449131135189E-2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1.0158449131135189E-2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1.0158449131135189E-2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391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ref="AA375" si="22">+W374-W375</f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ref="AA376" si="23">+W375-W376</f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ref="AA377" si="24">+W376-W377</f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ref="AA378" si="25">+W377-W378</f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ref="AA379" si="26">+W378-W379</f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ref="AA380" si="27">+W379-W380</f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ref="AA381" si="28">+W380-W381</f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ref="AA382" si="29">+W381-W382</f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ref="AA383" si="30">+W382-W383</f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ref="AA384" si="31">+W383-W384</f>
        <v>725</v>
      </c>
      <c r="AB384" s="6"/>
      <c r="AC384" s="258"/>
      <c r="AD384" s="251"/>
    </row>
    <row r="385" spans="5:36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ref="AA385" si="32">+W384-W385</f>
        <v>3524</v>
      </c>
      <c r="AB385" s="6"/>
      <c r="AC385" s="258"/>
      <c r="AD385" s="251"/>
    </row>
    <row r="386" spans="5:36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ref="AA386" si="33">+W385-W386</f>
        <v>20817</v>
      </c>
      <c r="AB386" s="6"/>
      <c r="AC386" s="258"/>
      <c r="AD386" s="251"/>
    </row>
    <row r="387" spans="5:36" x14ac:dyDescent="0.3">
      <c r="O387" s="98"/>
      <c r="T387" s="250"/>
      <c r="U387" s="573">
        <f t="shared" si="21"/>
        <v>44332</v>
      </c>
      <c r="V387" s="6"/>
      <c r="W387" s="253">
        <f>+I$36</f>
        <v>338685</v>
      </c>
      <c r="X387" s="6"/>
      <c r="Y387" s="44">
        <f>+L$36</f>
        <v>1.0158449131135189E-2</v>
      </c>
      <c r="Z387" s="6"/>
      <c r="AA387" s="254">
        <f t="shared" ref="AA387" si="34">+W386-W387</f>
        <v>30030</v>
      </c>
      <c r="AB387" s="6"/>
      <c r="AC387" s="258"/>
      <c r="AD387" s="251"/>
    </row>
    <row r="388" spans="5:36" x14ac:dyDescent="0.3">
      <c r="O388" s="98"/>
      <c r="T388" s="250"/>
      <c r="U388" s="252">
        <f t="shared" si="21"/>
        <v>44333</v>
      </c>
      <c r="V388" s="6"/>
      <c r="W388" s="253"/>
      <c r="X388" s="6"/>
      <c r="Y388" s="44"/>
      <c r="Z388" s="6"/>
      <c r="AA388" s="254"/>
      <c r="AB388" s="6"/>
      <c r="AC388" s="258"/>
      <c r="AD388" s="251"/>
    </row>
    <row r="389" spans="5:36" x14ac:dyDescent="0.3">
      <c r="O389" s="98"/>
      <c r="T389" s="250"/>
      <c r="U389" s="252">
        <f t="shared" si="21"/>
        <v>44334</v>
      </c>
      <c r="V389" s="6"/>
      <c r="W389" s="253"/>
      <c r="X389" s="6"/>
      <c r="Y389" s="44"/>
      <c r="Z389" s="6"/>
      <c r="AA389" s="254"/>
      <c r="AB389" s="6"/>
      <c r="AC389" s="258"/>
      <c r="AD389" s="251"/>
    </row>
    <row r="390" spans="5:36" x14ac:dyDescent="0.3">
      <c r="O390" s="98"/>
      <c r="T390" s="250"/>
      <c r="U390" s="252">
        <f t="shared" si="21"/>
        <v>44335</v>
      </c>
      <c r="V390" s="6"/>
      <c r="W390" s="253"/>
      <c r="X390" s="6"/>
      <c r="Y390" s="44"/>
      <c r="Z390" s="6"/>
      <c r="AA390" s="254"/>
      <c r="AB390" s="6"/>
      <c r="AC390" s="258"/>
      <c r="AD390" s="251"/>
    </row>
    <row r="391" spans="5:36" x14ac:dyDescent="0.3">
      <c r="O391" s="98"/>
      <c r="T391" s="250"/>
      <c r="U391" s="252">
        <f t="shared" si="21"/>
        <v>44336</v>
      </c>
      <c r="V391" s="6"/>
      <c r="W391" s="253"/>
      <c r="X391" s="6"/>
      <c r="Y391" s="44"/>
      <c r="Z391" s="6"/>
      <c r="AA391" s="254"/>
      <c r="AB391" s="6"/>
      <c r="AC391" s="258"/>
      <c r="AD391" s="251"/>
    </row>
    <row r="392" spans="5:36" ht="15" thickBot="1" x14ac:dyDescent="0.35">
      <c r="O392" s="98"/>
      <c r="T392" s="255"/>
      <c r="U392" s="350">
        <f>+U391+1</f>
        <v>44337</v>
      </c>
      <c r="V392" s="247"/>
      <c r="W392" s="351"/>
      <c r="X392" s="247"/>
      <c r="Y392" s="256"/>
      <c r="Z392" s="247"/>
      <c r="AA392" s="352"/>
      <c r="AB392" s="247"/>
      <c r="AC392" s="353"/>
      <c r="AD392" s="257"/>
    </row>
    <row r="393" spans="5:36" x14ac:dyDescent="0.3">
      <c r="O393" s="98"/>
    </row>
    <row r="394" spans="5:36" x14ac:dyDescent="0.3">
      <c r="O394" s="98"/>
      <c r="P394" s="57"/>
      <c r="Q394" s="57"/>
      <c r="R394" s="57"/>
    </row>
    <row r="395" spans="5:36" x14ac:dyDescent="0.3">
      <c r="O395" s="98"/>
    </row>
    <row r="396" spans="5:36" ht="15" thickBot="1" x14ac:dyDescent="0.35">
      <c r="O396" s="98"/>
    </row>
    <row r="397" spans="5:36" ht="15.6" thickTop="1" thickBot="1" x14ac:dyDescent="0.35">
      <c r="Q397" s="441"/>
      <c r="R397" s="442"/>
      <c r="S397" s="442"/>
      <c r="T397" s="442"/>
      <c r="U397" s="442"/>
      <c r="V397" s="442"/>
      <c r="W397" s="442"/>
      <c r="X397" s="442"/>
      <c r="Y397" s="442"/>
      <c r="Z397" s="442"/>
      <c r="AA397" s="442"/>
      <c r="AB397" s="443"/>
    </row>
    <row r="398" spans="5:36" ht="15" thickBot="1" x14ac:dyDescent="0.35">
      <c r="E398" s="704" t="s">
        <v>106</v>
      </c>
      <c r="F398" s="705"/>
      <c r="G398" s="705"/>
      <c r="H398" s="705"/>
      <c r="I398" s="705"/>
      <c r="J398" s="705"/>
      <c r="K398" s="705"/>
      <c r="L398" s="705"/>
      <c r="M398" s="706"/>
      <c r="Q398" s="444"/>
      <c r="R398" s="6"/>
      <c r="S398" s="6"/>
      <c r="T398" s="6"/>
      <c r="U398" s="5" t="s">
        <v>132</v>
      </c>
      <c r="V398" s="5"/>
      <c r="W398" s="5"/>
      <c r="X398" s="5"/>
      <c r="Y398" s="5"/>
      <c r="Z398" s="5"/>
      <c r="AA398" s="5" t="s">
        <v>28</v>
      </c>
      <c r="AB398" s="445"/>
    </row>
    <row r="399" spans="5:36" x14ac:dyDescent="0.3">
      <c r="E399" s="395"/>
      <c r="F399" s="396" t="s">
        <v>107</v>
      </c>
      <c r="G399" s="396"/>
      <c r="H399" s="396"/>
      <c r="I399" s="707">
        <v>21477737</v>
      </c>
      <c r="J399" s="707"/>
      <c r="K399" s="707"/>
      <c r="L399" s="707"/>
      <c r="M399" s="397"/>
      <c r="Q399" s="444"/>
      <c r="R399" s="437" t="s">
        <v>134</v>
      </c>
      <c r="S399" s="6"/>
      <c r="T399" s="6"/>
      <c r="U399" s="437" t="s">
        <v>133</v>
      </c>
      <c r="V399" s="5"/>
      <c r="W399" s="437" t="s">
        <v>20</v>
      </c>
      <c r="X399" s="5"/>
      <c r="Y399" s="437" t="s">
        <v>4</v>
      </c>
      <c r="Z399" s="5"/>
      <c r="AA399" s="446" t="s">
        <v>131</v>
      </c>
      <c r="AB399" s="445"/>
    </row>
    <row r="400" spans="5:36" x14ac:dyDescent="0.3">
      <c r="E400" s="395"/>
      <c r="F400" s="396" t="s">
        <v>97</v>
      </c>
      <c r="G400" s="396"/>
      <c r="H400" s="396"/>
      <c r="I400" s="396"/>
      <c r="J400" s="396"/>
      <c r="K400" s="396"/>
      <c r="L400" s="398">
        <f>+I412/I399</f>
        <v>4.5847474526762295E-4</v>
      </c>
      <c r="M400" s="397"/>
      <c r="Q400" s="444"/>
      <c r="R400" s="6" t="s">
        <v>121</v>
      </c>
      <c r="S400" s="6"/>
      <c r="T400" s="6"/>
      <c r="U400" s="7">
        <v>2003</v>
      </c>
      <c r="V400" s="6"/>
      <c r="W400" s="7">
        <v>389666</v>
      </c>
      <c r="X400" s="6"/>
      <c r="Y400" s="7">
        <v>31257</v>
      </c>
      <c r="Z400" s="6"/>
      <c r="AA400" s="253">
        <f>+AJ400</f>
        <v>19500</v>
      </c>
      <c r="AB400" s="445"/>
      <c r="AJ400" s="1">
        <v>19500</v>
      </c>
    </row>
    <row r="401" spans="4:36" x14ac:dyDescent="0.3">
      <c r="E401" s="395"/>
      <c r="F401" s="708" t="s">
        <v>95</v>
      </c>
      <c r="G401" s="708"/>
      <c r="H401" s="396"/>
      <c r="I401" s="396"/>
      <c r="J401" s="396"/>
      <c r="K401" s="396"/>
      <c r="L401" s="399">
        <f>+I412/(I399/100000)</f>
        <v>45.847474526762298</v>
      </c>
      <c r="M401" s="397"/>
      <c r="Q401" s="444"/>
      <c r="R401" s="6" t="s">
        <v>122</v>
      </c>
      <c r="S401" s="6"/>
      <c r="T401" s="6"/>
      <c r="U401" s="7">
        <v>1913</v>
      </c>
      <c r="V401" s="6"/>
      <c r="W401" s="7">
        <v>169892</v>
      </c>
      <c r="X401" s="6"/>
      <c r="Y401" s="7">
        <v>13076</v>
      </c>
      <c r="Z401" s="6"/>
      <c r="AA401" s="253">
        <f t="shared" ref="AA401:AA409" si="35">+AJ401</f>
        <v>8900</v>
      </c>
      <c r="AB401" s="445"/>
      <c r="AJ401" s="1">
        <v>8900</v>
      </c>
    </row>
    <row r="402" spans="4:36" x14ac:dyDescent="0.3">
      <c r="E402" s="395"/>
      <c r="F402" s="400"/>
      <c r="G402" s="400"/>
      <c r="H402" s="396"/>
      <c r="I402" s="396"/>
      <c r="J402" s="396"/>
      <c r="K402" s="396"/>
      <c r="L402" s="399"/>
      <c r="M402" s="397"/>
      <c r="Q402" s="444"/>
      <c r="R402" s="6" t="s">
        <v>123</v>
      </c>
      <c r="S402" s="6"/>
      <c r="T402" s="6"/>
      <c r="U402" s="7">
        <v>1568</v>
      </c>
      <c r="V402" s="6"/>
      <c r="W402" s="7">
        <v>16606</v>
      </c>
      <c r="X402" s="6"/>
      <c r="Y402" s="7">
        <v>912</v>
      </c>
      <c r="Z402" s="6"/>
      <c r="AA402" s="253">
        <f t="shared" si="35"/>
        <v>1100</v>
      </c>
      <c r="AB402" s="445"/>
      <c r="AJ402" s="1">
        <v>1100</v>
      </c>
    </row>
    <row r="403" spans="4:36" x14ac:dyDescent="0.3">
      <c r="E403" s="395"/>
      <c r="F403" s="400" t="s">
        <v>108</v>
      </c>
      <c r="G403" s="400"/>
      <c r="H403" s="708" t="s">
        <v>109</v>
      </c>
      <c r="I403" s="708"/>
      <c r="J403" s="396"/>
      <c r="K403" s="396"/>
      <c r="L403" s="399"/>
      <c r="M403" s="397"/>
      <c r="Q403" s="444"/>
      <c r="R403" s="6" t="s">
        <v>56</v>
      </c>
      <c r="S403" s="6"/>
      <c r="T403" s="6"/>
      <c r="U403" s="7">
        <v>1561</v>
      </c>
      <c r="V403" s="6"/>
      <c r="W403" s="7">
        <v>107611</v>
      </c>
      <c r="X403" s="6"/>
      <c r="Y403" s="7">
        <v>7937</v>
      </c>
      <c r="Z403" s="6"/>
      <c r="AA403" s="253">
        <f t="shared" si="35"/>
        <v>7000</v>
      </c>
      <c r="AB403" s="445"/>
      <c r="AJ403" s="1">
        <v>7000</v>
      </c>
    </row>
    <row r="404" spans="4:36" ht="15" thickBot="1" x14ac:dyDescent="0.35">
      <c r="E404" s="401"/>
      <c r="F404" s="402"/>
      <c r="G404" s="402"/>
      <c r="H404" s="402"/>
      <c r="I404" s="402"/>
      <c r="J404" s="402"/>
      <c r="K404" s="402"/>
      <c r="L404" s="402"/>
      <c r="M404" s="403"/>
      <c r="Q404" s="444"/>
      <c r="R404" s="6" t="s">
        <v>128</v>
      </c>
      <c r="S404" s="6"/>
      <c r="T404" s="6"/>
      <c r="U404" s="7">
        <v>1435</v>
      </c>
      <c r="V404" s="6"/>
      <c r="W404" s="7">
        <v>10128</v>
      </c>
      <c r="X404" s="6"/>
      <c r="Y404" s="7">
        <v>541</v>
      </c>
      <c r="Z404" s="6"/>
      <c r="AA404" s="253">
        <f t="shared" si="35"/>
        <v>700</v>
      </c>
      <c r="AB404" s="445"/>
      <c r="AJ404" s="1">
        <v>700</v>
      </c>
    </row>
    <row r="405" spans="4:36" x14ac:dyDescent="0.3">
      <c r="Q405" s="444"/>
      <c r="R405" s="6" t="s">
        <v>124</v>
      </c>
      <c r="S405" s="6"/>
      <c r="T405" s="6"/>
      <c r="U405" s="7">
        <v>1288</v>
      </c>
      <c r="V405" s="6"/>
      <c r="W405" s="7">
        <v>45913</v>
      </c>
      <c r="X405" s="6"/>
      <c r="Y405" s="7">
        <v>4287</v>
      </c>
      <c r="Z405" s="6"/>
      <c r="AA405" s="253">
        <f t="shared" si="35"/>
        <v>3600</v>
      </c>
      <c r="AB405" s="445"/>
      <c r="AJ405" s="1">
        <v>3600</v>
      </c>
    </row>
    <row r="406" spans="4:36" ht="15" thickBot="1" x14ac:dyDescent="0.35">
      <c r="D406" s="78"/>
      <c r="E406" s="139"/>
      <c r="F406" s="139"/>
      <c r="G406" s="139"/>
      <c r="H406" s="139"/>
      <c r="I406" s="310"/>
      <c r="J406" s="78"/>
      <c r="K406" s="98"/>
      <c r="L406" s="98"/>
      <c r="M406" s="98"/>
      <c r="N406" s="98"/>
      <c r="Q406" s="444"/>
      <c r="R406" s="6" t="s">
        <v>129</v>
      </c>
      <c r="S406" s="6"/>
      <c r="T406" s="6"/>
      <c r="U406" s="7">
        <v>1129</v>
      </c>
      <c r="V406" s="6"/>
      <c r="W406" s="7">
        <v>52477</v>
      </c>
      <c r="X406" s="6"/>
      <c r="Y406" s="7">
        <v>3152</v>
      </c>
      <c r="Z406" s="6"/>
      <c r="AA406" s="253">
        <f t="shared" si="35"/>
        <v>4600</v>
      </c>
      <c r="AB406" s="445"/>
      <c r="AJ406" s="1">
        <v>4600</v>
      </c>
    </row>
    <row r="407" spans="4:36" ht="16.2" thickBot="1" x14ac:dyDescent="0.35">
      <c r="D407" s="381"/>
      <c r="E407" s="709" t="s">
        <v>119</v>
      </c>
      <c r="F407" s="710"/>
      <c r="G407" s="710"/>
      <c r="H407" s="710"/>
      <c r="I407" s="710"/>
      <c r="J407" s="711"/>
      <c r="K407" s="382"/>
      <c r="L407" s="394" t="s">
        <v>10</v>
      </c>
      <c r="M407" s="383"/>
      <c r="N407" s="98"/>
      <c r="Q407" s="444"/>
      <c r="R407" s="6" t="s">
        <v>125</v>
      </c>
      <c r="S407" s="6"/>
      <c r="T407" s="6"/>
      <c r="U407" s="7">
        <v>1118</v>
      </c>
      <c r="V407" s="6"/>
      <c r="W407" s="7">
        <v>10889</v>
      </c>
      <c r="X407" s="6"/>
      <c r="Y407" s="7">
        <v>505</v>
      </c>
      <c r="Z407" s="6"/>
      <c r="AA407" s="253">
        <f t="shared" si="35"/>
        <v>980</v>
      </c>
      <c r="AB407" s="445"/>
      <c r="AJ407" s="1">
        <v>980</v>
      </c>
    </row>
    <row r="408" spans="4:36" x14ac:dyDescent="0.3">
      <c r="D408" s="360"/>
      <c r="E408" s="384" t="s">
        <v>75</v>
      </c>
      <c r="F408" s="16"/>
      <c r="G408" s="16"/>
      <c r="H408" s="16"/>
      <c r="I408" s="712">
        <f>+K81</f>
        <v>48675</v>
      </c>
      <c r="J408" s="712"/>
      <c r="K408" s="16"/>
      <c r="L408" s="60">
        <f>+I408/$I$408</f>
        <v>1</v>
      </c>
      <c r="M408" s="385"/>
      <c r="N408" s="98"/>
      <c r="Q408" s="444"/>
      <c r="R408" s="6" t="s">
        <v>126</v>
      </c>
      <c r="S408" s="6"/>
      <c r="T408" s="6"/>
      <c r="U408" s="7">
        <v>1093</v>
      </c>
      <c r="V408" s="6"/>
      <c r="W408" s="7">
        <v>138546</v>
      </c>
      <c r="X408" s="6"/>
      <c r="Y408" s="7">
        <v>6770</v>
      </c>
      <c r="Z408" s="6"/>
      <c r="AA408" s="253">
        <f t="shared" si="35"/>
        <v>12700</v>
      </c>
      <c r="AB408" s="445"/>
      <c r="AJ408" s="1">
        <v>12700</v>
      </c>
    </row>
    <row r="409" spans="4:36" x14ac:dyDescent="0.3">
      <c r="D409" s="360"/>
      <c r="E409" s="384"/>
      <c r="F409" s="16"/>
      <c r="G409" s="16"/>
      <c r="H409" s="16"/>
      <c r="I409" s="16"/>
      <c r="J409" s="16"/>
      <c r="K409" s="16"/>
      <c r="L409" s="16"/>
      <c r="M409" s="385"/>
      <c r="N409" s="98"/>
      <c r="Q409" s="444"/>
      <c r="R409" s="6" t="s">
        <v>127</v>
      </c>
      <c r="S409" s="6"/>
      <c r="T409" s="6"/>
      <c r="U409" s="447">
        <v>1081</v>
      </c>
      <c r="V409" s="6"/>
      <c r="W409" s="447">
        <v>65337</v>
      </c>
      <c r="X409" s="6"/>
      <c r="Y409" s="447">
        <v>3108</v>
      </c>
      <c r="Z409" s="6"/>
      <c r="AA409" s="448">
        <f t="shared" si="35"/>
        <v>6100</v>
      </c>
      <c r="AB409" s="445"/>
      <c r="AJ409" s="439">
        <v>6100</v>
      </c>
    </row>
    <row r="410" spans="4:36" x14ac:dyDescent="0.3">
      <c r="D410" s="372"/>
      <c r="E410" s="15"/>
      <c r="F410" s="386" t="s">
        <v>100</v>
      </c>
      <c r="G410" s="386"/>
      <c r="H410" s="15"/>
      <c r="I410" s="713">
        <f>+I81</f>
        <v>36684</v>
      </c>
      <c r="J410" s="714"/>
      <c r="K410" s="15"/>
      <c r="L410" s="60">
        <f>+I410/$I$408</f>
        <v>0.75365177195685673</v>
      </c>
      <c r="M410" s="365"/>
      <c r="N410" s="98"/>
      <c r="Q410" s="444"/>
      <c r="R410" s="5" t="s">
        <v>31</v>
      </c>
      <c r="S410" s="6"/>
      <c r="T410" s="6"/>
      <c r="U410" s="253">
        <f>+W410/(AA410/100)</f>
        <v>1545.0521632402579</v>
      </c>
      <c r="V410" s="6"/>
      <c r="W410" s="253">
        <f>SUM(W400:W409)</f>
        <v>1007065</v>
      </c>
      <c r="X410" s="6"/>
      <c r="Y410" s="253">
        <f>SUM(Y400:Y409)</f>
        <v>71545</v>
      </c>
      <c r="Z410" s="6"/>
      <c r="AA410" s="253">
        <f>SUM(AA400:AA409)</f>
        <v>65180</v>
      </c>
      <c r="AB410" s="445"/>
      <c r="AJ410" s="56">
        <f>SUM(AJ400:AJ409)</f>
        <v>65180</v>
      </c>
    </row>
    <row r="411" spans="4:36" x14ac:dyDescent="0.3">
      <c r="D411" s="372"/>
      <c r="E411" s="15"/>
      <c r="F411" s="15" t="s">
        <v>76</v>
      </c>
      <c r="G411" s="15"/>
      <c r="H411" s="15"/>
      <c r="I411" s="715">
        <f>+I75</f>
        <v>2144</v>
      </c>
      <c r="J411" s="716"/>
      <c r="K411" s="15"/>
      <c r="L411" s="60">
        <f>+I411/$I$408</f>
        <v>4.4047252182845401E-2</v>
      </c>
      <c r="M411" s="365"/>
      <c r="N411" s="98"/>
      <c r="Q411" s="444"/>
      <c r="R411" s="5"/>
      <c r="S411" s="6"/>
      <c r="T411" s="6"/>
      <c r="U411" s="6"/>
      <c r="V411" s="6"/>
      <c r="W411" s="253"/>
      <c r="X411" s="6"/>
      <c r="Y411" s="253"/>
      <c r="Z411" s="6"/>
      <c r="AA411" s="6"/>
      <c r="AB411" s="445"/>
      <c r="AJ411" s="56"/>
    </row>
    <row r="412" spans="4:36" ht="15" thickBot="1" x14ac:dyDescent="0.35">
      <c r="D412" s="372"/>
      <c r="E412" s="701" t="s">
        <v>101</v>
      </c>
      <c r="F412" s="701"/>
      <c r="G412" s="701"/>
      <c r="H412" s="15"/>
      <c r="I412" s="702">
        <f>+I408-I410-I411</f>
        <v>9847</v>
      </c>
      <c r="J412" s="703"/>
      <c r="K412" s="387"/>
      <c r="L412" s="388">
        <f>+I412/$I$408</f>
        <v>0.20230097586029788</v>
      </c>
      <c r="M412" s="365"/>
      <c r="N412" s="98"/>
      <c r="Q412" s="444"/>
      <c r="R412" s="5" t="s">
        <v>57</v>
      </c>
      <c r="S412" s="6"/>
      <c r="T412" s="6"/>
      <c r="U412" s="7">
        <v>7441</v>
      </c>
      <c r="V412" s="6"/>
      <c r="W412" s="7">
        <f>+'Main Table'!H106</f>
        <v>3029734</v>
      </c>
      <c r="X412" s="6"/>
      <c r="Y412" s="7">
        <f>+'Main Table'!AA106</f>
        <v>129682</v>
      </c>
      <c r="Z412" s="6"/>
      <c r="AA412" s="253">
        <v>331000</v>
      </c>
      <c r="AB412" s="445"/>
      <c r="AJ412" s="56">
        <v>333000</v>
      </c>
    </row>
    <row r="413" spans="4:36" ht="15.6" thickTop="1" thickBot="1" x14ac:dyDescent="0.35">
      <c r="D413" s="372"/>
      <c r="E413" s="389"/>
      <c r="F413" s="389"/>
      <c r="G413" s="389"/>
      <c r="H413" s="15"/>
      <c r="I413" s="390"/>
      <c r="J413" s="389"/>
      <c r="K413" s="387"/>
      <c r="L413" s="391"/>
      <c r="M413" s="365"/>
      <c r="N413" s="98"/>
      <c r="Q413" s="444"/>
      <c r="R413" s="5" t="s">
        <v>130</v>
      </c>
      <c r="S413" s="6"/>
      <c r="T413" s="6"/>
      <c r="U413" s="449"/>
      <c r="V413" s="6"/>
      <c r="W413" s="450">
        <f>+W410/W412</f>
        <v>0.33239386692033029</v>
      </c>
      <c r="X413" s="6"/>
      <c r="Y413" s="450">
        <f>+Y410/Y412</f>
        <v>0.55169568637127742</v>
      </c>
      <c r="Z413" s="6"/>
      <c r="AA413" s="450">
        <f>+AA410/AA412</f>
        <v>0.19691842900302114</v>
      </c>
      <c r="AB413" s="445"/>
      <c r="AJ413" s="440">
        <f>+AJ410/AJ412</f>
        <v>0.19573573573573574</v>
      </c>
    </row>
    <row r="414" spans="4:36" ht="15.6" thickTop="1" thickBot="1" x14ac:dyDescent="0.35">
      <c r="D414" s="392"/>
      <c r="E414" s="393"/>
      <c r="F414" s="393"/>
      <c r="G414" s="393"/>
      <c r="H414" s="393"/>
      <c r="I414" s="393"/>
      <c r="J414" s="393"/>
      <c r="K414" s="393"/>
      <c r="L414" s="393"/>
      <c r="M414" s="380"/>
      <c r="N414" s="98"/>
      <c r="Q414" s="451"/>
      <c r="R414" s="452"/>
      <c r="S414" s="452"/>
      <c r="T414" s="452"/>
      <c r="U414" s="452"/>
      <c r="V414" s="452"/>
      <c r="W414" s="452"/>
      <c r="X414" s="452"/>
      <c r="Y414" s="452"/>
      <c r="Z414" s="452"/>
      <c r="AA414" s="452"/>
      <c r="AB414" s="453"/>
    </row>
    <row r="418" spans="6:23" x14ac:dyDescent="0.3">
      <c r="F418" s="1">
        <v>1248371</v>
      </c>
    </row>
    <row r="419" spans="6:23" x14ac:dyDescent="0.3">
      <c r="W419" s="1"/>
    </row>
    <row r="420" spans="6:23" x14ac:dyDescent="0.3">
      <c r="F420">
        <v>700</v>
      </c>
    </row>
    <row r="421" spans="6:23" x14ac:dyDescent="0.3">
      <c r="F421" s="76">
        <f>+F420/F418</f>
        <v>5.6073074430597954E-4</v>
      </c>
    </row>
    <row r="423" spans="6:23" x14ac:dyDescent="0.3">
      <c r="F423" s="1">
        <v>60000</v>
      </c>
    </row>
    <row r="424" spans="6:23" x14ac:dyDescent="0.3">
      <c r="F424">
        <f>+F421*F423</f>
        <v>33.643844658358773</v>
      </c>
    </row>
    <row r="426" spans="6:23" x14ac:dyDescent="0.3">
      <c r="F426" s="1">
        <v>331000000</v>
      </c>
    </row>
    <row r="427" spans="6:23" x14ac:dyDescent="0.3">
      <c r="F427" s="56">
        <f>+W86</f>
        <v>811067</v>
      </c>
    </row>
    <row r="428" spans="6:23" x14ac:dyDescent="0.3">
      <c r="F428" s="57">
        <f>+F427/F426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412:G412"/>
    <mergeCell ref="I412:J412"/>
    <mergeCell ref="E398:M398"/>
    <mergeCell ref="I399:L399"/>
    <mergeCell ref="F401:G401"/>
    <mergeCell ref="E407:J407"/>
    <mergeCell ref="I408:J408"/>
    <mergeCell ref="I410:J410"/>
    <mergeCell ref="I411:J411"/>
    <mergeCell ref="H403:I403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2021-05-18T00:31:19Z</dcterms:modified>
</cp:coreProperties>
</file>