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F6A7A3CC-B9BE-47C5-BBEA-CB61CDF4F3EE}" xr6:coauthVersionLast="46" xr6:coauthVersionMax="46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57" i="1" l="1"/>
  <c r="BA535" i="1"/>
  <c r="BO445" i="1" l="1"/>
  <c r="AY445" i="1"/>
  <c r="AW445" i="1"/>
  <c r="AQ445" i="1"/>
  <c r="AO445" i="1"/>
  <c r="Y445" i="1"/>
  <c r="K445" i="1"/>
  <c r="I445" i="1"/>
  <c r="BT444" i="1"/>
  <c r="BT445" i="1" s="1"/>
  <c r="BS444" i="1"/>
  <c r="BS445" i="1" s="1"/>
  <c r="BQ444" i="1"/>
  <c r="BQ445" i="1" s="1"/>
  <c r="BO444" i="1"/>
  <c r="BL444" i="1"/>
  <c r="BL445" i="1" s="1"/>
  <c r="BJ444" i="1"/>
  <c r="BJ445" i="1" s="1"/>
  <c r="BI444" i="1"/>
  <c r="BI445" i="1" s="1"/>
  <c r="BH444" i="1"/>
  <c r="BH445" i="1" s="1"/>
  <c r="BF444" i="1"/>
  <c r="BF445" i="1" s="1"/>
  <c r="BD444" i="1"/>
  <c r="BD445" i="1" s="1"/>
  <c r="BC444" i="1"/>
  <c r="BC445" i="1" s="1"/>
  <c r="BB444" i="1"/>
  <c r="BB445" i="1" s="1"/>
  <c r="BA444" i="1"/>
  <c r="BA445" i="1" s="1"/>
  <c r="AZ444" i="1"/>
  <c r="AZ445" i="1" s="1"/>
  <c r="AY444" i="1"/>
  <c r="AX444" i="1"/>
  <c r="AX445" i="1" s="1"/>
  <c r="AW444" i="1"/>
  <c r="AU444" i="1"/>
  <c r="AU445" i="1" s="1"/>
  <c r="AT444" i="1"/>
  <c r="AT445" i="1" s="1"/>
  <c r="AS444" i="1"/>
  <c r="AS445" i="1" s="1"/>
  <c r="AQ444" i="1"/>
  <c r="AP444" i="1"/>
  <c r="AP445" i="1" s="1"/>
  <c r="AO444" i="1"/>
  <c r="AN444" i="1"/>
  <c r="AN445" i="1" s="1"/>
  <c r="AM444" i="1"/>
  <c r="AM445" i="1" s="1"/>
  <c r="AK444" i="1"/>
  <c r="AK445" i="1" s="1"/>
  <c r="AJ444" i="1"/>
  <c r="AJ445" i="1" s="1"/>
  <c r="AF444" i="1"/>
  <c r="AF445" i="1" s="1"/>
  <c r="AD444" i="1"/>
  <c r="AD445" i="1" s="1"/>
  <c r="AB444" i="1"/>
  <c r="AB445" i="1" s="1"/>
  <c r="AA444" i="1"/>
  <c r="AA445" i="1" s="1"/>
  <c r="Y444" i="1"/>
  <c r="X444" i="1"/>
  <c r="X445" i="1" s="1"/>
  <c r="W444" i="1"/>
  <c r="W445" i="1" s="1"/>
  <c r="V444" i="1"/>
  <c r="V445" i="1" s="1"/>
  <c r="U444" i="1"/>
  <c r="U445" i="1" s="1"/>
  <c r="T444" i="1"/>
  <c r="T445" i="1" s="1"/>
  <c r="R444" i="1"/>
  <c r="R445" i="1" s="1"/>
  <c r="P444" i="1"/>
  <c r="P445" i="1" s="1"/>
  <c r="M444" i="1"/>
  <c r="M445" i="1" s="1"/>
  <c r="L444" i="1"/>
  <c r="L445" i="1" s="1"/>
  <c r="K444" i="1"/>
  <c r="J444" i="1"/>
  <c r="J445" i="1" s="1"/>
  <c r="I444" i="1"/>
  <c r="H444" i="1"/>
  <c r="H445" i="1" s="1"/>
  <c r="D444" i="1"/>
  <c r="D445" i="1" s="1"/>
  <c r="BW439" i="1"/>
  <c r="AX439" i="1" s="1"/>
  <c r="BN439" i="1"/>
  <c r="BN444" i="1" s="1"/>
  <c r="BN445" i="1" s="1"/>
  <c r="BE439" i="1"/>
  <c r="BP439" i="1" s="1"/>
  <c r="BR439" i="1" s="1"/>
  <c r="BR444" i="1" s="1"/>
  <c r="BR445" i="1" s="1"/>
  <c r="BA439" i="1"/>
  <c r="BK439" i="1" s="1"/>
  <c r="BK444" i="1" s="1"/>
  <c r="BK445" i="1" s="1"/>
  <c r="AL439" i="1"/>
  <c r="AR439" i="1" s="1"/>
  <c r="AR444" i="1" s="1"/>
  <c r="AR445" i="1" s="1"/>
  <c r="AG439" i="1"/>
  <c r="AI439" i="1" s="1"/>
  <c r="AI444" i="1" s="1"/>
  <c r="AI445" i="1" s="1"/>
  <c r="AA439" i="1"/>
  <c r="AC439" i="1" s="1"/>
  <c r="AC444" i="1" s="1"/>
  <c r="AC445" i="1" s="1"/>
  <c r="Z439" i="1"/>
  <c r="Z444" i="1" s="1"/>
  <c r="Z445" i="1" s="1"/>
  <c r="V439" i="1"/>
  <c r="Q439" i="1"/>
  <c r="N439" i="1"/>
  <c r="N444" i="1" s="1"/>
  <c r="N445" i="1" s="1"/>
  <c r="J439" i="1"/>
  <c r="H439" i="1"/>
  <c r="AV439" i="1" s="1"/>
  <c r="AV444" i="1" s="1"/>
  <c r="AV445" i="1" s="1"/>
  <c r="I20" i="3"/>
  <c r="U398" i="3"/>
  <c r="U395" i="3"/>
  <c r="U396" i="3" s="1"/>
  <c r="U397" i="3" s="1"/>
  <c r="BW438" i="1"/>
  <c r="AX438" i="1" s="1"/>
  <c r="BN438" i="1"/>
  <c r="BE438" i="1"/>
  <c r="BP438" i="1" s="1"/>
  <c r="BR438" i="1" s="1"/>
  <c r="BA438" i="1"/>
  <c r="AL438" i="1"/>
  <c r="AR438" i="1" s="1"/>
  <c r="AG438" i="1"/>
  <c r="AI438" i="1" s="1"/>
  <c r="AA438" i="1"/>
  <c r="AE438" i="1" s="1"/>
  <c r="Z438" i="1"/>
  <c r="V438" i="1"/>
  <c r="Q438" i="1"/>
  <c r="O438" i="1"/>
  <c r="N438" i="1"/>
  <c r="J438" i="1"/>
  <c r="H438" i="1"/>
  <c r="AV438" i="1" s="1"/>
  <c r="B438" i="1"/>
  <c r="B439" i="1" s="1"/>
  <c r="B440" i="1" s="1"/>
  <c r="B441" i="1" s="1"/>
  <c r="BE437" i="1"/>
  <c r="BA437" i="1"/>
  <c r="AL437" i="1"/>
  <c r="AR437" i="1" s="1"/>
  <c r="AG437" i="1"/>
  <c r="Z437" i="1"/>
  <c r="Q437" i="1"/>
  <c r="N437" i="1"/>
  <c r="BU444" i="1"/>
  <c r="BU445" i="1" s="1"/>
  <c r="BE436" i="1"/>
  <c r="BA436" i="1"/>
  <c r="AL436" i="1"/>
  <c r="AR436" i="1" s="1"/>
  <c r="AG436" i="1"/>
  <c r="Z436" i="1"/>
  <c r="Q436" i="1"/>
  <c r="N436" i="1"/>
  <c r="BE435" i="1"/>
  <c r="BA435" i="1"/>
  <c r="AL435" i="1"/>
  <c r="AR435" i="1" s="1"/>
  <c r="AG435" i="1"/>
  <c r="Z435" i="1"/>
  <c r="Q435" i="1"/>
  <c r="N435" i="1"/>
  <c r="BE434" i="1"/>
  <c r="BA434" i="1"/>
  <c r="AR434" i="1"/>
  <c r="AL434" i="1"/>
  <c r="AG434" i="1"/>
  <c r="Z434" i="1"/>
  <c r="Q434" i="1"/>
  <c r="N434" i="1"/>
  <c r="BE433" i="1"/>
  <c r="BA433" i="1"/>
  <c r="AL433" i="1"/>
  <c r="AR433" i="1" s="1"/>
  <c r="AG433" i="1"/>
  <c r="Z433" i="1"/>
  <c r="Q433" i="1"/>
  <c r="N433" i="1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E444" i="2"/>
  <c r="S440" i="2"/>
  <c r="W440" i="2"/>
  <c r="K440" i="2"/>
  <c r="S439" i="2"/>
  <c r="U439" i="2" s="1"/>
  <c r="W439" i="2"/>
  <c r="K439" i="2"/>
  <c r="M439" i="2" s="1"/>
  <c r="S438" i="2"/>
  <c r="U438" i="2" s="1"/>
  <c r="W438" i="2"/>
  <c r="K438" i="2"/>
  <c r="M438" i="2" s="1"/>
  <c r="S437" i="2"/>
  <c r="W437" i="2"/>
  <c r="K437" i="2"/>
  <c r="S436" i="2"/>
  <c r="C437" i="2"/>
  <c r="C438" i="2" s="1"/>
  <c r="C439" i="2" s="1"/>
  <c r="C440" i="2" s="1"/>
  <c r="C441" i="2" s="1"/>
  <c r="C442" i="2" s="1"/>
  <c r="K436" i="2"/>
  <c r="S435" i="2"/>
  <c r="K435" i="2"/>
  <c r="M435" i="2" s="1"/>
  <c r="S434" i="2"/>
  <c r="U434" i="2" s="1"/>
  <c r="K434" i="2"/>
  <c r="BM439" i="1" l="1"/>
  <c r="BM444" i="1" s="1"/>
  <c r="BM445" i="1" s="1"/>
  <c r="AL444" i="1"/>
  <c r="AL445" i="1" s="1"/>
  <c r="AG444" i="1"/>
  <c r="AG445" i="1" s="1"/>
  <c r="AE439" i="1"/>
  <c r="AE444" i="1" s="1"/>
  <c r="AE445" i="1" s="1"/>
  <c r="Q444" i="1"/>
  <c r="Q445" i="1" s="1"/>
  <c r="BE444" i="1"/>
  <c r="BE445" i="1" s="1"/>
  <c r="BG439" i="1"/>
  <c r="BG444" i="1" s="1"/>
  <c r="BG445" i="1" s="1"/>
  <c r="BP444" i="1"/>
  <c r="BP445" i="1" s="1"/>
  <c r="O439" i="1"/>
  <c r="O444" i="1" s="1"/>
  <c r="O445" i="1" s="1"/>
  <c r="S439" i="1"/>
  <c r="S444" i="1" s="1"/>
  <c r="S445" i="1" s="1"/>
  <c r="BK438" i="1"/>
  <c r="BG438" i="1"/>
  <c r="S438" i="1"/>
  <c r="AC438" i="1"/>
  <c r="AI434" i="1"/>
  <c r="BK437" i="1"/>
  <c r="BG437" i="1"/>
  <c r="BG436" i="1"/>
  <c r="BK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AL432" i="1"/>
  <c r="AR432" i="1" s="1"/>
  <c r="AG432" i="1"/>
  <c r="AI432" i="1" s="1"/>
  <c r="Z432" i="1"/>
  <c r="Q432" i="1"/>
  <c r="N432" i="1"/>
  <c r="S433" i="2"/>
  <c r="K433" i="2"/>
  <c r="BE431" i="1"/>
  <c r="BA431" i="1"/>
  <c r="AL431" i="1"/>
  <c r="AR431" i="1" s="1"/>
  <c r="AG431" i="1"/>
  <c r="Z431" i="1"/>
  <c r="Q431" i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BK435" i="1" s="1"/>
  <c r="BM435" i="1" s="1"/>
  <c r="AL429" i="1"/>
  <c r="AR429" i="1" s="1"/>
  <c r="AG429" i="1"/>
  <c r="AI436" i="1" s="1"/>
  <c r="Z429" i="1"/>
  <c r="Q429" i="1"/>
  <c r="S436" i="1" s="1"/>
  <c r="N429" i="1"/>
  <c r="BE428" i="1"/>
  <c r="BA428" i="1"/>
  <c r="BK434" i="1" s="1"/>
  <c r="BM434" i="1" s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Q431" i="2" s="1"/>
  <c r="S430" i="2"/>
  <c r="K430" i="2"/>
  <c r="M430" i="2" s="1"/>
  <c r="S429" i="2"/>
  <c r="K429" i="2"/>
  <c r="S428" i="2"/>
  <c r="K428" i="2"/>
  <c r="Q428" i="2" s="1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M438" i="1" l="1"/>
  <c r="BM437" i="1"/>
  <c r="BM436" i="1"/>
  <c r="BK433" i="1"/>
  <c r="BK429" i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M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Q417" i="2" s="1"/>
  <c r="S416" i="2"/>
  <c r="K416" i="2"/>
  <c r="S415" i="2"/>
  <c r="K415" i="2"/>
  <c r="U415" i="2" s="1"/>
  <c r="G413" i="2"/>
  <c r="K413" i="2" s="1"/>
  <c r="S414" i="2"/>
  <c r="K414" i="2"/>
  <c r="S413" i="2"/>
  <c r="BM433" i="1" l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3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56" i="1"/>
  <c r="D455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35" i="1"/>
  <c r="BG555" i="1"/>
  <c r="BG55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5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44" i="2"/>
  <c r="S357" i="2"/>
  <c r="AP569" i="1"/>
  <c r="BP556" i="1"/>
  <c r="BN553" i="1"/>
  <c r="BP55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44" i="1"/>
  <c r="BV445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BE534" i="1"/>
  <c r="BP534" i="1" s="1"/>
  <c r="BP536" i="1"/>
  <c r="BP53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57" i="1"/>
  <c r="BK365" i="1"/>
  <c r="BM365" i="1" s="1"/>
  <c r="M357" i="2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7" i="2"/>
  <c r="Q358" i="2"/>
  <c r="U358" i="2"/>
  <c r="M358" i="2"/>
  <c r="BG356" i="1"/>
  <c r="S356" i="1"/>
  <c r="K352" i="2"/>
  <c r="U352" i="2" s="1"/>
  <c r="Q357" i="2"/>
  <c r="Q354" i="2"/>
  <c r="M351" i="2"/>
  <c r="M355" i="2"/>
  <c r="BN554" i="1"/>
  <c r="BP55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CL563" i="1" l="1"/>
  <c r="BY557" i="1"/>
  <c r="BA538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29" i="1"/>
  <c r="N531" i="1" s="1"/>
  <c r="N532" i="1" l="1"/>
  <c r="D532" i="1" s="1"/>
  <c r="N533" i="1"/>
  <c r="N534" i="1"/>
  <c r="D533" i="1" l="1"/>
  <c r="D53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BK317" i="1" s="1"/>
  <c r="BM317" i="1" s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6" i="1" l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20" i="1"/>
  <c r="BG52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BK273" i="1" s="1"/>
  <c r="BM273" i="1" s="1"/>
  <c r="AL267" i="1"/>
  <c r="AR267" i="1" s="1"/>
  <c r="AG267" i="1"/>
  <c r="AI274" i="1" s="1"/>
  <c r="Q267" i="1"/>
  <c r="S274" i="1" s="1"/>
  <c r="N267" i="1"/>
  <c r="S268" i="2"/>
  <c r="K268" i="2"/>
  <c r="BK274" i="1" l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Q265" i="2" s="1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M263" i="2" l="1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6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5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44" i="1"/>
  <c r="G445" i="1" s="1"/>
  <c r="F444" i="1"/>
  <c r="F445" i="1" s="1"/>
  <c r="E444" i="1"/>
  <c r="E445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6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65" i="1" l="1"/>
  <c r="AR464" i="1"/>
  <c r="AP464" i="1"/>
  <c r="AR463" i="1"/>
  <c r="AP463" i="1"/>
  <c r="AV463" i="1" l="1"/>
  <c r="AV464" i="1"/>
  <c r="AV46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09" i="1"/>
  <c r="N214" i="1"/>
  <c r="N204" i="1"/>
  <c r="BA508" i="1" s="1"/>
  <c r="N174" i="1"/>
  <c r="BA507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08" i="1" l="1"/>
  <c r="BE508" i="1" s="1"/>
  <c r="Q218" i="2"/>
  <c r="BC509" i="1"/>
  <c r="BE50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477" i="1"/>
  <c r="H47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49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4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47" i="1"/>
  <c r="BK45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497" i="1"/>
  <c r="AP49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492" i="1"/>
  <c r="H493" i="1"/>
  <c r="J493" i="1" s="1"/>
  <c r="H494" i="1"/>
  <c r="J494" i="1" s="1"/>
  <c r="S154" i="2"/>
  <c r="M156" i="2" l="1"/>
  <c r="Q156" i="2"/>
  <c r="O494" i="1"/>
  <c r="AI154" i="1"/>
  <c r="AI161" i="1"/>
  <c r="BK160" i="1"/>
  <c r="BM160" i="1" s="1"/>
  <c r="AR154" i="1"/>
  <c r="BG154" i="1"/>
  <c r="U155" i="2"/>
  <c r="J492" i="1"/>
  <c r="J49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495" i="1"/>
  <c r="AA494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33" i="3"/>
  <c r="F434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70" i="1" l="1"/>
  <c r="AR46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6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7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61" i="1" s="1"/>
  <c r="AH113" i="1"/>
  <c r="AP46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6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BE122" i="1"/>
  <c r="BA122" i="1"/>
  <c r="AL122" i="1"/>
  <c r="AR122" i="1" s="1"/>
  <c r="K123" i="2"/>
  <c r="M124" i="2" l="1"/>
  <c r="Q124" i="2"/>
  <c r="BG122" i="1"/>
  <c r="U123" i="2"/>
  <c r="S122" i="2"/>
  <c r="D481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AG468" i="1"/>
  <c r="AP462" i="1" s="1"/>
  <c r="AV46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06" i="1" l="1"/>
  <c r="BC507" i="1" s="1"/>
  <c r="BE507" i="1" s="1"/>
  <c r="BE518" i="1"/>
  <c r="BE522" i="1" s="1"/>
  <c r="S127" i="1"/>
  <c r="S128" i="1"/>
  <c r="BE119" i="1"/>
  <c r="BA119" i="1"/>
  <c r="AL119" i="1"/>
  <c r="AR119" i="1" s="1"/>
  <c r="Q119" i="1"/>
  <c r="S126" i="1" s="1"/>
  <c r="K120" i="2"/>
  <c r="BG509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18" i="1" s="1"/>
  <c r="AL113" i="1"/>
  <c r="K114" i="2"/>
  <c r="BA522" i="1" l="1"/>
  <c r="BC520" i="1"/>
  <c r="BG518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15" i="3"/>
  <c r="AA414" i="3"/>
  <c r="AA413" i="3"/>
  <c r="AA412" i="3"/>
  <c r="AA411" i="3"/>
  <c r="AA410" i="3"/>
  <c r="AA409" i="3"/>
  <c r="AA408" i="3"/>
  <c r="AA407" i="3"/>
  <c r="AA406" i="3"/>
  <c r="AJ416" i="3"/>
  <c r="AJ419" i="3" s="1"/>
  <c r="Y416" i="3"/>
  <c r="W416" i="3"/>
  <c r="S107" i="2"/>
  <c r="AA416" i="3" l="1"/>
  <c r="AA419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16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27" i="3"/>
  <c r="F430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6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60" i="1"/>
  <c r="AV46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17" i="3" l="1"/>
  <c r="I414" i="3"/>
  <c r="L414" i="3" s="1"/>
  <c r="I78" i="3"/>
  <c r="I80" i="3" s="1"/>
  <c r="I77" i="3"/>
  <c r="BE64" i="1"/>
  <c r="BA64" i="1"/>
  <c r="AL64" i="1"/>
  <c r="AR64" i="1" s="1"/>
  <c r="K65" i="2"/>
  <c r="Y19" i="3"/>
  <c r="Q66" i="2" l="1"/>
  <c r="M66" i="2"/>
  <c r="L417" i="3"/>
  <c r="I79" i="3"/>
  <c r="I81" i="3" s="1"/>
  <c r="I82" i="3" s="1"/>
  <c r="BG64" i="1"/>
  <c r="U65" i="2"/>
  <c r="S64" i="2"/>
  <c r="N81" i="3" l="1"/>
  <c r="N82" i="3" s="1"/>
  <c r="I416" i="3"/>
  <c r="L416" i="3" s="1"/>
  <c r="K64" i="2"/>
  <c r="BE63" i="1"/>
  <c r="BA63" i="1"/>
  <c r="AL63" i="1"/>
  <c r="AR63" i="1" s="1"/>
  <c r="Y18" i="3"/>
  <c r="Q65" i="2" l="1"/>
  <c r="M65" i="2"/>
  <c r="I418" i="3"/>
  <c r="U64" i="2"/>
  <c r="BG63" i="1"/>
  <c r="L407" i="3" l="1"/>
  <c r="L418" i="3"/>
  <c r="L406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5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05" i="1"/>
  <c r="B50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59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67" i="1"/>
  <c r="AR469" i="1" s="1"/>
  <c r="AV46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59" i="1"/>
  <c r="AV459" i="1" s="1"/>
  <c r="BA465" i="1" s="1"/>
  <c r="BA466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U388" i="3" l="1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U391" i="3" l="1"/>
  <c r="U392" i="3" s="1"/>
  <c r="U393" i="3" s="1"/>
  <c r="U394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W442" i="2" l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42" i="1" l="1"/>
  <c r="B434" i="1"/>
  <c r="B435" i="1" s="1"/>
  <c r="B436" i="1" s="1"/>
  <c r="B437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18" i="3"/>
  <c r="Y419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18" i="3"/>
  <c r="W419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47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31" i="1" s="1"/>
  <c r="O173" i="1"/>
  <c r="AV173" i="1"/>
  <c r="AC173" i="1"/>
  <c r="BE531" i="1" l="1"/>
  <c r="BA55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53" i="1" l="1"/>
  <c r="BP53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53" i="1" l="1"/>
  <c r="BC55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44" i="1" s="1"/>
  <c r="BA532" i="1" s="1"/>
  <c r="J235" i="1"/>
  <c r="O234" i="1"/>
  <c r="AC234" i="1"/>
  <c r="BE532" i="1" l="1"/>
  <c r="BA55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32" i="1" l="1"/>
  <c r="BE55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54" i="1" l="1"/>
  <c r="BC554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58" i="1"/>
  <c r="AV269" i="1"/>
  <c r="H45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41" i="1"/>
  <c r="BW442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46" i="1"/>
  <c r="BA533" i="1" s="1"/>
  <c r="BA537" i="1" s="1"/>
  <c r="O327" i="1"/>
  <c r="AC327" i="1"/>
  <c r="AA280" i="3"/>
  <c r="AA281" i="3"/>
  <c r="AA279" i="3"/>
  <c r="BW437" i="1" l="1"/>
  <c r="AX436" i="1"/>
  <c r="BN436" i="1"/>
  <c r="BR422" i="1"/>
  <c r="BP423" i="1"/>
  <c r="BA539" i="1"/>
  <c r="AA403" i="1"/>
  <c r="AA404" i="1" s="1"/>
  <c r="AE402" i="1"/>
  <c r="BE533" i="1"/>
  <c r="BA555" i="1"/>
  <c r="BA556" i="1" s="1"/>
  <c r="H329" i="1"/>
  <c r="J329" i="1"/>
  <c r="AV328" i="1"/>
  <c r="O328" i="1"/>
  <c r="AC328" i="1"/>
  <c r="AX437" i="1" l="1"/>
  <c r="BN437" i="1"/>
  <c r="BR423" i="1"/>
  <c r="BP424" i="1"/>
  <c r="BA540" i="1"/>
  <c r="BA557" i="1" s="1"/>
  <c r="AA405" i="1"/>
  <c r="AE404" i="1"/>
  <c r="AE403" i="1"/>
  <c r="BE537" i="1"/>
  <c r="BE555" i="1"/>
  <c r="BE556" i="1" s="1"/>
  <c r="BR556" i="1" s="1"/>
  <c r="BP533" i="1"/>
  <c r="AC329" i="1"/>
  <c r="J330" i="1"/>
  <c r="H330" i="1"/>
  <c r="AV329" i="1"/>
  <c r="O329" i="1"/>
  <c r="BR424" i="1" l="1"/>
  <c r="BP425" i="1"/>
  <c r="BP426" i="1" s="1"/>
  <c r="BE557" i="1"/>
  <c r="AE405" i="1"/>
  <c r="AA406" i="1"/>
  <c r="AA407" i="1" s="1"/>
  <c r="BC556" i="1"/>
  <c r="BR555" i="1"/>
  <c r="BC555" i="1"/>
  <c r="D537" i="1"/>
  <c r="BG537" i="1"/>
  <c r="AC330" i="1"/>
  <c r="J331" i="1"/>
  <c r="H331" i="1"/>
  <c r="O330" i="1"/>
  <c r="AV330" i="1"/>
  <c r="AA285" i="3"/>
  <c r="AA286" i="3"/>
  <c r="AA283" i="3"/>
  <c r="AA284" i="3"/>
  <c r="AA282" i="3"/>
  <c r="AH438" i="1" l="1"/>
  <c r="AH439" i="1"/>
  <c r="AH444" i="1" s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3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AH445" i="1" l="1"/>
  <c r="BR427" i="1"/>
  <c r="BP428" i="1"/>
  <c r="AE408" i="1"/>
  <c r="AA409" i="1"/>
  <c r="AV332" i="1"/>
  <c r="H333" i="1"/>
  <c r="J333" i="1"/>
  <c r="O332" i="1"/>
  <c r="AC332" i="1"/>
  <c r="BR428" i="1" l="1"/>
  <c r="BP429" i="1"/>
  <c r="BP430" i="1" s="1"/>
  <c r="AE409" i="1"/>
  <c r="AA410" i="1"/>
  <c r="AV333" i="1"/>
  <c r="J334" i="1"/>
  <c r="H334" i="1"/>
  <c r="O333" i="1"/>
  <c r="AC333" i="1"/>
  <c r="BR430" i="1" l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R431" i="1" l="1"/>
  <c r="BP432" i="1"/>
  <c r="AA413" i="1"/>
  <c r="AE412" i="1"/>
  <c r="AE411" i="1"/>
  <c r="J336" i="1"/>
  <c r="H336" i="1"/>
  <c r="AV335" i="1"/>
  <c r="O335" i="1"/>
  <c r="AC335" i="1"/>
  <c r="BR432" i="1" l="1"/>
  <c r="BP433" i="1"/>
  <c r="BP434" i="1" s="1"/>
  <c r="AE413" i="1"/>
  <c r="AA414" i="1"/>
  <c r="AV336" i="1"/>
  <c r="O336" i="1"/>
  <c r="J337" i="1"/>
  <c r="H337" i="1"/>
  <c r="AC336" i="1"/>
  <c r="BR434" i="1" l="1"/>
  <c r="BP435" i="1"/>
  <c r="BR433" i="1"/>
  <c r="AA415" i="1"/>
  <c r="AE414" i="1"/>
  <c r="AC337" i="1"/>
  <c r="H338" i="1"/>
  <c r="J338" i="1"/>
  <c r="AV337" i="1"/>
  <c r="O337" i="1"/>
  <c r="BP436" i="1" l="1"/>
  <c r="BR435" i="1"/>
  <c r="AE415" i="1"/>
  <c r="AA416" i="1"/>
  <c r="H339" i="1"/>
  <c r="O338" i="1"/>
  <c r="J339" i="1"/>
  <c r="AV338" i="1"/>
  <c r="AC338" i="1"/>
  <c r="BP437" i="1" l="1"/>
  <c r="BR436" i="1"/>
  <c r="AA417" i="1"/>
  <c r="AA418" i="1" s="1"/>
  <c r="AE416" i="1"/>
  <c r="H340" i="1"/>
  <c r="J340" i="1"/>
  <c r="O339" i="1"/>
  <c r="AV339" i="1"/>
  <c r="AC339" i="1"/>
  <c r="BR437" i="1" l="1"/>
  <c r="AE418" i="1"/>
  <c r="AA419" i="1"/>
  <c r="AE417" i="1"/>
  <c r="J341" i="1"/>
  <c r="H341" i="1"/>
  <c r="AV340" i="1"/>
  <c r="O340" i="1"/>
  <c r="AC340" i="1"/>
  <c r="AA420" i="1" l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AE421" i="1" l="1"/>
  <c r="AA422" i="1"/>
  <c r="AE420" i="1"/>
  <c r="AV342" i="1"/>
  <c r="J343" i="1"/>
  <c r="H343" i="1"/>
  <c r="O342" i="1"/>
  <c r="AC342" i="1"/>
  <c r="AA299" i="3"/>
  <c r="AA300" i="3"/>
  <c r="AA423" i="1" l="1"/>
  <c r="AE422" i="1"/>
  <c r="AC343" i="1"/>
  <c r="J344" i="1"/>
  <c r="H344" i="1"/>
  <c r="O343" i="1"/>
  <c r="AV343" i="1"/>
  <c r="AE423" i="1" l="1"/>
  <c r="AA424" i="1"/>
  <c r="AV344" i="1"/>
  <c r="J345" i="1"/>
  <c r="H345" i="1"/>
  <c r="O344" i="1"/>
  <c r="AC344" i="1"/>
  <c r="AA425" i="1" l="1"/>
  <c r="AA426" i="1" s="1"/>
  <c r="AE424" i="1"/>
  <c r="AV345" i="1"/>
  <c r="J346" i="1"/>
  <c r="H346" i="1"/>
  <c r="O345" i="1"/>
  <c r="AC345" i="1"/>
  <c r="AA427" i="1" l="1"/>
  <c r="AE426" i="1"/>
  <c r="AE425" i="1"/>
  <c r="J347" i="1"/>
  <c r="H347" i="1"/>
  <c r="O346" i="1"/>
  <c r="AV346" i="1"/>
  <c r="AC346" i="1"/>
  <c r="AA428" i="1" l="1"/>
  <c r="AE427" i="1"/>
  <c r="J348" i="1"/>
  <c r="H348" i="1"/>
  <c r="AV347" i="1"/>
  <c r="O347" i="1"/>
  <c r="AC347" i="1"/>
  <c r="AA429" i="1" l="1"/>
  <c r="AA430" i="1" s="1"/>
  <c r="AE428" i="1"/>
  <c r="AV348" i="1"/>
  <c r="J349" i="1"/>
  <c r="H349" i="1"/>
  <c r="O348" i="1"/>
  <c r="AC348" i="1"/>
  <c r="AA431" i="1" l="1"/>
  <c r="AE430" i="1"/>
  <c r="AE429" i="1"/>
  <c r="J350" i="1"/>
  <c r="H350" i="1"/>
  <c r="AV349" i="1"/>
  <c r="O349" i="1"/>
  <c r="AC349" i="1"/>
  <c r="AA432" i="1" l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A433" i="1" l="1"/>
  <c r="AA434" i="1" s="1"/>
  <c r="AE432" i="1"/>
  <c r="AV351" i="1"/>
  <c r="J352" i="1"/>
  <c r="H352" i="1"/>
  <c r="O351" i="1"/>
  <c r="AC351" i="1"/>
  <c r="AA435" i="1" l="1"/>
  <c r="AE434" i="1"/>
  <c r="AE433" i="1"/>
  <c r="AV352" i="1"/>
  <c r="J353" i="1"/>
  <c r="H353" i="1"/>
  <c r="O352" i="1"/>
  <c r="AC352" i="1"/>
  <c r="AE435" i="1" l="1"/>
  <c r="AA436" i="1"/>
  <c r="AV353" i="1"/>
  <c r="J354" i="1"/>
  <c r="H354" i="1"/>
  <c r="O353" i="1"/>
  <c r="AC353" i="1"/>
  <c r="AE436" i="1" l="1"/>
  <c r="AA437" i="1"/>
  <c r="AV354" i="1"/>
  <c r="J355" i="1"/>
  <c r="H355" i="1"/>
  <c r="O354" i="1"/>
  <c r="AC354" i="1"/>
  <c r="AE437" i="1" l="1"/>
  <c r="I21" i="3"/>
  <c r="I35" i="3" s="1"/>
  <c r="AD49" i="2"/>
  <c r="AD51" i="2" s="1"/>
  <c r="AD53" i="2" s="1"/>
  <c r="AD55" i="2" s="1"/>
  <c r="AD57" i="2" s="1"/>
  <c r="AJ21" i="2"/>
  <c r="J356" i="1"/>
  <c r="H356" i="1"/>
  <c r="AV355" i="1"/>
  <c r="O355" i="1"/>
  <c r="AC355" i="1"/>
  <c r="AV356" i="1" l="1"/>
  <c r="J357" i="1"/>
  <c r="H357" i="1"/>
  <c r="O356" i="1"/>
  <c r="AC356" i="1"/>
  <c r="AV357" i="1" l="1"/>
  <c r="J358" i="1"/>
  <c r="H358" i="1"/>
  <c r="O357" i="1"/>
  <c r="AC357" i="1"/>
  <c r="J359" i="1" l="1"/>
  <c r="H359" i="1"/>
  <c r="AV358" i="1"/>
  <c r="O358" i="1"/>
  <c r="AC358" i="1"/>
  <c r="AA311" i="3"/>
  <c r="AA312" i="3"/>
  <c r="AA310" i="3"/>
  <c r="AV359" i="1" l="1"/>
  <c r="J360" i="1"/>
  <c r="H360" i="1"/>
  <c r="O359" i="1"/>
  <c r="AC359" i="1"/>
  <c r="AV360" i="1" l="1"/>
  <c r="J361" i="1"/>
  <c r="H361" i="1"/>
  <c r="O360" i="1"/>
  <c r="AC360" i="1"/>
  <c r="AV361" i="1" l="1"/>
  <c r="O361" i="1"/>
  <c r="J362" i="1"/>
  <c r="H362" i="1"/>
  <c r="AC361" i="1"/>
  <c r="AA315" i="3"/>
  <c r="AA316" i="3"/>
  <c r="AA313" i="3"/>
  <c r="AA314" i="3"/>
  <c r="H363" i="1" l="1"/>
  <c r="J363" i="1"/>
  <c r="O362" i="1"/>
  <c r="AV362" i="1"/>
  <c r="AC362" i="1"/>
  <c r="AV363" i="1" l="1"/>
  <c r="J364" i="1"/>
  <c r="H364" i="1"/>
  <c r="O363" i="1"/>
  <c r="AC363" i="1"/>
  <c r="AC364" i="1" l="1"/>
  <c r="H365" i="1"/>
  <c r="J365" i="1"/>
  <c r="O364" i="1"/>
  <c r="AV364" i="1"/>
  <c r="AV365" i="1" l="1"/>
  <c r="J366" i="1"/>
  <c r="H366" i="1"/>
  <c r="O365" i="1"/>
  <c r="AC365" i="1"/>
  <c r="AA322" i="3"/>
  <c r="AA323" i="3"/>
  <c r="AA320" i="3"/>
  <c r="AA321" i="3"/>
  <c r="AA318" i="3"/>
  <c r="AA319" i="3"/>
  <c r="AA317" i="3"/>
  <c r="AV366" i="1" l="1"/>
  <c r="J367" i="1"/>
  <c r="H367" i="1"/>
  <c r="O366" i="1"/>
  <c r="AC366" i="1"/>
  <c r="AV367" i="1" l="1"/>
  <c r="H368" i="1"/>
  <c r="J368" i="1"/>
  <c r="O367" i="1"/>
  <c r="AC367" i="1"/>
  <c r="J369" i="1" l="1"/>
  <c r="H369" i="1"/>
  <c r="AV368" i="1"/>
  <c r="O368" i="1"/>
  <c r="AC368" i="1"/>
  <c r="AV369" i="1" l="1"/>
  <c r="J370" i="1"/>
  <c r="H370" i="1"/>
  <c r="O369" i="1"/>
  <c r="AC369" i="1"/>
  <c r="AV370" i="1" l="1"/>
  <c r="H371" i="1"/>
  <c r="J371" i="1"/>
  <c r="O370" i="1"/>
  <c r="AC370" i="1"/>
  <c r="J372" i="1" l="1"/>
  <c r="H372" i="1"/>
  <c r="AC371" i="1"/>
  <c r="O371" i="1"/>
  <c r="AV371" i="1"/>
  <c r="AA325" i="3"/>
  <c r="AA326" i="3"/>
  <c r="AA324" i="3"/>
  <c r="AV372" i="1" l="1"/>
  <c r="H373" i="1"/>
  <c r="J373" i="1"/>
  <c r="O372" i="1"/>
  <c r="AC372" i="1"/>
  <c r="AV373" i="1" l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57" i="1"/>
  <c r="BR557" i="1"/>
  <c r="J418" i="1" l="1"/>
  <c r="H418" i="1"/>
  <c r="AV417" i="1"/>
  <c r="O417" i="1"/>
  <c r="AC417" i="1"/>
  <c r="CL558" i="1"/>
  <c r="BA560" i="1"/>
  <c r="BC560" i="1" s="1"/>
  <c r="CL560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I23" i="3" s="1"/>
  <c r="I25" i="3" s="1"/>
  <c r="I27" i="3" s="1"/>
  <c r="O426" i="1"/>
  <c r="AC426" i="1"/>
  <c r="N27" i="3" l="1"/>
  <c r="N28" i="3" s="1"/>
  <c r="I34" i="3"/>
  <c r="AV427" i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AF21" i="2" l="1"/>
  <c r="I32" i="3"/>
  <c r="AV437" i="1"/>
  <c r="O437" i="1"/>
  <c r="AC437" i="1"/>
  <c r="L35" i="3" l="1"/>
  <c r="L34" i="3"/>
  <c r="I28" i="3"/>
  <c r="L32" i="3"/>
  <c r="I36" i="3"/>
  <c r="W394" i="3" l="1"/>
  <c r="L36" i="3"/>
  <c r="AA392" i="3"/>
  <c r="Y394" i="3" l="1"/>
  <c r="AA393" i="3"/>
  <c r="AA394" i="3"/>
  <c r="Y350" i="3"/>
  <c r="Y121" i="3"/>
  <c r="Y12" i="3"/>
  <c r="Y244" i="3"/>
  <c r="Y214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<sst xmlns="http://schemas.openxmlformats.org/spreadsheetml/2006/main" count="355" uniqueCount="190">
  <si>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</si>
  <si>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</si>
  <si>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</si>
  <si>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</si>
  <si>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</si>
  <si>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</si>
  <si>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</si>
  <si>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</si>
  <si>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</si>
  <si>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</si>
  <si>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</si>
  <si>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</si>
  <si>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</si>
  <si>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</si>
  <si>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</si>
  <si>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</si>
  <si>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</si>
  <si>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</si>
  <si>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</si>
  <si>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</si>
  <si>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</si>
  <si>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</si>
  <si>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</si>
  <si>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</si>
  <si>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</si>
  <si>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</si>
  <si>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</si>
  <si>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</si>
  <si>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</si>
  <si>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</si>
  <si>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</si>
  <si>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</si>
  <si>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</si>
  <si>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</si>
  <si>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</si>
  <si>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</si>
  <si>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</si>
  <si>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</si>
  <si>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</si>
  <si>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</si>
  <si>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</si>
  <si>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</si>
  <si>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</si>
  <si>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</si>
  <si>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</si>
  <si>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</si>
  <si>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</si>
  <si>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</si>
  <si>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</si>
  <si>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</si>
  <si>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</si>
  <si>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</si>
  <si>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</si>
  <si>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</si>
  <si>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</si>
  <si>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</si>
  <si>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</si>
  <si>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</si>
  <si>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</si>
  <si>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</si>
  <si>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</si>
  <si>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</si>
  <si>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</si>
  <si>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</si>
  <si>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</si>
  <si>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</si>
  <si>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</si>
  <si>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</si>
  <si>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</si>
  <si>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</si>
  <si>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</si>
  <si>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</si>
  <si>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</si>
  <si>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</si>
  <si>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</si>
  <si>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</si>
  <si>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</si>
  <si>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</si>
  <si>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</si>
  <si>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</si>
  <si>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</si>
  <si>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</si>
  <si>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</si>
  <si>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</si>
  <si>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</si>
  <si>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</si>
  <si>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</si>
  <si>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</si>
  <si>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</si>
  <si>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</si>
  <si>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</si>
  <si>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</si>
  <si>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</si>
  <si>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</si>
  <si>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</si>
  <si>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</si>
  <si>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</si>
  <si>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</si>
  <si>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</si>
  <si>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</si>
  <si>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</si>
  <si>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</si>
  <si>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</si>
  <si>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</si>
  <si>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</si>
  <si>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</si>
  <si>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</si>
  <si>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</si>
  <si>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</si>
  <si>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</si>
  <si>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</si>
  <si>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</si>
  <si>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</si>
  <si>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</si>
  <si>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</si>
  <si>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</si>
  <si>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</si>
  <si>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</si>
  <si>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</si>
  <si>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</si>
  <si>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</si>
  <si>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</si>
  <si>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</si>
  <si>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</si>
  <si>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</si>
  <si>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</si>
  <si>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</si>
  <si>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</si>
  <si>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</si>
  <si>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</si>
  <si>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</si>
  <si>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</si>
  <si>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</si>
  <si>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</si>
  <si>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</si>
  <si>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</si>
  <si>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</si>
  <si>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</si>
  <si>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</si>
  <si>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</si>
  <si>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</si>
  <si>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</si>
  <si>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</si>
  <si>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</si>
  <si>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</si>
  <si>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</si>
  <si>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</si>
  <si>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</si>
  <si>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</si>
  <si>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</si>
  <si>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</si>
  <si>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</si>
  <si>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</si>
  <si>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</si>
  <si>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</si>
  <si>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</si>
  <si>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</si>
  <si>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</si>
  <si>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</si>
  <si>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</si>
  <si>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</si>
  <si>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</si>
  <si>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</si>
  <si>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</si>
  <si>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</si>
  <si>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</si>
  <si>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</si>
  <si>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</si>
  <si>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</si>
  <si>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</si>
  <si>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</si>
  <si>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</si>
  <si>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</si>
  <si>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</si>
  <si>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</si>
  <si>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</si>
  <si>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</si>
  <si>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</si>
  <si>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</si>
  <si>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</si>
  <si>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</si>
  <si>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</si>
  <si>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</si>
  <si>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</si>
  <si>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</si>
  <si>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</si>
  <si>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</si>
  <si>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</si>
  <si>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</si>
  <si>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May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</si>
</sst>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423412788903942"/>
          <c:y val="0.11353879507199965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Table'!$BA$548:$BA$552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Table'!$BA$553:$BA$557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20389863.514698796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Table'!$BC$548:$BC$552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Table'!$BC$553:$BC$557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Table'!$BJ$548:$BJ$552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Table'!$BJ$553:$BJ$557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Table'!$BK$548:$BK$552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Table'!$BK$553:$BK$557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Table'!$BL$548:$BL$552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Table'!$BL$553:$BL$557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Table'!$BM$548:$BM$552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Table'!$BM$553:$BM$557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Table'!$BP$548:$BP$552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Table'!$AS$553:$AT$557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Table'!$BP$553:$BP$557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130010000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Table'!$AU$548:$AU$552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Table'!$AU$553:$AU$557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Table'!$AV$548:$AV$552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Table'!$AV$553:$AV$557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Table'!$AW$548:$AW$552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Table'!$AW$553:$AW$557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Table'!$AX$548:$AX$552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Table'!$AX$553:$AX$557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Table'!$AY$548:$AY$552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Table'!$AY$553:$AY$557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Table'!$AZ$548:$AZ$552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Table'!$AZ$553:$AZ$557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Table'!$BB$548:$BB$552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Table'!$BB$553:$BB$557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Table'!$BD$548:$BD$552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Table'!$BD$553:$BD$557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Table'!$BE$548:$BE$552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Table'!$BE$553:$BE$557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94260784.514698789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Table'!$BF$548:$BF$552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Table'!$BF$553:$BF$557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Table'!$BG$548:$BG$552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Table'!$BG$553:$BG$557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76590000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Table'!$BH$548:$BH$552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Table'!$BH$553:$BH$557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Table'!$BI$548:$BI$552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Table'!$BI$553:$BI$557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Table'!$BN$548:$BN$552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Table'!$BN$553:$BN$557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Table'!$BO$548:$BO$552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Table'!$BO$553:$BO$557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Table'!$BQ$548:$BQ$552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Table'!$BQ$553:$BQ$557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Table'!$BR$548:$BR$552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Table'!$BR$553:$BR$557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224270784.5146988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Table'!$BS$548:$BS$552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Table'!$BS$553:$BS$557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Table'!$BT$548:$BT$552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Table'!$BT$553:$BT$557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Table'!$BU$548:$BU$552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Table'!$BU$553:$BU$557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Table'!$BV$548:$BV$552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Table'!$AS$553:$AT$557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Table'!$BV$553:$BV$557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457</xdr:row>
      <xdr:rowOff>99060</xdr:rowOff>
    </xdr:from>
    <xdr:to>
      <xdr:col>22</xdr:col>
      <xdr:colOff>312420</xdr:colOff>
      <xdr:row>458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457</xdr:row>
      <xdr:rowOff>129540</xdr:rowOff>
    </xdr:from>
    <xdr:to>
      <xdr:col>23</xdr:col>
      <xdr:colOff>68580</xdr:colOff>
      <xdr:row>458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396240</xdr:colOff>
      <xdr:row>3</xdr:row>
      <xdr:rowOff>129540</xdr:rowOff>
    </xdr:from>
    <xdr:to>
      <xdr:col>16</xdr:col>
      <xdr:colOff>320040</xdr:colOff>
      <xdr:row>25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475</xdr:row>
      <xdr:rowOff>125730</xdr:rowOff>
    </xdr:from>
    <xdr:to>
      <xdr:col>54</xdr:col>
      <xdr:colOff>213360</xdr:colOff>
      <xdr:row>490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426720</xdr:colOff>
      <xdr:row>8</xdr:row>
      <xdr:rowOff>167641</xdr:rowOff>
    </xdr:from>
    <xdr:to>
      <xdr:col>64</xdr:col>
      <xdr:colOff>365760</xdr:colOff>
      <xdr:row>14</xdr:row>
      <xdr:rowOff>22860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16703040" y="1729741"/>
          <a:ext cx="22555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564</xdr:row>
      <xdr:rowOff>160020</xdr:rowOff>
    </xdr:from>
    <xdr:to>
      <xdr:col>76</xdr:col>
      <xdr:colOff>182880</xdr:colOff>
      <xdr:row>587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588"/>
  <sheetViews>
    <sheetView tabSelected="1" topLeftCell="AE542" zoomScaleNormal="100" workbookViewId="0">
      <selection activeCell="CL574" sqref="CL57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SUM(D102:D443)</f>
        <v>30580072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SUM(D109:D450)</f>
        <v>30346795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SUM(D116:D457)</f>
        <v>30798470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SUM(D123:D467)</f>
        <v>361403600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SUM(D124:D468)</f>
        <v>361341881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SUM(D125:D469)</f>
        <v>361283532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SUM(D126:D470)</f>
        <v>361218044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SUM(D127:D471)</f>
        <v>361151996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SUM(D128:D472)</f>
        <v>361080001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SUM(D129:D473)</f>
        <v>438006613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SUM(D130:D474)</f>
        <v>437931626.23262841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SUM(D131:D475)</f>
        <v>437868367.23262841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SUM(D132:D476)</f>
        <v>768803088.23262835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SUM(D133:D477)</f>
        <v>813094209.23262835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SUM(D134:D478)</f>
        <v>813026730.30462837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SUM(D135:D479)</f>
        <v>812954763.30462837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SUM(D136:D480)</f>
        <v>812885320.34662843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SUM(D137:D481)</f>
        <v>813808286.34662843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SUM(D138:D482)</f>
        <v>813740873.34662843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SUM(D139:D483)</f>
        <v>813684743.34662843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SUM(D140:D484)</f>
        <v>813623172.34662843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SUM(D141:D485)</f>
        <v>813558443.34662843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SUM(D142:D486)</f>
        <v>813491522.34662843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SUM(D143:D487)</f>
        <v>813422953.34662843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SUM(D144:D488)</f>
        <v>813351870.34662843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SUM(D145:D489)</f>
        <v>813293329.34662843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SUM(D146:D490)</f>
        <v>813244291.34662843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SUM(D147:D491)</f>
        <v>813195645.34662843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SUM(D148:D492)</f>
        <v>813141081.34662843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SUM(D149:D493)</f>
        <v>813085933.34662843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SUM(D150:D494)</f>
        <v>813027223.34662843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SUM(D151:D495)</f>
        <v>812963977.34662843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SUM(D152:D496)</f>
        <v>812909778.34662843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SUM(D153:D497)</f>
        <v>812861929.34662843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SUM(D154:D498)</f>
        <v>812812129.34662843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SUM(D155:D499)</f>
        <v>812757610.34662843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SUM(D156:D500)</f>
        <v>812703265.34662843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SUM(D157:D501)</f>
        <v>812647901.34662843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SUM(D158:D502)</f>
        <v>812587301.34662843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2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SUM(D159:D503)</f>
        <v>812533778.34662843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SUM(D160:D504)</f>
        <v>812496935.34662843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SUM(D161:D505)</f>
        <v>812456323.34662843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SUM(D162:D506)</f>
        <v>812412324.34662843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SUM(D163:D507)</f>
        <v>812367351.34662843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SUM(D164:D508)</f>
        <v>812321994.34662843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SUM(D165:D509)</f>
        <v>812271513.34662843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SUM(D166:D510)</f>
        <v>812227684.34662843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SUM(D167:D511)</f>
        <v>812194966.34662843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SUM(D168:D512)</f>
        <v>812153482.34662843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SUM(D169:D513)</f>
        <v>812113384.34662843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SUM(D170:D514)</f>
        <v>812068747.34662843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SUM(D171:D515)</f>
        <v>812022741.34662843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SUM(D172:D516)</f>
        <v>811973140.34662843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SUM(D173:D517)</f>
        <v>811930480.34662843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SUM(D174:D518)</f>
        <v>811896499.34662843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SUM(D175:D519)</f>
        <v>811857939.34662843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SUM(D176:D520)</f>
        <v>811815960.34662843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SUM(D177:D521)</f>
        <v>811774749.34662843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SUM(D178:D522)</f>
        <v>811729285.34662843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SUM(D179:D523)</f>
        <v>811676436.34662843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SUM(D180:D524)</f>
        <v>811634344.34662843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SUM(D181:D525)</f>
        <v>811603234.34662843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SUM(D182:D529)</f>
        <v>811577814.34662843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SUM(D183:D530)</f>
        <v>811549375.34662843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SUM(D184:D531)</f>
        <v>811514132.34662843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SUM(D185:D532)</f>
        <v>845189607.06091416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SUM(D186:D533)</f>
        <v>896000149.91805696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SUM(D187:D534)</f>
        <v>964532296.4894855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42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SUM(D188:D536)</f>
        <v>964500439.4894855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SUM(D189:D537)</f>
        <v>1140418429.060914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SUM(D190:D541)</f>
        <v>1140381982.060914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SUM(D191:D542)</f>
        <v>1140341828.060914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SUM(D192:D543)</f>
        <v>1140295533.060914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SUM(D193:D544)</f>
        <v>1140244188.060914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SUM(D194:D545)</f>
        <v>1140200575.060914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SUM(D195:D546)</f>
        <v>1140167189.060914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SUM(D196:D552)</f>
        <v>1140130385.060914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SUM(D197:D553)</f>
        <v>1140094689.060914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SUM(D198:D554)</f>
        <v>1140053073.060914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SUM(D199:D555)</f>
        <v>1140007718.060914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SUM(D200:D557)</f>
        <v>1139954089.060914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SUM(D201:D558)</f>
        <v>1139910883.060914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SUM(D202:D559)</f>
        <v>1139877101.060914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SUM(D203:D560)</f>
        <v>1139839683.060914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SUM(D204:D561)</f>
        <v>1139795456.060914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SUM(D205:D562)</f>
        <v>1139754527.060914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SUM(D206:D563)</f>
        <v>1139707138.060914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SUM(D207:D564)</f>
        <v>1139655735.060914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SUM(D208:D565)</f>
        <v>1139606810.060914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SUM(D209:D566)</f>
        <v>1139572744.060914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SUM(D210:D567)</f>
        <v>1139535027.060914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SUM(D211:D568)</f>
        <v>1139490359.060914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SUM(D212:D569)</f>
        <v>1139441001.060914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SUM(D213:D570)</f>
        <v>1139383683.060914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SUM(D214:D571)</f>
        <v>1139322700.060914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SUM(D215:D572)</f>
        <v>1139268465.060914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SUM(D216:D573)</f>
        <v>1139226530.060914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SUM(D217:D574)</f>
        <v>1139180739.060914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SUM(D218:D575)</f>
        <v>1139129205.060914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SUM(D219:D576)</f>
        <v>1139069512.060914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SUM(D220:D577)</f>
        <v>1139003383.060914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SUM(D221:D578)</f>
        <v>1138931696.060914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SUM(D222:D579)</f>
        <v>1138877464.060914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SUM(D223:D580)</f>
        <v>1138832523.060914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SUM(D224:D581)</f>
        <v>1138775196.060914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SUM(D225:D582)</f>
        <v>1138713124.060914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SUM(D226:D583)</f>
        <v>1138649461.060914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SUM(D227:D584)</f>
        <v>1138575160.060914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SUM(D228:D585)</f>
        <v>1138493746.060914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SUM(D229:D586)</f>
        <v>1138414297.060914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SUM(D230:D587)</f>
        <v>1138353408.060914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SUM(D231:D588)</f>
        <v>1138283567.060914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SUM(D232:D589)</f>
        <v>1138208495.060914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SUM(D233:D590)</f>
        <v>1138126914.060914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SUM(D234:D591)</f>
        <v>1138035384.060914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SUM(D235:D592)</f>
        <v>1137933923.060914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SUM(D236:D593)</f>
        <v>1137847630.060914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SUM(D237:D594)</f>
        <v>1137776309.060914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SUM(D238:D595)</f>
        <v>1137687404.060914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SUM(D239:D596)</f>
        <v>1137592937.060914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SUM(D240:D597)</f>
        <v>1137484548.060914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SUM(D241:D598)</f>
        <v>1137366229.060914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SUM(D242:D599)</f>
        <v>1137233688.060914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SUM(D243:D600)</f>
        <v>1137109298.060914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SUM(D244:D601)</f>
        <v>1137006572.060914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SUM(D245:D602)</f>
        <v>1136880883.060914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SUM(D246:D603)</f>
        <v>1136745230.060914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SUM(D247:D604)</f>
        <v>1136602324.060914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SUM(D248:D605)</f>
        <v>1136440783.060914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SUM(D249:D606)</f>
        <v>1136257256.060914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SUM(D250:D607)</f>
        <v>1136100003.060914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SUM(D251:D608)</f>
        <v>1135961754.060914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SUM(D252:D609)</f>
        <v>1135799605.060914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SUM(D253:D610)</f>
        <v>1135642344.060914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SUM(D254:D611)</f>
        <v>1135468576.060914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SUM(D255:D612)</f>
        <v>1135276390.060914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SUM(D256:D613)</f>
        <v>1135072211.060914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SUM(D257:D614)</f>
        <v>1134899372.060914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SUM(D258:D615)</f>
        <v>1134762745.060914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SUM(D259:D616)</f>
        <v>1134590445.060914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SUM(D260:D617)</f>
        <v>1134413363.060914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SUM(D261:D618)</f>
        <v>1134232460.060914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SUM(D262:D619)</f>
        <v>1134124397.060914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SUM(D263:D620)</f>
        <v>1133960385.060914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SUM(D264:D621)</f>
        <v>1133817012.060914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SUM(D265:D622)</f>
        <v>1133678824.060914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SUM(D266:D623)</f>
        <v>1133517256.060914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SUM(D267:D624)</f>
        <v>1133334980.060914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SUM(D268:D625)</f>
        <v>1133131243.060914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SUM(D269:D626)</f>
        <v>1132912667.060914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SUM(D270:D627)</f>
        <v>1132677395.060914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SUM(D271:D628)</f>
        <v>1132464912.060914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SUM(D272:D629)</f>
        <v>1132282133.060914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SUM(D273:D630)</f>
        <v>1132082048.060914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SUM(D274:D631)</f>
        <v>1131872292.060914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SUM(D275:D632)</f>
        <v>1131645339.060914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SUM(D276:D633)</f>
        <v>1131418025.060914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SUM(D277:D634)</f>
        <v>1131171264.060914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SUM(D278:D635)</f>
        <v>1130950966.060914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SUM(D279:D636)</f>
        <v>1130763065.060914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SUM(D280:D637)</f>
        <v>1130563333.060914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SUM(D281:D638)</f>
        <v>1130363298.060914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SUM(D282:D639)</f>
        <v>1130113125.060914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SUM(D283:D640)</f>
        <v>1129875253.060914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SUM(D284:D641)</f>
        <v>1129620573.060914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SUM(D285:D642)</f>
        <v>1129430923.060914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SUM(D286:D643)</f>
        <v>1129242643.060914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SUM(D287:D644)</f>
        <v>1129042534.060914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SUM(D288:D645)</f>
        <v>1128843454.060914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SUM(D289:D646)</f>
        <v>1128611112.060914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SUM(D290:D647)</f>
        <v>1128418082.060914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SUM(D291:D648)</f>
        <v>1128319242.060914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SUM(D292:D649)</f>
        <v>1128158638.060914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SUM(D293:D650)</f>
        <v>1128030898.060914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SUM(D294:D651)</f>
        <v>1127844507.060914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SUM(D295:D652)</f>
        <v>1127644885.060914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SUM(D296:D653)</f>
        <v>1127410110.060914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SUM(D297:D654)</f>
        <v>1127181697.060914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SUM(D298:D655)</f>
        <v>1127015653.060914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SUM(D299:D656)</f>
        <v>1126783426.060914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SUM(D300:D657)</f>
        <v>1126589089.060914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SUM(D301:D658)</f>
        <v>1126398927.060914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SUM(D302:D659)</f>
        <v>1126164216.060914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SUM(D303:D660)</f>
        <v>1125903243.060914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SUM(D304:D661)</f>
        <v>1125629053.060914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SUM(D305:D662)</f>
        <v>1125322604.060914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SUM(D306:D663)</f>
        <v>1125072910.060914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SUM(D307:D664)</f>
        <v>1124852083.060914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SUM(D308:D665)</f>
        <v>1124637400.060914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SUM(D309:D666)</f>
        <v>1124413772.060914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SUM(D310:D667)</f>
        <v>1124175699.060914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SUM(D311:D668)</f>
        <v>1123941280.060914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SUM(D312:D669)</f>
        <v>1123692474.060914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SUM(D313:D670)</f>
        <v>1123489707.060914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SUM(D314:D671)</f>
        <v>1123315147.060914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SUM(D315:D672)</f>
        <v>1123165819.060914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SUM(D316:D673)</f>
        <v>1122991441.060914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SUM(D317:D674)</f>
        <v>1122801360.060914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SUM(D318:D675)</f>
        <v>1122607602.060914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SUM(D319:D676)</f>
        <v>1122415537.060914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SUM(D320:D677)</f>
        <v>1122242470.060914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SUM(D321:D678)</f>
        <v>1122107288.060914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SUM(D322:D679)</f>
        <v>1121955044.060914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SUM(D323:D680)</f>
        <v>1121803317.060914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SUM(D324:D681)</f>
        <v>1121643286.060914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SUM(D325:D682)</f>
        <v>1121480653.060914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SUM(D326:D683)</f>
        <v>1121311620.060914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SUM(D327:D684)</f>
        <v>1121170888.060914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SUM(D328:D685)</f>
        <v>1121063072.060914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SUM(D329:D686)</f>
        <v>1120936620.060914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SUM(D330:D687)</f>
        <v>1120820393.060914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SUM(D331:D688)</f>
        <v>1120706934.060914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SUM(D332:D689)</f>
        <v>1120585197.060914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SUM(D333:D690)</f>
        <v>1120459072.060914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SUM(D334:D691)</f>
        <v>1120353089.060914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SUM(D335:D692)</f>
        <v>1120261833.060914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SUM(D336:D693)</f>
        <v>1120171487.060914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SUM(D337:D694)</f>
        <v>1120075945.060914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SUM(D338:D695)</f>
        <v>1119979139.060914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SUM(D339:D696)</f>
        <v>1119874895.060914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SUM(D340:D697)</f>
        <v>1119774607.060914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SUM(D341:D698)</f>
        <v>1119688123.060914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SUM(D342:D699)</f>
        <v>1119623826.060914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SUM(D343:D700)</f>
        <v>1119571041.060914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SUM(D344:D701)</f>
        <v>1119507643.060914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SUM(D345:D702)</f>
        <v>1119436003.060914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SUM(D346:D703)</f>
        <v>1119367079.060914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SUM(D347:D704)</f>
        <v>1119281540.060914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SUM(D348:D705)</f>
        <v>1119211923.060914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SUM(D349:D706)</f>
        <v>1119154698.060914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SUM(D350:D707)</f>
        <v>1119083644.060914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SUM(D351:D708)</f>
        <v>1119009940.060914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SUM(D352:D709)</f>
        <v>1118934641.060914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SUM(D353:D710)</f>
        <v>1118857264.060914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SUM(D354:D711)</f>
        <v>1118776639.060914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SUM(D355:D712)</f>
        <v>1118712319.060914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SUM(D356:D713)</f>
        <v>1118662907.060914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SUM(D357:D714)</f>
        <v>1118607726.060914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SUM(D358:D715)</f>
        <v>1118550836.060914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SUM(D359:D716)</f>
        <v>1118483611.060914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SUM(D360:D717)</f>
        <v>1118415290.060914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SUM(D361:D718)</f>
        <v>1118346050.060914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SUM(D362:D719)</f>
        <v>1118287822.060914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SUM(D363:D720)</f>
        <v>1118245855.060914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SUM(D364:D721)</f>
        <v>1118200487.060914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SUM(D365:D722)</f>
        <v>1118144804.060914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3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SUM(D366:D723)</f>
        <v>1118083444.060914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SUM(D367:D724)</f>
        <v>1118020671.060914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SUM(D368:D725)</f>
        <v>1117953886.060914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SUM(D369:D726)</f>
        <v>1117904168.060914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SUM(D370:D727)</f>
        <v>1117867272.060914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SUM(D371:D728)</f>
        <v>1117820505.060914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SUM(D372:D729)</f>
        <v>1117767274.060914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SUM(D373:D730)</f>
        <v>1117703779.060914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SUM(D374:D731)</f>
        <v>1117641150.060914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SUM(D375:D732)</f>
        <v>1117574737.060914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SUM(D376:D733)</f>
        <v>1117518829.060914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SUM(D377:D734)</f>
        <v>1117479324.060914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SUM(D378:D735)</f>
        <v>1117433576.060914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SUM(D379:D736)</f>
        <v>1117374871.060914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SUM(D380:D737)</f>
        <v>1117308333.060914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SUM(D381:D738)</f>
        <v>1117241287.060914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SUM(D382:D739)</f>
        <v>1117164311.060914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SUM(D383:D740)</f>
        <v>1117100652.060914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SUM(D384:D741)</f>
        <v>1117056556.060914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SUM(D385:D742)</f>
        <v>1116996358.060914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SUM(D386:D743)</f>
        <v>1116933899.060914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SUM(D387:D744)</f>
        <v>1116865143.060914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SUM(D388:D745)</f>
        <v>1116820892.060914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SUM(D389:D746)</f>
        <v>1116750868.060914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" si="350">+H418+D419</f>
        <v>32873211</v>
      </c>
      <c r="I419" s="16"/>
      <c r="J419" s="436">
        <f t="shared" ref="J419" si="351">+D419/H418</f>
        <v>1.2321231506693148E-3</v>
      </c>
      <c r="K419" s="16"/>
      <c r="L419" s="16"/>
      <c r="M419" s="16"/>
      <c r="N419" s="16">
        <f t="shared" ref="N419" si="352">SUM(D413:D419)</f>
        <v>341014</v>
      </c>
      <c r="O419" s="16">
        <f t="shared" ref="O419" si="353">+H419/BW419</f>
        <v>80178.563414634147</v>
      </c>
      <c r="P419" s="41"/>
      <c r="Q419" s="17">
        <f t="shared" ref="Q419" si="354">SUM(D413:D419)</f>
        <v>341014</v>
      </c>
      <c r="R419" s="16"/>
      <c r="S419" s="60">
        <f t="shared" ref="S41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" si="356">SUM(W414:W419)</f>
        <v>4041</v>
      </c>
      <c r="AA419" s="33">
        <f t="shared" ref="AA419" si="357">+AA418+W419</f>
        <v>580074</v>
      </c>
      <c r="AB419" s="33"/>
      <c r="AC419" s="46">
        <f t="shared" ref="AC419" si="358">+AA419/H419</f>
        <v>1.7645796755297195E-2</v>
      </c>
      <c r="AD419" s="33"/>
      <c r="AE419" s="33">
        <f t="shared" ref="AE419" si="359">+AA419/BW419</f>
        <v>1414.8146341463414</v>
      </c>
      <c r="AF419" s="50"/>
      <c r="AG419" s="33">
        <f t="shared" ref="AG419" si="360">SUM(W413:W419)</f>
        <v>4926</v>
      </c>
      <c r="AH419" s="33">
        <f t="shared" ref="AH419" si="361">SUM(D390:D747)</f>
        <v>1116684714.060914</v>
      </c>
      <c r="AI419" s="213">
        <f t="shared" ref="AI419" si="362">+(AG419-AG412)/AG412</f>
        <v>2.2380467955239063E-3</v>
      </c>
      <c r="AJ419" s="50"/>
      <c r="AK419" s="111"/>
      <c r="AL419" s="23">
        <f t="shared" ref="AL419" si="363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" si="364">+AL419/AP418</f>
        <v>3.2870452838079599E-3</v>
      </c>
      <c r="AS419" s="25"/>
      <c r="AT419" s="25"/>
      <c r="AU419" s="24"/>
      <c r="AV419" s="298">
        <f t="shared" ref="AV419" si="365">+AP419/H419</f>
        <v>0.78813974089723093</v>
      </c>
      <c r="AW419" s="298"/>
      <c r="AX419" s="24">
        <f t="shared" ref="AX419" si="366">+AP419/BW419</f>
        <v>63191.912195121949</v>
      </c>
      <c r="AY419" s="308"/>
      <c r="AZ419" s="111"/>
      <c r="BA419" s="65">
        <f t="shared" ref="BA419" si="367">+BC419-BC418</f>
        <v>1302508</v>
      </c>
      <c r="BB419" s="66"/>
      <c r="BC419" s="66">
        <v>450287188</v>
      </c>
      <c r="BD419" s="66"/>
      <c r="BE419" s="66">
        <f t="shared" ref="BE419" si="368">+D419</f>
        <v>40454</v>
      </c>
      <c r="BF419" s="66"/>
      <c r="BG419" s="144">
        <f t="shared" ref="BG419" si="369">+BE419/BA419</f>
        <v>3.1058542442733556E-2</v>
      </c>
      <c r="BH419" s="66"/>
      <c r="BI419" s="170"/>
      <c r="BJ419" s="66"/>
      <c r="BK419" s="66">
        <f t="shared" ref="BK419" si="370">SUM(BA413:BA419)</f>
        <v>9098343</v>
      </c>
      <c r="BL419" s="66"/>
      <c r="BM419" s="144">
        <f t="shared" ref="BM419" si="371">+Q419/BK419</f>
        <v>3.7480890751206017E-2</v>
      </c>
      <c r="BN419" s="65">
        <f t="shared" ref="BN419" si="372">+BC419/BW419</f>
        <v>1098261.4341463414</v>
      </c>
      <c r="BO419" s="66"/>
      <c r="BP419" s="66">
        <f t="shared" ref="BP419" si="373">+BP418+BE419</f>
        <v>31966233</v>
      </c>
      <c r="BQ419" s="66"/>
      <c r="BR419" s="435">
        <f t="shared" ref="BR419" si="374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ref="H420" si="375">+H419+D420</f>
        <v>32915565</v>
      </c>
      <c r="I420" s="16"/>
      <c r="J420" s="436">
        <f t="shared" ref="J420" si="376">+D420/H419</f>
        <v>1.2884047134914809E-3</v>
      </c>
      <c r="K420" s="16"/>
      <c r="L420" s="16"/>
      <c r="M420" s="16"/>
      <c r="N420" s="16">
        <f t="shared" ref="N420" si="377">SUM(D414:D420)</f>
        <v>331322</v>
      </c>
      <c r="O420" s="16">
        <f t="shared" ref="O420" si="378">+H420/BW420</f>
        <v>80086.53284671533</v>
      </c>
      <c r="P420" s="41"/>
      <c r="Q420" s="17">
        <f t="shared" ref="Q420" si="379">SUM(D414:D420)</f>
        <v>331322</v>
      </c>
      <c r="R420" s="16"/>
      <c r="S420" s="60">
        <f t="shared" ref="S420" si="380">+(Q420-Q413)/Q413</f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ref="Z420" si="381">SUM(W415:W420)</f>
        <v>3940</v>
      </c>
      <c r="AA420" s="33">
        <f t="shared" ref="AA420" si="382">+AA419+W420</f>
        <v>580927</v>
      </c>
      <c r="AB420" s="33"/>
      <c r="AC420" s="46">
        <f t="shared" ref="AC420" si="383">+AA420/H420</f>
        <v>1.764900587305732E-2</v>
      </c>
      <c r="AD420" s="33"/>
      <c r="AE420" s="33">
        <f t="shared" ref="AE420" si="384">+AA420/BW420</f>
        <v>1413.4476885644769</v>
      </c>
      <c r="AF420" s="50"/>
      <c r="AG420" s="33">
        <f t="shared" ref="AG420" si="385">SUM(W414:W420)</f>
        <v>4894</v>
      </c>
      <c r="AH420" s="33">
        <f t="shared" ref="AH420" si="386">SUM(D391:D748)</f>
        <v>1116647731.060914</v>
      </c>
      <c r="AI420" s="213">
        <f t="shared" ref="AI420" si="387">+(AG420-AG413)/AG413</f>
        <v>-4.6776489729509867E-3</v>
      </c>
      <c r="AJ420" s="50"/>
      <c r="AK420" s="111"/>
      <c r="AL420" s="23">
        <f t="shared" ref="AL420" si="388">+AP420-AP419</f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ref="AR420" si="389">+AL420/AP419</f>
        <v>2.227245505792575E-3</v>
      </c>
      <c r="AS420" s="25"/>
      <c r="AT420" s="25"/>
      <c r="AU420" s="24"/>
      <c r="AV420" s="298">
        <f t="shared" ref="AV420" si="390">+AP420/H420</f>
        <v>0.78887872652345481</v>
      </c>
      <c r="AW420" s="298"/>
      <c r="AX420" s="24">
        <f t="shared" ref="AX420" si="391">+AP420/BW420</f>
        <v>63178.562043795624</v>
      </c>
      <c r="AY420" s="308"/>
      <c r="AZ420" s="111"/>
      <c r="BA420" s="65">
        <f t="shared" ref="BA420" si="392">+BC420-BC419</f>
        <v>959207</v>
      </c>
      <c r="BB420" s="66"/>
      <c r="BC420" s="66">
        <v>451246395</v>
      </c>
      <c r="BD420" s="66"/>
      <c r="BE420" s="66">
        <f t="shared" ref="BE420" si="393">+D420</f>
        <v>42354</v>
      </c>
      <c r="BF420" s="66"/>
      <c r="BG420" s="144">
        <f t="shared" ref="BG420" si="394">+BE420/BA420</f>
        <v>4.4155224054870323E-2</v>
      </c>
      <c r="BH420" s="66"/>
      <c r="BI420" s="170"/>
      <c r="BJ420" s="66"/>
      <c r="BK420" s="66">
        <f t="shared" ref="BK420" si="395">SUM(BA414:BA420)</f>
        <v>9035743</v>
      </c>
      <c r="BL420" s="66"/>
      <c r="BM420" s="144">
        <f t="shared" ref="BM420" si="396">+Q420/BK420</f>
        <v>3.666793090507333E-2</v>
      </c>
      <c r="BN420" s="65">
        <f t="shared" ref="BN420" si="397">+BC420/BW420</f>
        <v>1097923.1021897809</v>
      </c>
      <c r="BO420" s="66"/>
      <c r="BP420" s="66">
        <f t="shared" ref="BP420" si="398">+BP419+BE420</f>
        <v>32008587</v>
      </c>
      <c r="BQ420" s="66"/>
      <c r="BR420" s="435">
        <f t="shared" ref="BR420" si="399">+BP420/BC420</f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ref="H421" si="400">+H420+D421</f>
        <v>32961694</v>
      </c>
      <c r="I421" s="16"/>
      <c r="J421" s="436">
        <f t="shared" ref="J421" si="401">+D421/H420</f>
        <v>1.4014342454701902E-3</v>
      </c>
      <c r="K421" s="16"/>
      <c r="L421" s="16"/>
      <c r="M421" s="16"/>
      <c r="N421" s="16">
        <f t="shared" ref="N421" si="402">SUM(D415:D421)</f>
        <v>320847</v>
      </c>
      <c r="O421" s="16">
        <f t="shared" ref="O421" si="403">+H421/BW421</f>
        <v>80004.111650485444</v>
      </c>
      <c r="P421" s="41"/>
      <c r="Q421" s="17">
        <f t="shared" ref="Q421" si="404">SUM(D415:D421)</f>
        <v>320847</v>
      </c>
      <c r="R421" s="16"/>
      <c r="S421" s="60">
        <f t="shared" ref="S421" si="405">+(Q421-Q414)/Q414</f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ref="Z421" si="406">SUM(W416:W421)</f>
        <v>3813</v>
      </c>
      <c r="AA421" s="33">
        <f t="shared" ref="AA421" si="407">+AA420+W421</f>
        <v>581670</v>
      </c>
      <c r="AB421" s="33"/>
      <c r="AC421" s="46">
        <f t="shared" ref="AC421" si="408">+AA421/H421</f>
        <v>1.7646847883485601E-2</v>
      </c>
      <c r="AD421" s="33"/>
      <c r="AE421" s="33">
        <f t="shared" ref="AE421" si="409">+AA421/BW421</f>
        <v>1411.8203883495146</v>
      </c>
      <c r="AF421" s="50"/>
      <c r="AG421" s="33">
        <f t="shared" ref="AG421" si="410">SUM(W415:W421)</f>
        <v>4683</v>
      </c>
      <c r="AH421" s="33">
        <f t="shared" ref="AH421" si="411">SUM(D392:D749)</f>
        <v>1116590087.060914</v>
      </c>
      <c r="AI421" s="213">
        <f t="shared" ref="AI421" si="412">+(AG421-AG414)/AG414</f>
        <v>-6.2462462462462461E-2</v>
      </c>
      <c r="AJ421" s="50"/>
      <c r="AK421" s="111"/>
      <c r="AL421" s="23">
        <f t="shared" ref="AL421" si="413">+AP421-AP420</f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ref="AR421" si="414">+AL421/AP420</f>
        <v>2.654392953906683E-3</v>
      </c>
      <c r="AS421" s="25"/>
      <c r="AT421" s="25"/>
      <c r="AU421" s="24"/>
      <c r="AV421" s="298">
        <f t="shared" ref="AV421" si="415">+AP421/H421</f>
        <v>0.78986577570922178</v>
      </c>
      <c r="AW421" s="298"/>
      <c r="AX421" s="24">
        <f t="shared" ref="AX421" si="416">+AP421/BW421</f>
        <v>63192.509708737867</v>
      </c>
      <c r="AY421" s="308"/>
      <c r="AZ421" s="111"/>
      <c r="BA421" s="65">
        <f t="shared" ref="BA421" si="417">+BC421-BC420</f>
        <v>1834660</v>
      </c>
      <c r="BB421" s="66"/>
      <c r="BC421" s="66">
        <v>453081055</v>
      </c>
      <c r="BD421" s="66"/>
      <c r="BE421" s="66">
        <f t="shared" ref="BE421" si="418">+D421</f>
        <v>46129</v>
      </c>
      <c r="BF421" s="66"/>
      <c r="BG421" s="144">
        <f t="shared" ref="BG421" si="419">+BE421/BA421</f>
        <v>2.5143078281534455E-2</v>
      </c>
      <c r="BH421" s="66"/>
      <c r="BI421" s="170"/>
      <c r="BJ421" s="66"/>
      <c r="BK421" s="66">
        <f t="shared" ref="BK421" si="420">SUM(BA415:BA421)</f>
        <v>9094058</v>
      </c>
      <c r="BL421" s="66"/>
      <c r="BM421" s="144">
        <f t="shared" ref="BM421" si="421">+Q421/BK421</f>
        <v>3.5280949384752111E-2</v>
      </c>
      <c r="BN421" s="65">
        <f t="shared" ref="BN421" si="422">+BC421/BW421</f>
        <v>1099711.2985436893</v>
      </c>
      <c r="BO421" s="66"/>
      <c r="BP421" s="66">
        <f t="shared" ref="BP421" si="423">+BP420+BE421</f>
        <v>32054716</v>
      </c>
      <c r="BQ421" s="66"/>
      <c r="BR421" s="435">
        <f t="shared" ref="BR421" si="424">+BP421/BC421</f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ref="H422" si="425">+H421+D422</f>
        <v>33009513</v>
      </c>
      <c r="I422" s="16"/>
      <c r="J422" s="436">
        <f t="shared" ref="J422" si="426">+D422/H421</f>
        <v>1.4507446128223871E-3</v>
      </c>
      <c r="K422" s="16"/>
      <c r="L422" s="16"/>
      <c r="M422" s="16"/>
      <c r="N422" s="16">
        <f t="shared" ref="N422" si="427">SUM(D416:D422)</f>
        <v>309397</v>
      </c>
      <c r="O422" s="16">
        <f t="shared" ref="O422" si="428">+H422/BW422</f>
        <v>79926.181598062947</v>
      </c>
      <c r="P422" s="41"/>
      <c r="Q422" s="17">
        <f t="shared" ref="Q422" si="429">SUM(D416:D422)</f>
        <v>309397</v>
      </c>
      <c r="R422" s="16"/>
      <c r="S422" s="60">
        <f t="shared" ref="S422" si="430">+(Q422-Q415)/Q415</f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ref="Z422" si="431">SUM(W417:W422)</f>
        <v>3889</v>
      </c>
      <c r="AA422" s="33">
        <f t="shared" ref="AA422" si="432">+AA421+W422</f>
        <v>582530</v>
      </c>
      <c r="AB422" s="33"/>
      <c r="AC422" s="46">
        <f t="shared" ref="AC422" si="433">+AA422/H422</f>
        <v>1.7647336996459172E-2</v>
      </c>
      <c r="AD422" s="33"/>
      <c r="AE422" s="33">
        <f t="shared" ref="AE422" si="434">+AA422/BW422</f>
        <v>1410.4842615012108</v>
      </c>
      <c r="AF422" s="50"/>
      <c r="AG422" s="33">
        <f t="shared" ref="AG422" si="435">SUM(W416:W422)</f>
        <v>4673</v>
      </c>
      <c r="AH422" s="33">
        <f t="shared" ref="AH422" si="436">SUM(D393:D750)</f>
        <v>1116527804.060914</v>
      </c>
      <c r="AI422" s="213">
        <f t="shared" ref="AI422" si="437">+(AG422-AG415)/AG415</f>
        <v>-5.9569329845039244E-2</v>
      </c>
      <c r="AJ422" s="50"/>
      <c r="AK422" s="111"/>
      <c r="AL422" s="23">
        <f t="shared" ref="AL422" si="438">+AP422-AP421</f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ref="AR422" si="439">+AL422/AP421</f>
        <v>2.692381586025811E-3</v>
      </c>
      <c r="AS422" s="25"/>
      <c r="AT422" s="25"/>
      <c r="AU422" s="24"/>
      <c r="AV422" s="298">
        <f t="shared" ref="AV422" si="440">+AP422/H422</f>
        <v>0.79084508153755551</v>
      </c>
      <c r="AW422" s="298"/>
      <c r="AX422" s="24">
        <f t="shared" ref="AX422" si="441">+AP422/BW422</f>
        <v>63209.227602905572</v>
      </c>
      <c r="AY422" s="308"/>
      <c r="AZ422" s="111"/>
      <c r="BA422" s="65">
        <f t="shared" ref="BA422" si="442">+BC422-BC421</f>
        <v>1372147</v>
      </c>
      <c r="BB422" s="66"/>
      <c r="BC422" s="66">
        <v>454453202</v>
      </c>
      <c r="BD422" s="66"/>
      <c r="BE422" s="66">
        <f t="shared" ref="BE422" si="443">+D422</f>
        <v>47819</v>
      </c>
      <c r="BF422" s="66"/>
      <c r="BG422" s="144">
        <f t="shared" ref="BG422" si="444">+BE422/BA422</f>
        <v>3.4849764638919881E-2</v>
      </c>
      <c r="BH422" s="66"/>
      <c r="BI422" s="170"/>
      <c r="BJ422" s="66"/>
      <c r="BK422" s="66">
        <f t="shared" ref="BK422" si="445">SUM(BA416:BA422)</f>
        <v>9320519</v>
      </c>
      <c r="BL422" s="66"/>
      <c r="BM422" s="144">
        <f t="shared" ref="BM422" si="446">+Q422/BK422</f>
        <v>3.3195254470271454E-2</v>
      </c>
      <c r="BN422" s="65">
        <f t="shared" ref="BN422" si="447">+BC422/BW422</f>
        <v>1100370.9491525423</v>
      </c>
      <c r="BO422" s="66"/>
      <c r="BP422" s="66">
        <f t="shared" ref="BP422" si="448">+BP421+BE422</f>
        <v>32102535</v>
      </c>
      <c r="BQ422" s="66"/>
      <c r="BR422" s="435">
        <f t="shared" ref="BR422" si="449">+BP422/BC422</f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ref="H423" si="450">+H422+D423</f>
        <v>33059004</v>
      </c>
      <c r="I423" s="16"/>
      <c r="J423" s="436">
        <f t="shared" ref="J423" si="451">+D423/H422</f>
        <v>1.4992950668493656E-3</v>
      </c>
      <c r="K423" s="16"/>
      <c r="L423" s="16"/>
      <c r="M423" s="16"/>
      <c r="N423" s="16">
        <f t="shared" ref="N423" si="452">SUM(D417:D423)</f>
        <v>298982</v>
      </c>
      <c r="O423" s="16">
        <f t="shared" ref="O423" si="453">+H423/BW423</f>
        <v>79852.666666666672</v>
      </c>
      <c r="P423" s="41"/>
      <c r="Q423" s="17">
        <f t="shared" ref="Q423" si="454">SUM(D417:D423)</f>
        <v>298982</v>
      </c>
      <c r="R423" s="16"/>
      <c r="S423" s="60">
        <f t="shared" ref="S423" si="455">+(Q423-Q416)/Q416</f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ref="Z423" si="456">SUM(W418:W423)</f>
        <v>4002</v>
      </c>
      <c r="AA423" s="33">
        <f t="shared" ref="AA423" si="457">+AA422+W423</f>
        <v>583304</v>
      </c>
      <c r="AB423" s="33"/>
      <c r="AC423" s="46">
        <f t="shared" ref="AC423" si="458">+AA423/H423</f>
        <v>1.7644330724543304E-2</v>
      </c>
      <c r="AD423" s="33"/>
      <c r="AE423" s="33">
        <f t="shared" ref="AE423" si="459">+AA423/BW423</f>
        <v>1408.9468599033817</v>
      </c>
      <c r="AF423" s="50"/>
      <c r="AG423" s="33">
        <f t="shared" ref="AG423" si="460">SUM(W417:W423)</f>
        <v>4663</v>
      </c>
      <c r="AH423" s="33">
        <f t="shared" ref="AH423" si="461">SUM(D394:D751)</f>
        <v>1116452621.060914</v>
      </c>
      <c r="AI423" s="213">
        <f t="shared" ref="AI423" si="462">+(AG423-AG416)/AG416</f>
        <v>-6.0447310094700786E-2</v>
      </c>
      <c r="AJ423" s="50"/>
      <c r="AK423" s="111"/>
      <c r="AL423" s="23">
        <f t="shared" ref="AL423" si="463">+AP423-AP422</f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ref="AR423" si="464">+AL423/AP422</f>
        <v>8.4023193505744845E-3</v>
      </c>
      <c r="AS423" s="25"/>
      <c r="AT423" s="25"/>
      <c r="AU423" s="24"/>
      <c r="AV423" s="298">
        <f t="shared" ref="AV423" si="465">+AP423/H423</f>
        <v>0.79629613160759471</v>
      </c>
      <c r="AW423" s="298"/>
      <c r="AX423" s="24">
        <f t="shared" ref="AX423" si="466">+AP423/BW423</f>
        <v>63586.369565217392</v>
      </c>
      <c r="AY423" s="308"/>
      <c r="AZ423" s="111"/>
      <c r="BA423" s="65">
        <f t="shared" ref="BA423" si="467">+BC423-BC422</f>
        <v>1536629</v>
      </c>
      <c r="BB423" s="66"/>
      <c r="BC423" s="66">
        <v>455989831</v>
      </c>
      <c r="BD423" s="66"/>
      <c r="BE423" s="66">
        <f t="shared" ref="BE423" si="468">+D423</f>
        <v>49491</v>
      </c>
      <c r="BF423" s="66"/>
      <c r="BG423" s="144">
        <f t="shared" ref="BG423" si="469">+BE423/BA423</f>
        <v>3.2207513980277609E-2</v>
      </c>
      <c r="BH423" s="66"/>
      <c r="BI423" s="170"/>
      <c r="BJ423" s="66"/>
      <c r="BK423" s="66">
        <f t="shared" ref="BK423" si="470">SUM(BA417:BA423)</f>
        <v>9362634</v>
      </c>
      <c r="BL423" s="66"/>
      <c r="BM423" s="144">
        <f t="shared" ref="BM423" si="471">+Q423/BK423</f>
        <v>3.1933534943264896E-2</v>
      </c>
      <c r="BN423" s="65">
        <f t="shared" ref="BN423" si="472">+BC423/BW423</f>
        <v>1101424.7125603864</v>
      </c>
      <c r="BO423" s="66"/>
      <c r="BP423" s="66">
        <f t="shared" ref="BP423" si="473">+BP422+BE423</f>
        <v>32152026</v>
      </c>
      <c r="BQ423" s="66"/>
      <c r="BR423" s="435">
        <f t="shared" ref="BR423" si="474">+BP423/BC423</f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ref="H424" si="475">+H423+D424</f>
        <v>33094759</v>
      </c>
      <c r="I424" s="16"/>
      <c r="J424" s="436">
        <f t="shared" ref="J424" si="476">+D424/H423</f>
        <v>1.0815510352338504E-3</v>
      </c>
      <c r="K424" s="16"/>
      <c r="L424" s="16"/>
      <c r="M424" s="16"/>
      <c r="N424" s="16">
        <f t="shared" ref="N424" si="477">SUM(D418:D424)</f>
        <v>292703</v>
      </c>
      <c r="O424" s="16">
        <f t="shared" ref="O424" si="478">+H424/BW424</f>
        <v>79746.407228915661</v>
      </c>
      <c r="P424" s="41"/>
      <c r="Q424" s="17">
        <f t="shared" ref="Q424" si="479">SUM(D418:D424)</f>
        <v>292703</v>
      </c>
      <c r="R424" s="16"/>
      <c r="S424" s="60">
        <f t="shared" ref="S424" si="480">+(Q424-Q417)/Q417</f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ref="Z424" si="481">SUM(W419:W424)</f>
        <v>4338</v>
      </c>
      <c r="AA424" s="33">
        <f t="shared" ref="AA424" si="482">+AA423+W424</f>
        <v>583952</v>
      </c>
      <c r="AB424" s="33"/>
      <c r="AC424" s="46">
        <f t="shared" ref="AC424" si="483">+AA424/H424</f>
        <v>1.7644848237148365E-2</v>
      </c>
      <c r="AD424" s="33"/>
      <c r="AE424" s="33">
        <f t="shared" ref="AE424" si="484">+AA424/BW424</f>
        <v>1407.1132530120483</v>
      </c>
      <c r="AF424" s="50"/>
      <c r="AG424" s="33">
        <f t="shared" ref="AG424" si="485">SUM(W418:W424)</f>
        <v>4650</v>
      </c>
      <c r="AH424" s="33">
        <f t="shared" ref="AH424" si="486">SUM(D395:D752)</f>
        <v>1116372460.060914</v>
      </c>
      <c r="AI424" s="213">
        <f t="shared" ref="AI424" si="487">+(AG424-AG417)/AG417</f>
        <v>-4.7521507578861123E-2</v>
      </c>
      <c r="AJ424" s="50"/>
      <c r="AK424" s="111"/>
      <c r="AL424" s="23">
        <f t="shared" ref="AL424" si="488">+AP424-AP423</f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ref="AR424" si="489">+AL424/AP423</f>
        <v>3.081282003856674E-3</v>
      </c>
      <c r="AS424" s="25"/>
      <c r="AT424" s="25"/>
      <c r="AU424" s="24"/>
      <c r="AV424" s="298">
        <f t="shared" ref="AV424" si="490">+AP424/H424</f>
        <v>0.79788678926472922</v>
      </c>
      <c r="AW424" s="298"/>
      <c r="AX424" s="24">
        <f t="shared" ref="AX424" si="491">+AP424/BW424</f>
        <v>63628.604819277105</v>
      </c>
      <c r="AY424" s="308"/>
      <c r="AZ424" s="111"/>
      <c r="BA424" s="65">
        <f t="shared" ref="BA424" si="492">+BC424-BC423</f>
        <v>1304842</v>
      </c>
      <c r="BB424" s="66"/>
      <c r="BC424" s="66">
        <v>457294673</v>
      </c>
      <c r="BD424" s="66"/>
      <c r="BE424" s="66">
        <f t="shared" ref="BE424" si="493">+D424</f>
        <v>35755</v>
      </c>
      <c r="BF424" s="66"/>
      <c r="BG424" s="144">
        <f t="shared" ref="BG424" si="494">+BE424/BA424</f>
        <v>2.7401785043706443E-2</v>
      </c>
      <c r="BH424" s="66"/>
      <c r="BI424" s="170"/>
      <c r="BJ424" s="66"/>
      <c r="BK424" s="66">
        <f t="shared" ref="BK424" si="495">SUM(BA418:BA424)</f>
        <v>9561991</v>
      </c>
      <c r="BL424" s="66"/>
      <c r="BM424" s="144">
        <f t="shared" ref="BM424" si="496">+Q424/BK424</f>
        <v>3.0611093442777765E-2</v>
      </c>
      <c r="BN424" s="65">
        <f t="shared" ref="BN424" si="497">+BC424/BW424</f>
        <v>1101914.8746987951</v>
      </c>
      <c r="BO424" s="66"/>
      <c r="BP424" s="66">
        <f t="shared" ref="BP424" si="498">+BP423+BE424</f>
        <v>32187781</v>
      </c>
      <c r="BQ424" s="66"/>
      <c r="BR424" s="435">
        <f t="shared" ref="BR424" si="499">+BP424/BC424</f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ref="H425" si="500">+H424+D425</f>
        <v>33116959</v>
      </c>
      <c r="I425" s="16"/>
      <c r="J425" s="436">
        <f t="shared" ref="J425" si="501">+D425/H424</f>
        <v>6.7080107759660672E-4</v>
      </c>
      <c r="K425" s="16"/>
      <c r="L425" s="16"/>
      <c r="M425" s="16"/>
      <c r="N425" s="577">
        <f t="shared" ref="N425" si="502">SUM(D419:D425)</f>
        <v>284202</v>
      </c>
      <c r="O425" s="16">
        <f t="shared" ref="O425" si="503">+H425/BW425</f>
        <v>79608.074519230766</v>
      </c>
      <c r="P425" s="41"/>
      <c r="Q425" s="17">
        <f t="shared" ref="Q425" si="504">SUM(D419:D425)</f>
        <v>284202</v>
      </c>
      <c r="R425" s="16"/>
      <c r="S425" s="60">
        <f t="shared" ref="S425" si="505">+(Q425-Q418)/Q418</f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ref="Z425" si="506">SUM(W420:W425)</f>
        <v>4119</v>
      </c>
      <c r="AA425" s="33">
        <f t="shared" ref="AA425" si="507">+AA424+W425</f>
        <v>584193</v>
      </c>
      <c r="AB425" s="33"/>
      <c r="AC425" s="46">
        <f t="shared" ref="AC425" si="508">+AA425/H425</f>
        <v>1.7640297226566001E-2</v>
      </c>
      <c r="AD425" s="33"/>
      <c r="AE425" s="33">
        <f t="shared" ref="AE425" si="509">+AA425/BW425</f>
        <v>1404.3100961538462</v>
      </c>
      <c r="AF425" s="50"/>
      <c r="AG425" s="33">
        <f t="shared" ref="AG425" si="510">SUM(W419:W425)</f>
        <v>4579</v>
      </c>
      <c r="AH425" s="33">
        <f t="shared" ref="AH425" si="511">SUM(D396:D753)</f>
        <v>1116287092.060914</v>
      </c>
      <c r="AI425" s="213">
        <f t="shared" ref="AI425" si="512">+(AG425-AG418)/AG418</f>
        <v>-6.9498069498069498E-2</v>
      </c>
      <c r="AJ425" s="50"/>
      <c r="AK425" s="111"/>
      <c r="AL425" s="23">
        <f t="shared" ref="AL425" si="513">+AP425-AP424</f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ref="AR425" si="514">+AL425/AP424</f>
        <v>1.2815710566790241E-3</v>
      </c>
      <c r="AS425" s="25"/>
      <c r="AT425" s="25"/>
      <c r="AU425" s="24"/>
      <c r="AV425" s="298">
        <f t="shared" ref="AV425" si="515">+AP425/H425</f>
        <v>0.79837378788312052</v>
      </c>
      <c r="AW425" s="298"/>
      <c r="AX425" s="24">
        <f t="shared" ref="AX425" si="516">+AP425/BW425</f>
        <v>63557</v>
      </c>
      <c r="AY425" s="308"/>
      <c r="AZ425" s="111"/>
      <c r="BA425" s="65">
        <f t="shared" ref="BA425" si="517">+BC425-BC424</f>
        <v>873630</v>
      </c>
      <c r="BB425" s="66"/>
      <c r="BC425" s="66">
        <v>458168303</v>
      </c>
      <c r="BD425" s="66"/>
      <c r="BE425" s="66">
        <f t="shared" ref="BE425" si="518">+D425</f>
        <v>22200</v>
      </c>
      <c r="BF425" s="66"/>
      <c r="BG425" s="144">
        <f t="shared" ref="BG425" si="519">+BE425/BA425</f>
        <v>2.541121527420075E-2</v>
      </c>
      <c r="BH425" s="66"/>
      <c r="BI425" s="170"/>
      <c r="BJ425" s="66"/>
      <c r="BK425" s="66">
        <f t="shared" ref="BK425" si="520">SUM(BA419:BA425)</f>
        <v>9183623</v>
      </c>
      <c r="BL425" s="66"/>
      <c r="BM425" s="144">
        <f t="shared" ref="BM425" si="521">+Q425/BK425</f>
        <v>3.0946610068814891E-2</v>
      </c>
      <c r="BN425" s="65">
        <f t="shared" ref="BN425" si="522">+BC425/BW425</f>
        <v>1101366.1129807692</v>
      </c>
      <c r="BO425" s="66"/>
      <c r="BP425" s="66">
        <f t="shared" ref="BP425" si="523">+BP424+BE425</f>
        <v>32209981</v>
      </c>
      <c r="BQ425" s="66"/>
      <c r="BR425" s="435">
        <f t="shared" ref="BR425" si="524">+BP425/BC425</f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ref="H426" si="525">+H425+D426</f>
        <v>33147111</v>
      </c>
      <c r="I426" s="16"/>
      <c r="J426" s="436">
        <f t="shared" ref="J426" si="526">+D426/H425</f>
        <v>9.1047007063661855E-4</v>
      </c>
      <c r="K426" s="16"/>
      <c r="L426" s="16"/>
      <c r="M426" s="16"/>
      <c r="N426" s="16">
        <f t="shared" ref="N426" si="527">SUM(D420:D426)</f>
        <v>273900</v>
      </c>
      <c r="O426" s="16">
        <f t="shared" ref="O426" si="528">+H426/BW426</f>
        <v>79489.474820143878</v>
      </c>
      <c r="P426" s="41"/>
      <c r="Q426" s="17">
        <f t="shared" ref="Q426" si="529">SUM(D420:D426)</f>
        <v>273900</v>
      </c>
      <c r="R426" s="16"/>
      <c r="S426" s="60">
        <f t="shared" ref="S426" si="530">+(Q426-Q419)/Q419</f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ref="Z426" si="531">SUM(W421:W426)</f>
        <v>3653</v>
      </c>
      <c r="AA426" s="33">
        <f t="shared" ref="AA426" si="532">+AA425+W426</f>
        <v>584580</v>
      </c>
      <c r="AB426" s="33"/>
      <c r="AC426" s="46">
        <f t="shared" ref="AC426" si="533">+AA426/H426</f>
        <v>1.7635926099260957E-2</v>
      </c>
      <c r="AD426" s="33"/>
      <c r="AE426" s="33">
        <f t="shared" ref="AE426" si="534">+AA426/BW426</f>
        <v>1401.8705035971223</v>
      </c>
      <c r="AF426" s="50"/>
      <c r="AG426" s="33">
        <f t="shared" ref="AG426" si="535">SUM(W420:W426)</f>
        <v>4506</v>
      </c>
      <c r="AH426" s="33">
        <f t="shared" ref="AH426" si="536">SUM(D397:D754)</f>
        <v>1116220312.060914</v>
      </c>
      <c r="AI426" s="213">
        <f t="shared" ref="AI426" si="537">+(AG426-AG419)/AG419</f>
        <v>-8.5261875761266745E-2</v>
      </c>
      <c r="AJ426" s="50"/>
      <c r="AK426" s="111"/>
      <c r="AL426" s="23">
        <f t="shared" ref="AL426" si="538">+AP426-AP425</f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ref="AR426" si="539">+AL426/AP425</f>
        <v>2.5611095915114355E-3</v>
      </c>
      <c r="AS426" s="25"/>
      <c r="AT426" s="25"/>
      <c r="AU426" s="24"/>
      <c r="AV426" s="298">
        <f t="shared" ref="AV426" si="540">+AP426/H426</f>
        <v>0.79969041645891858</v>
      </c>
      <c r="AW426" s="298"/>
      <c r="AX426" s="24">
        <f t="shared" ref="AX426" si="541">+AP426/BW426</f>
        <v>63566.971223021581</v>
      </c>
      <c r="AY426" s="308"/>
      <c r="AZ426" s="111"/>
      <c r="BA426" s="65">
        <f t="shared" ref="BA426" si="542">+BC426-BC425</f>
        <v>1252631</v>
      </c>
      <c r="BB426" s="66"/>
      <c r="BC426" s="66">
        <v>459420934</v>
      </c>
      <c r="BD426" s="66"/>
      <c r="BE426" s="66">
        <f t="shared" ref="BE426" si="543">+D426</f>
        <v>30152</v>
      </c>
      <c r="BF426" s="66"/>
      <c r="BG426" s="144">
        <f t="shared" ref="BG426" si="544">+BE426/BA426</f>
        <v>2.4070935494970188E-2</v>
      </c>
      <c r="BH426" s="66"/>
      <c r="BI426" s="170"/>
      <c r="BJ426" s="66"/>
      <c r="BK426" s="66">
        <f t="shared" ref="BK426" si="545">SUM(BA420:BA426)</f>
        <v>9133746</v>
      </c>
      <c r="BL426" s="66"/>
      <c r="BM426" s="144">
        <f t="shared" ref="BM426" si="546">+Q426/BK426</f>
        <v>2.9987696176355244E-2</v>
      </c>
      <c r="BN426" s="65">
        <f t="shared" ref="BN426" si="547">+BC426/BW426</f>
        <v>1101728.8585131895</v>
      </c>
      <c r="BO426" s="66"/>
      <c r="BP426" s="66">
        <f t="shared" ref="BP426" si="548">+BP425+BE426</f>
        <v>32240133</v>
      </c>
      <c r="BQ426" s="66"/>
      <c r="BR426" s="435">
        <f t="shared" ref="BR426" si="549">+BP426/BC426</f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ref="H427" si="550">+H426+D427</f>
        <v>33182015</v>
      </c>
      <c r="I427" s="16"/>
      <c r="J427" s="436">
        <f t="shared" ref="J427" si="551">+D427/H426</f>
        <v>1.0530027790355545E-3</v>
      </c>
      <c r="K427" s="16"/>
      <c r="L427" s="16"/>
      <c r="M427" s="16"/>
      <c r="N427" s="16">
        <f t="shared" ref="N427" si="552">SUM(D421:D427)</f>
        <v>266450</v>
      </c>
      <c r="O427" s="16">
        <f t="shared" ref="O427" si="553">+H427/BW427</f>
        <v>79382.811004784686</v>
      </c>
      <c r="P427" s="41"/>
      <c r="Q427" s="17">
        <f t="shared" ref="Q427" si="554">SUM(D421:D427)</f>
        <v>266450</v>
      </c>
      <c r="R427" s="16"/>
      <c r="S427" s="60">
        <f t="shared" ref="S427" si="555">+(Q427-Q420)/Q420</f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ref="Z427" si="556">SUM(W422:W427)</f>
        <v>3653</v>
      </c>
      <c r="AA427" s="33">
        <f t="shared" ref="AA427" si="557">+AA426+W427</f>
        <v>585323</v>
      </c>
      <c r="AB427" s="33"/>
      <c r="AC427" s="46">
        <f t="shared" ref="AC427" si="558">+AA427/H427</f>
        <v>1.7639766602480289E-2</v>
      </c>
      <c r="AD427" s="33"/>
      <c r="AE427" s="33">
        <f t="shared" ref="AE427" si="559">+AA427/BW427</f>
        <v>1400.2942583732058</v>
      </c>
      <c r="AF427" s="50"/>
      <c r="AG427" s="33">
        <f t="shared" ref="AG427" si="560">SUM(W421:W427)</f>
        <v>4396</v>
      </c>
      <c r="AH427" s="33">
        <f t="shared" ref="AH427" si="561">SUM(D398:D755)</f>
        <v>1116172438.060914</v>
      </c>
      <c r="AI427" s="213">
        <f t="shared" ref="AI427" si="562">+(AG427-AG420)/AG420</f>
        <v>-0.10175725378013895</v>
      </c>
      <c r="AJ427" s="50"/>
      <c r="AK427" s="111"/>
      <c r="AL427" s="23">
        <f t="shared" ref="AL427" si="563">+AP427-AP426</f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ref="AR427" si="564">+AL427/AP426</f>
        <v>1.9130864719536906E-3</v>
      </c>
      <c r="AS427" s="25"/>
      <c r="AT427" s="25"/>
      <c r="AU427" s="24"/>
      <c r="AV427" s="298">
        <f t="shared" ref="AV427" si="565">+AP427/H427</f>
        <v>0.80037749365130473</v>
      </c>
      <c r="AW427" s="298"/>
      <c r="AX427" s="24">
        <f t="shared" ref="AX427" si="566">+AP427/BW427</f>
        <v>63536.215311004788</v>
      </c>
      <c r="AY427" s="308"/>
      <c r="AZ427" s="111"/>
      <c r="BA427" s="65">
        <f t="shared" ref="BA427" si="567">+BC427-BC426</f>
        <v>979552</v>
      </c>
      <c r="BB427" s="66"/>
      <c r="BC427" s="66">
        <v>460400486</v>
      </c>
      <c r="BD427" s="66"/>
      <c r="BE427" s="66">
        <f t="shared" ref="BE427" si="568">+D427</f>
        <v>34904</v>
      </c>
      <c r="BF427" s="66"/>
      <c r="BG427" s="144">
        <f t="shared" ref="BG427" si="569">+BE427/BA427</f>
        <v>3.5632615726372871E-2</v>
      </c>
      <c r="BH427" s="66"/>
      <c r="BI427" s="170"/>
      <c r="BJ427" s="66"/>
      <c r="BK427" s="66">
        <f t="shared" ref="BK427" si="570">SUM(BA421:BA427)</f>
        <v>9154091</v>
      </c>
      <c r="BL427" s="66"/>
      <c r="BM427" s="144">
        <f t="shared" ref="BM427" si="571">+Q427/BK427</f>
        <v>2.9107204636702869E-2</v>
      </c>
      <c r="BN427" s="65">
        <f t="shared" ref="BN427" si="572">+BC427/BW427</f>
        <v>1101436.5693779904</v>
      </c>
      <c r="BO427" s="66"/>
      <c r="BP427" s="66">
        <f t="shared" ref="BP427" si="573">+BP426+BE427</f>
        <v>32275037</v>
      </c>
      <c r="BQ427" s="66"/>
      <c r="BR427" s="435">
        <f t="shared" ref="BR427" si="574">+BP427/BC427</f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ref="H428" si="575">+H427+D428</f>
        <v>33217831</v>
      </c>
      <c r="I428" s="16"/>
      <c r="J428" s="436">
        <f t="shared" ref="J428" si="576">+D428/H427</f>
        <v>1.079379899020599E-3</v>
      </c>
      <c r="K428" s="16"/>
      <c r="L428" s="16"/>
      <c r="M428" s="16"/>
      <c r="N428" s="16">
        <f t="shared" ref="N428" si="577">SUM(D422:D428)</f>
        <v>256137</v>
      </c>
      <c r="O428" s="16">
        <f t="shared" ref="O428" si="578">+H428/BW428</f>
        <v>79278.832935560858</v>
      </c>
      <c r="P428" s="41"/>
      <c r="Q428" s="17">
        <f t="shared" ref="Q428" si="579">SUM(D422:D428)</f>
        <v>256137</v>
      </c>
      <c r="R428" s="16"/>
      <c r="S428" s="60">
        <f t="shared" ref="S428" si="580">+(Q428-Q421)/Q421</f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ref="Z428" si="581">SUM(W423:W428)</f>
        <v>3634</v>
      </c>
      <c r="AA428" s="33">
        <f t="shared" ref="AA428" si="582">+AA427+W428</f>
        <v>586164</v>
      </c>
      <c r="AB428" s="33"/>
      <c r="AC428" s="46">
        <f t="shared" ref="AC428" si="583">+AA428/H428</f>
        <v>1.7646064849929546E-2</v>
      </c>
      <c r="AD428" s="33"/>
      <c r="AE428" s="33">
        <f t="shared" ref="AE428" si="584">+AA428/BW428</f>
        <v>1398.9594272076372</v>
      </c>
      <c r="AF428" s="50"/>
      <c r="AG428" s="33">
        <f t="shared" ref="AG428" si="585">SUM(W422:W428)</f>
        <v>4494</v>
      </c>
      <c r="AH428" s="33">
        <f t="shared" ref="AH428" si="586">SUM(D399:D756)</f>
        <v>1116115916.060914</v>
      </c>
      <c r="AI428" s="213">
        <f t="shared" ref="AI428" si="587">+(AG428-AG421)/AG421</f>
        <v>-4.0358744394618833E-2</v>
      </c>
      <c r="AJ428" s="50"/>
      <c r="AK428" s="111"/>
      <c r="AL428" s="23">
        <f t="shared" ref="AL428" si="588">+AP428-AP427</f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ref="AR428" si="589">+AL428/AP427</f>
        <v>2.3379274556070157E-3</v>
      </c>
      <c r="AS428" s="25"/>
      <c r="AT428" s="25"/>
      <c r="AU428" s="24"/>
      <c r="AV428" s="298">
        <f t="shared" ref="AV428" si="590">+AP428/H428</f>
        <v>0.80138372068904795</v>
      </c>
      <c r="AW428" s="298"/>
      <c r="AX428" s="24">
        <f t="shared" ref="AX428" si="591">+AP428/BW428</f>
        <v>63532.766109785203</v>
      </c>
      <c r="AY428" s="308"/>
      <c r="AZ428" s="111"/>
      <c r="BA428" s="65">
        <f t="shared" ref="BA428" si="592">+BC428-BC427</f>
        <v>1076057</v>
      </c>
      <c r="BB428" s="66"/>
      <c r="BC428" s="66">
        <v>461476543</v>
      </c>
      <c r="BD428" s="66"/>
      <c r="BE428" s="66">
        <f t="shared" ref="BE428" si="593">+D428</f>
        <v>35816</v>
      </c>
      <c r="BF428" s="66"/>
      <c r="BG428" s="144">
        <f t="shared" ref="BG428" si="594">+BE428/BA428</f>
        <v>3.3284482141745279E-2</v>
      </c>
      <c r="BH428" s="66"/>
      <c r="BI428" s="170"/>
      <c r="BJ428" s="66"/>
      <c r="BK428" s="66">
        <f t="shared" ref="BK428" si="595">SUM(BA422:BA428)</f>
        <v>8395488</v>
      </c>
      <c r="BL428" s="66"/>
      <c r="BM428" s="144">
        <f t="shared" ref="BM428" si="596">+Q428/BK428</f>
        <v>3.0508887631070403E-2</v>
      </c>
      <c r="BN428" s="65">
        <f t="shared" ref="BN428" si="597">+BC428/BW428</f>
        <v>1101375.9976133651</v>
      </c>
      <c r="BO428" s="66"/>
      <c r="BP428" s="66">
        <f t="shared" ref="BP428" si="598">+BP427+BE428</f>
        <v>32310853</v>
      </c>
      <c r="BQ428" s="66"/>
      <c r="BR428" s="435">
        <f t="shared" ref="BR428" si="599">+BP428/BC428</f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ref="H429" si="600">+H428+D429</f>
        <v>33257656</v>
      </c>
      <c r="I429" s="16"/>
      <c r="J429" s="436">
        <f t="shared" ref="J429" si="601">+D429/H428</f>
        <v>1.198904287278721E-3</v>
      </c>
      <c r="K429" s="16"/>
      <c r="L429" s="16"/>
      <c r="M429" s="16"/>
      <c r="N429" s="16">
        <f t="shared" ref="N429" si="602">SUM(D423:D429)</f>
        <v>248143</v>
      </c>
      <c r="O429" s="16">
        <f t="shared" ref="O429" si="603">+H429/BW429</f>
        <v>79184.89523809524</v>
      </c>
      <c r="P429" s="41"/>
      <c r="Q429" s="17">
        <f t="shared" ref="Q429" si="604">SUM(D423:D429)</f>
        <v>248143</v>
      </c>
      <c r="R429" s="16"/>
      <c r="S429" s="60">
        <f t="shared" ref="S429" si="605">+(Q429-Q422)/Q422</f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ref="Z429" si="606">SUM(W424:W429)</f>
        <v>3622</v>
      </c>
      <c r="AA429" s="33">
        <f t="shared" ref="AA429" si="607">+AA428+W429</f>
        <v>586926</v>
      </c>
      <c r="AB429" s="33"/>
      <c r="AC429" s="46">
        <f t="shared" ref="AC429" si="608">+AA429/H429</f>
        <v>1.7647846258317182E-2</v>
      </c>
      <c r="AD429" s="33"/>
      <c r="AE429" s="33">
        <f t="shared" ref="AE429" si="609">+AA429/BW429</f>
        <v>1397.4428571428571</v>
      </c>
      <c r="AF429" s="50"/>
      <c r="AG429" s="33">
        <f t="shared" ref="AG429" si="610">SUM(W423:W429)</f>
        <v>4396</v>
      </c>
      <c r="AH429" s="33">
        <f t="shared" ref="AH429" si="611">SUM(D400:D757)</f>
        <v>1116038196.060914</v>
      </c>
      <c r="AI429" s="213">
        <f t="shared" ref="AI429" si="612">+(AG429-AG422)/AG422</f>
        <v>-5.9276695912689921E-2</v>
      </c>
      <c r="AJ429" s="50"/>
      <c r="AK429" s="111"/>
      <c r="AL429" s="23">
        <f t="shared" ref="AL429" si="613">+AP429-AP428</f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ref="AR429" si="614">+AL429/AP428</f>
        <v>1.7644476311604984E-3</v>
      </c>
      <c r="AS429" s="25"/>
      <c r="AT429" s="25"/>
      <c r="AU429" s="24"/>
      <c r="AV429" s="298">
        <f t="shared" ref="AV429" si="615">+AP429/H429</f>
        <v>0.80183639520476124</v>
      </c>
      <c r="AW429" s="298"/>
      <c r="AX429" s="24">
        <f t="shared" ref="AX429" si="616">+AP429/BW429</f>
        <v>63493.330952380951</v>
      </c>
      <c r="AY429" s="308"/>
      <c r="AZ429" s="111"/>
      <c r="BA429" s="65">
        <f t="shared" ref="BA429" si="617">+BC429-BC428</f>
        <v>1318757</v>
      </c>
      <c r="BB429" s="66"/>
      <c r="BC429" s="66">
        <v>462795300</v>
      </c>
      <c r="BD429" s="66"/>
      <c r="BE429" s="66">
        <f t="shared" ref="BE429" si="618">+D429</f>
        <v>39825</v>
      </c>
      <c r="BF429" s="66"/>
      <c r="BG429" s="144">
        <f t="shared" ref="BG429" si="619">+BE429/BA429</f>
        <v>3.0198891835266087E-2</v>
      </c>
      <c r="BH429" s="66"/>
      <c r="BI429" s="170"/>
      <c r="BJ429" s="66"/>
      <c r="BK429" s="66">
        <f t="shared" ref="BK429" si="620">SUM(BA423:BA429)</f>
        <v>8342098</v>
      </c>
      <c r="BL429" s="66"/>
      <c r="BM429" s="144">
        <f t="shared" ref="BM429" si="621">+Q429/BK429</f>
        <v>2.9745874479057906E-2</v>
      </c>
      <c r="BN429" s="65">
        <f t="shared" ref="BN429" si="622">+BC429/BW429</f>
        <v>1101893.5714285714</v>
      </c>
      <c r="BO429" s="66"/>
      <c r="BP429" s="66">
        <f t="shared" ref="BP429" si="623">+BP428+BE429</f>
        <v>32350678</v>
      </c>
      <c r="BQ429" s="66"/>
      <c r="BR429" s="435">
        <f t="shared" ref="BR429" si="624">+BP429/BC429</f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ref="H430" si="625">+H429+D430</f>
        <v>33296751</v>
      </c>
      <c r="I430" s="16"/>
      <c r="J430" s="436">
        <f t="shared" ref="J430" si="626">+D430/H429</f>
        <v>1.1755188038507585E-3</v>
      </c>
      <c r="K430" s="16"/>
      <c r="L430" s="16"/>
      <c r="M430" s="16"/>
      <c r="N430" s="16">
        <f t="shared" ref="N430" si="627">SUM(D424:D430)</f>
        <v>237747</v>
      </c>
      <c r="O430" s="16">
        <f t="shared" ref="O430" si="628">+H430/BW430</f>
        <v>79089.669833729218</v>
      </c>
      <c r="P430" s="41"/>
      <c r="Q430" s="17">
        <f t="shared" ref="Q430" si="629">SUM(D424:D430)</f>
        <v>237747</v>
      </c>
      <c r="R430" s="16"/>
      <c r="S430" s="60">
        <f t="shared" ref="S430" si="630">+(Q430-Q423)/Q423</f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ref="Z430" si="631">SUM(W425:W430)</f>
        <v>3707</v>
      </c>
      <c r="AA430" s="33">
        <f t="shared" ref="AA430" si="632">+AA429+W430</f>
        <v>587659</v>
      </c>
      <c r="AB430" s="33"/>
      <c r="AC430" s="46">
        <f t="shared" ref="AC430" si="633">+AA430/H430</f>
        <v>1.7649139401018435E-2</v>
      </c>
      <c r="AD430" s="33"/>
      <c r="AE430" s="33">
        <f t="shared" ref="AE430" si="634">+AA430/BW430</f>
        <v>1395.8646080760095</v>
      </c>
      <c r="AF430" s="50"/>
      <c r="AG430" s="33">
        <f t="shared" ref="AG430" si="635">SUM(W424:W430)</f>
        <v>4355</v>
      </c>
      <c r="AH430" s="33">
        <f t="shared" ref="AH430" si="636">SUM(D401:D758)</f>
        <v>1115959757.060914</v>
      </c>
      <c r="AI430" s="213">
        <f t="shared" ref="AI430" si="637">+(AG430-AG423)/AG423</f>
        <v>-6.6051897919794128E-2</v>
      </c>
      <c r="AJ430" s="50"/>
      <c r="AK430" s="111"/>
      <c r="AL430" s="23">
        <f t="shared" ref="AL430" si="638">+AP430-AP429</f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ref="AR430" si="639">+AL430/AP429</f>
        <v>1.71079084833769E-3</v>
      </c>
      <c r="AS430" s="25"/>
      <c r="AT430" s="25"/>
      <c r="AU430" s="24"/>
      <c r="AV430" s="298">
        <f t="shared" ref="AV430" si="640">+AP430/H430</f>
        <v>0.80226509187037498</v>
      </c>
      <c r="AW430" s="298"/>
      <c r="AX430" s="24">
        <f t="shared" ref="AX430" si="641">+AP430/BW430</f>
        <v>63450.881235154397</v>
      </c>
      <c r="AY430" s="308"/>
      <c r="AZ430" s="111"/>
      <c r="BA430" s="65">
        <f t="shared" ref="BA430" si="642">+BC430-BC429</f>
        <v>1304242</v>
      </c>
      <c r="BB430" s="66"/>
      <c r="BC430" s="66">
        <v>464099542</v>
      </c>
      <c r="BD430" s="66"/>
      <c r="BE430" s="66">
        <f t="shared" ref="BE430" si="643">+D430</f>
        <v>39095</v>
      </c>
      <c r="BF430" s="66"/>
      <c r="BG430" s="144">
        <f t="shared" ref="BG430" si="644">+BE430/BA430</f>
        <v>2.9975265326526824E-2</v>
      </c>
      <c r="BH430" s="66"/>
      <c r="BI430" s="170"/>
      <c r="BJ430" s="66"/>
      <c r="BK430" s="66">
        <f t="shared" ref="BK430" si="645">SUM(BA424:BA430)</f>
        <v>8109711</v>
      </c>
      <c r="BL430" s="66"/>
      <c r="BM430" s="144">
        <f t="shared" ref="BM430" si="646">+Q430/BK430</f>
        <v>2.9316334453841821E-2</v>
      </c>
      <c r="BN430" s="65">
        <f t="shared" ref="BN430" si="647">+BC430/BW430</f>
        <v>1102374.2090261283</v>
      </c>
      <c r="BO430" s="66"/>
      <c r="BP430" s="66">
        <f t="shared" ref="BP430" si="648">+BP429+BE430</f>
        <v>32389773</v>
      </c>
      <c r="BQ430" s="66"/>
      <c r="BR430" s="435">
        <f t="shared" ref="BR430" si="649">+BP430/BC430</f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ref="H431" si="650">+H430+D431</f>
        <v>33322393</v>
      </c>
      <c r="I431" s="16"/>
      <c r="J431" s="436">
        <f t="shared" ref="J431" si="651">+D431/H430</f>
        <v>7.7010516731797641E-4</v>
      </c>
      <c r="K431" s="16"/>
      <c r="L431" s="16"/>
      <c r="M431" s="16"/>
      <c r="N431" s="16">
        <f t="shared" ref="N431" si="652">SUM(D425:D431)</f>
        <v>227634</v>
      </c>
      <c r="O431" s="16">
        <f t="shared" ref="O431" si="653">+H431/BW431</f>
        <v>78963.016587677732</v>
      </c>
      <c r="P431" s="41"/>
      <c r="Q431" s="17">
        <f t="shared" ref="Q431" si="654">SUM(D425:D431)</f>
        <v>227634</v>
      </c>
      <c r="R431" s="16"/>
      <c r="S431" s="60">
        <f t="shared" ref="S431" si="655">+(Q431-Q424)/Q424</f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ref="Z431" si="656">SUM(W426:W431)</f>
        <v>3965</v>
      </c>
      <c r="AA431" s="33">
        <f t="shared" ref="AA431" si="657">+AA430+W431</f>
        <v>588158</v>
      </c>
      <c r="AB431" s="33"/>
      <c r="AC431" s="46">
        <f t="shared" ref="AC431" si="658">+AA431/H431</f>
        <v>1.7650533081462666E-2</v>
      </c>
      <c r="AD431" s="33"/>
      <c r="AE431" s="33">
        <f t="shared" ref="AE431" si="659">+AA431/BW431</f>
        <v>1393.739336492891</v>
      </c>
      <c r="AF431" s="50"/>
      <c r="AG431" s="33">
        <f t="shared" ref="AG431" si="660">SUM(W425:W431)</f>
        <v>4206</v>
      </c>
      <c r="AH431" s="33">
        <f t="shared" ref="AH431" si="661">SUM(D402:D759)</f>
        <v>1115885278.060914</v>
      </c>
      <c r="AI431" s="213">
        <f t="shared" ref="AI431" si="662">+(AG431-AG424)/AG424</f>
        <v>-9.5483870967741941E-2</v>
      </c>
      <c r="AJ431" s="50"/>
      <c r="AK431" s="111"/>
      <c r="AL431" s="23">
        <f t="shared" ref="AL431" si="663">+AP431-AP430</f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ref="AR431" si="664">+AL431/AP430</f>
        <v>1.4442465660964823E-2</v>
      </c>
      <c r="AS431" s="25"/>
      <c r="AT431" s="25"/>
      <c r="AU431" s="24"/>
      <c r="AV431" s="298">
        <f t="shared" ref="AV431" si="665">+AP431/H431</f>
        <v>0.81322550874422495</v>
      </c>
      <c r="AW431" s="298"/>
      <c r="AX431" s="24">
        <f t="shared" ref="AX431" si="666">+AP431/BW431</f>
        <v>64214.739336492894</v>
      </c>
      <c r="AY431" s="308"/>
      <c r="AZ431" s="111"/>
      <c r="BA431" s="65">
        <f t="shared" ref="BA431" si="667">+BC431-BC430</f>
        <v>1125402</v>
      </c>
      <c r="BB431" s="66"/>
      <c r="BC431" s="66">
        <v>465224944</v>
      </c>
      <c r="BD431" s="66"/>
      <c r="BE431" s="66">
        <f t="shared" ref="BE431" si="668">+D431</f>
        <v>25642</v>
      </c>
      <c r="BF431" s="66"/>
      <c r="BG431" s="144">
        <f t="shared" ref="BG431" si="669">+BE431/BA431</f>
        <v>2.2784747139244464E-2</v>
      </c>
      <c r="BH431" s="66"/>
      <c r="BI431" s="170"/>
      <c r="BJ431" s="66"/>
      <c r="BK431" s="66">
        <f t="shared" ref="BK431" si="670">SUM(BA425:BA431)</f>
        <v>7930271</v>
      </c>
      <c r="BL431" s="66"/>
      <c r="BM431" s="144">
        <f t="shared" ref="BM431" si="671">+Q431/BK431</f>
        <v>2.8704441500170676E-2</v>
      </c>
      <c r="BN431" s="65">
        <f t="shared" ref="BN431" si="672">+BC431/BW431</f>
        <v>1102428.7772511849</v>
      </c>
      <c r="BO431" s="66"/>
      <c r="BP431" s="66">
        <f t="shared" ref="BP431" si="673">+BP430+BE431</f>
        <v>32415415</v>
      </c>
      <c r="BQ431" s="66"/>
      <c r="BR431" s="435">
        <f t="shared" ref="BR431" si="674">+BP431/BC431</f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ref="H432" si="675">+H431+D432</f>
        <v>33340227</v>
      </c>
      <c r="I432" s="16"/>
      <c r="J432" s="436">
        <f t="shared" ref="J432" si="676">+D432/H431</f>
        <v>5.3519565656644165E-4</v>
      </c>
      <c r="K432" s="16"/>
      <c r="L432" s="16"/>
      <c r="M432" s="16"/>
      <c r="N432" s="577">
        <f t="shared" ref="N432" si="677">SUM(D426:D432)</f>
        <v>223268</v>
      </c>
      <c r="O432" s="16">
        <f t="shared" ref="O432" si="678">+H432/BW432</f>
        <v>78818.503546099295</v>
      </c>
      <c r="P432" s="41"/>
      <c r="Q432" s="17">
        <f t="shared" ref="Q432" si="679">SUM(D426:D432)</f>
        <v>223268</v>
      </c>
      <c r="R432" s="16"/>
      <c r="S432" s="60">
        <f t="shared" ref="S432" si="680">+(Q432-Q425)/Q425</f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ref="Z432" si="681">SUM(W427:W432)</f>
        <v>3867</v>
      </c>
      <c r="AA432" s="33">
        <f t="shared" ref="AA432" si="682">+AA431+W432</f>
        <v>588447</v>
      </c>
      <c r="AB432" s="33"/>
      <c r="AC432" s="46">
        <f t="shared" ref="AC432" si="683">+AA432/H432</f>
        <v>1.7649759853164766E-2</v>
      </c>
      <c r="AD432" s="33"/>
      <c r="AE432" s="33">
        <f t="shared" ref="AE432" si="684">+AA432/BW432</f>
        <v>1391.127659574468</v>
      </c>
      <c r="AF432" s="50"/>
      <c r="AG432" s="33">
        <f t="shared" ref="AG432" si="685">SUM(W426:W432)</f>
        <v>4254</v>
      </c>
      <c r="AH432" s="33">
        <f t="shared" ref="AH432" si="686">SUM(D403:D760)</f>
        <v>1115803505.060914</v>
      </c>
      <c r="AI432" s="213">
        <f t="shared" ref="AI432" si="687">+(AG432-AG425)/AG425</f>
        <v>-7.0976195675911777E-2</v>
      </c>
      <c r="AJ432" s="50"/>
      <c r="AK432" s="111"/>
      <c r="AL432" s="23">
        <f t="shared" ref="AL432" si="688">+AP432-AP431</f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ref="AR432" si="689">+AL432/AP431</f>
        <v>1.3801440811377112E-3</v>
      </c>
      <c r="AS432" s="25"/>
      <c r="AT432" s="25"/>
      <c r="AU432" s="24"/>
      <c r="AV432" s="298">
        <f t="shared" ref="AV432" si="690">+AP432/H432</f>
        <v>0.8139122748024481</v>
      </c>
      <c r="AW432" s="298"/>
      <c r="AX432" s="24">
        <f t="shared" ref="AX432" si="691">+AP432/BW432</f>
        <v>64151.347517730494</v>
      </c>
      <c r="AY432" s="308"/>
      <c r="AZ432" s="111"/>
      <c r="BA432" s="65">
        <f t="shared" ref="BA432" si="692">+BC432-BC431</f>
        <v>831508</v>
      </c>
      <c r="BB432" s="66"/>
      <c r="BC432" s="66">
        <v>466056452</v>
      </c>
      <c r="BD432" s="66"/>
      <c r="BE432" s="66">
        <f t="shared" ref="BE432" si="693">+D432</f>
        <v>17834</v>
      </c>
      <c r="BF432" s="66"/>
      <c r="BG432" s="144">
        <f t="shared" ref="BG432" si="694">+BE432/BA432</f>
        <v>2.1447779215593838E-2</v>
      </c>
      <c r="BH432" s="66"/>
      <c r="BI432" s="170"/>
      <c r="BJ432" s="66"/>
      <c r="BK432" s="66">
        <f t="shared" ref="BK432" si="695">SUM(BA426:BA432)</f>
        <v>7888149</v>
      </c>
      <c r="BL432" s="66"/>
      <c r="BM432" s="144">
        <f t="shared" ref="BM432" si="696">+Q432/BK432</f>
        <v>2.8304232082837177E-2</v>
      </c>
      <c r="BN432" s="65">
        <f t="shared" ref="BN432" si="697">+BC432/BW432</f>
        <v>1101788.3026004727</v>
      </c>
      <c r="BO432" s="66"/>
      <c r="BP432" s="66">
        <f t="shared" ref="BP432" si="698">+BP431+BE432</f>
        <v>32433249</v>
      </c>
      <c r="BQ432" s="66"/>
      <c r="BR432" s="435">
        <f t="shared" ref="BR432" si="699">+BP432/BC432</f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8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ref="H433" si="700">+H432+D433</f>
        <v>33365257</v>
      </c>
      <c r="I433" s="16"/>
      <c r="J433" s="436">
        <f t="shared" ref="J433" si="701">+D433/H432</f>
        <v>7.5074473848063485E-4</v>
      </c>
      <c r="K433" s="16"/>
      <c r="L433" s="16"/>
      <c r="M433" s="16"/>
      <c r="N433" s="16">
        <f t="shared" ref="N433" si="702">SUM(D427:D433)</f>
        <v>218146</v>
      </c>
      <c r="O433" s="16">
        <f t="shared" ref="O433" si="703">+H433/BW433</f>
        <v>78691.643867924533</v>
      </c>
      <c r="P433" s="41"/>
      <c r="Q433" s="17">
        <f t="shared" ref="Q433" si="704">SUM(D427:D433)</f>
        <v>218146</v>
      </c>
      <c r="R433" s="16"/>
      <c r="S433" s="60">
        <f t="shared" ref="S433" si="705">+(Q433-Q426)/Q426</f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ref="Z433" si="706">SUM(W428:W433)</f>
        <v>3493</v>
      </c>
      <c r="AA433" s="33">
        <f t="shared" ref="AA433" si="707">+AA432+W433</f>
        <v>588816</v>
      </c>
      <c r="AB433" s="33"/>
      <c r="AC433" s="46">
        <f t="shared" ref="AC433" si="708">+AA433/H433</f>
        <v>1.7647578737367435E-2</v>
      </c>
      <c r="AD433" s="33"/>
      <c r="AE433" s="33">
        <f t="shared" ref="AE433" si="709">+AA433/BW433</f>
        <v>1388.7169811320755</v>
      </c>
      <c r="AF433" s="50"/>
      <c r="AG433" s="33">
        <f t="shared" ref="AG433" si="710">SUM(W427:W433)</f>
        <v>4236</v>
      </c>
      <c r="AH433" s="33">
        <f t="shared" ref="AH433" si="711">SUM(D404:D761)</f>
        <v>1115739924.060914</v>
      </c>
      <c r="AI433" s="213">
        <f t="shared" ref="AI433" si="712">+(AG433-AG426)/AG426</f>
        <v>-5.9920106524633823E-2</v>
      </c>
      <c r="AJ433" s="50"/>
      <c r="AK433" s="111"/>
      <c r="AL433" s="23">
        <f t="shared" ref="AL433" si="713">+AP433-AP432</f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ref="AR433" si="714">+AL433/AP432</f>
        <v>2.4428416547452427E-3</v>
      </c>
      <c r="AS433" s="25"/>
      <c r="AT433" s="25"/>
      <c r="AU433" s="24"/>
      <c r="AV433" s="298">
        <f t="shared" ref="AV433" si="715">+AP433/H433</f>
        <v>0.81528846008888822</v>
      </c>
      <c r="AW433" s="298"/>
      <c r="AX433" s="24">
        <f t="shared" ref="AX433" si="716">+AP433/BW433</f>
        <v>64156.389150943396</v>
      </c>
      <c r="AY433" s="308"/>
      <c r="AZ433" s="111"/>
      <c r="BA433" s="65">
        <f t="shared" ref="BA433" si="717">+BC433-BC432</f>
        <v>1166344</v>
      </c>
      <c r="BB433" s="66"/>
      <c r="BC433" s="66">
        <v>467222796</v>
      </c>
      <c r="BD433" s="66"/>
      <c r="BE433" s="66">
        <f t="shared" ref="BE433" si="718">+D433</f>
        <v>25030</v>
      </c>
      <c r="BF433" s="66"/>
      <c r="BG433" s="144">
        <f t="shared" ref="BG433" si="719">+BE433/BA433</f>
        <v>2.1460220998264664E-2</v>
      </c>
      <c r="BH433" s="66"/>
      <c r="BI433" s="170"/>
      <c r="BJ433" s="66"/>
      <c r="BK433" s="66">
        <f t="shared" ref="BK433" si="720">SUM(BA427:BA433)</f>
        <v>7801862</v>
      </c>
      <c r="BL433" s="66"/>
      <c r="BM433" s="144">
        <f t="shared" ref="BM433" si="721">+Q433/BK433</f>
        <v>2.7960761161886741E-2</v>
      </c>
      <c r="BN433" s="65">
        <f t="shared" ref="BN433" si="722">+BC433/BW433</f>
        <v>1101940.5566037735</v>
      </c>
      <c r="BO433" s="66"/>
      <c r="BP433" s="66">
        <f t="shared" ref="BP433" si="723">+BP432+BE433</f>
        <v>32458279</v>
      </c>
      <c r="BQ433" s="66"/>
      <c r="BR433" s="435">
        <f t="shared" ref="BR433" si="724">+BP433/BC433</f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8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ref="H434" si="725">+H433+D434</f>
        <v>33392763</v>
      </c>
      <c r="I434" s="16"/>
      <c r="J434" s="436">
        <f t="shared" ref="J434" si="726">+D434/H433</f>
        <v>8.243904730001031E-4</v>
      </c>
      <c r="K434" s="16"/>
      <c r="L434" s="16"/>
      <c r="M434" s="16"/>
      <c r="N434" s="16">
        <f t="shared" ref="N434" si="727">SUM(D428:D434)</f>
        <v>210748</v>
      </c>
      <c r="O434" s="16">
        <f t="shared" ref="O434" si="728">+H434/BW434</f>
        <v>78571.207058823536</v>
      </c>
      <c r="P434" s="41"/>
      <c r="Q434" s="17">
        <f t="shared" ref="Q434" si="729">SUM(D428:D434)</f>
        <v>210748</v>
      </c>
      <c r="R434" s="16"/>
      <c r="S434" s="60">
        <f t="shared" ref="S434" si="730">+(Q434-Q427)/Q427</f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ref="Z434" si="731">SUM(W429:W434)</f>
        <v>3385</v>
      </c>
      <c r="AA434" s="33">
        <f t="shared" ref="AA434" si="732">+AA433+W434</f>
        <v>589549</v>
      </c>
      <c r="AB434" s="33"/>
      <c r="AC434" s="46">
        <f t="shared" ref="AC434" si="733">+AA434/H434</f>
        <v>1.765499308937089E-2</v>
      </c>
      <c r="AD434" s="33"/>
      <c r="AE434" s="33">
        <f t="shared" ref="AE434" si="734">+AA434/BW434</f>
        <v>1387.1741176470589</v>
      </c>
      <c r="AF434" s="50"/>
      <c r="AG434" s="33">
        <f t="shared" ref="AG434" si="735">SUM(W428:W434)</f>
        <v>4226</v>
      </c>
      <c r="AH434" s="33">
        <f t="shared" ref="AH434" si="736">SUM(D405:D762)</f>
        <v>1115696743.060914</v>
      </c>
      <c r="AI434" s="213">
        <f t="shared" ref="AI434" si="737">+(AG434-AG427)/AG427</f>
        <v>-3.8671519563239311E-2</v>
      </c>
      <c r="AJ434" s="50"/>
      <c r="AK434" s="111"/>
      <c r="AL434" s="23">
        <f t="shared" ref="AL434" si="738">+AP434-AP433</f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ref="AR434" si="739">+AL434/AP433</f>
        <v>1.8755025538457048E-3</v>
      </c>
      <c r="AS434" s="25"/>
      <c r="AT434" s="25"/>
      <c r="AU434" s="24"/>
      <c r="AV434" s="298">
        <f t="shared" ref="AV434" si="740">+AP434/H434</f>
        <v>0.81614471375129993</v>
      </c>
      <c r="AW434" s="298"/>
      <c r="AX434" s="24">
        <f t="shared" ref="AX434" si="741">+AP434/BW434</f>
        <v>64125.475294117648</v>
      </c>
      <c r="AY434" s="308"/>
      <c r="AZ434" s="111"/>
      <c r="BA434" s="65">
        <f t="shared" ref="BA434" si="742">+BC434-BC433</f>
        <v>845306</v>
      </c>
      <c r="BB434" s="66"/>
      <c r="BC434" s="66">
        <v>468068102</v>
      </c>
      <c r="BD434" s="66"/>
      <c r="BE434" s="66">
        <f t="shared" ref="BE434" si="743">+D434</f>
        <v>27506</v>
      </c>
      <c r="BF434" s="66"/>
      <c r="BG434" s="144">
        <f t="shared" ref="BG434" si="744">+BE434/BA434</f>
        <v>3.2539695684166446E-2</v>
      </c>
      <c r="BH434" s="66"/>
      <c r="BI434" s="170"/>
      <c r="BJ434" s="66"/>
      <c r="BK434" s="66">
        <f t="shared" ref="BK434" si="745">SUM(BA428:BA434)</f>
        <v>7667616</v>
      </c>
      <c r="BL434" s="66"/>
      <c r="BM434" s="144">
        <f t="shared" ref="BM434" si="746">+Q434/BK434</f>
        <v>2.7485466147496172E-2</v>
      </c>
      <c r="BN434" s="65">
        <f t="shared" ref="BN434" si="747">+BC434/BW434</f>
        <v>1101336.7105882354</v>
      </c>
      <c r="BO434" s="66"/>
      <c r="BP434" s="66">
        <f t="shared" ref="BP434" si="748">+BP433+BE434</f>
        <v>32485785</v>
      </c>
      <c r="BQ434" s="66"/>
      <c r="BR434" s="435">
        <f t="shared" ref="BR434" si="749">+BP434/BC434</f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8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ref="H435" si="750">+H434+D435</f>
        <v>33421304</v>
      </c>
      <c r="I435" s="16"/>
      <c r="J435" s="436">
        <f t="shared" ref="J435" si="751">+D435/H434</f>
        <v>8.5470615294697236E-4</v>
      </c>
      <c r="K435" s="16"/>
      <c r="L435" s="16"/>
      <c r="M435" s="16"/>
      <c r="N435" s="16">
        <f t="shared" ref="N435" si="752">SUM(D429:D435)</f>
        <v>203473</v>
      </c>
      <c r="O435" s="16">
        <f t="shared" ref="O435" si="753">+H435/BW435</f>
        <v>78453.765258215964</v>
      </c>
      <c r="P435" s="41"/>
      <c r="Q435" s="17">
        <f t="shared" ref="Q435" si="754">SUM(D429:D435)</f>
        <v>203473</v>
      </c>
      <c r="R435" s="16"/>
      <c r="S435" s="60">
        <f t="shared" ref="S435" si="755">+(Q435-Q428)/Q428</f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ref="Z435" si="756">SUM(W430:W435)</f>
        <v>3259</v>
      </c>
      <c r="AA435" s="33">
        <f t="shared" ref="AA435" si="757">+AA434+W435</f>
        <v>590185</v>
      </c>
      <c r="AB435" s="33"/>
      <c r="AC435" s="46">
        <f t="shared" ref="AC435" si="758">+AA435/H435</f>
        <v>1.765894592263665E-2</v>
      </c>
      <c r="AD435" s="33"/>
      <c r="AE435" s="33">
        <f t="shared" ref="AE435" si="759">+AA435/BW435</f>
        <v>1385.4107981220657</v>
      </c>
      <c r="AF435" s="50"/>
      <c r="AG435" s="33">
        <f t="shared" ref="AG435" si="760">SUM(W429:W435)</f>
        <v>4021</v>
      </c>
      <c r="AH435" s="33">
        <f t="shared" ref="AH435" si="761">SUM(D406:D763)</f>
        <v>1115645093.060914</v>
      </c>
      <c r="AI435" s="213">
        <f t="shared" ref="AI435" si="762">+(AG435-AG428)/AG428</f>
        <v>-0.1052514463729417</v>
      </c>
      <c r="AJ435" s="50"/>
      <c r="AK435" s="111"/>
      <c r="AL435" s="23">
        <f t="shared" ref="AL435" si="763">+AP435-AP434</f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ref="AR435" si="764">+AL435/AP434</f>
        <v>1.682473482962282E-3</v>
      </c>
      <c r="AS435" s="25"/>
      <c r="AT435" s="25"/>
      <c r="AU435" s="24"/>
      <c r="AV435" s="298">
        <f t="shared" ref="AV435" si="765">+AP435/H435</f>
        <v>0.81681971475439741</v>
      </c>
      <c r="AW435" s="298"/>
      <c r="AX435" s="24">
        <f t="shared" ref="AX435" si="766">+AP435/BW435</f>
        <v>64082.582159624413</v>
      </c>
      <c r="AY435" s="308"/>
      <c r="AZ435" s="111"/>
      <c r="BA435" s="65">
        <f t="shared" ref="BA435" si="767">+BC435-BC434</f>
        <v>877500</v>
      </c>
      <c r="BB435" s="66"/>
      <c r="BC435" s="66">
        <v>468945602</v>
      </c>
      <c r="BD435" s="66"/>
      <c r="BE435" s="66">
        <f t="shared" ref="BE435" si="768">+D435</f>
        <v>28541</v>
      </c>
      <c r="BF435" s="66"/>
      <c r="BG435" s="144">
        <f t="shared" ref="BG435" si="769">+BE435/BA435</f>
        <v>3.2525356125356127E-2</v>
      </c>
      <c r="BH435" s="66"/>
      <c r="BI435" s="170"/>
      <c r="BJ435" s="66"/>
      <c r="BK435" s="66">
        <f t="shared" ref="BK435" si="770">SUM(BA429:BA435)</f>
        <v>7469059</v>
      </c>
      <c r="BL435" s="66"/>
      <c r="BM435" s="144">
        <f t="shared" ref="BM435" si="771">+Q435/BK435</f>
        <v>2.7242119790458208E-2</v>
      </c>
      <c r="BN435" s="65">
        <f t="shared" ref="BN435" si="772">+BC435/BW435</f>
        <v>1100811.2723004695</v>
      </c>
      <c r="BO435" s="66"/>
      <c r="BP435" s="66">
        <f t="shared" ref="BP435" si="773">+BP434+BE435</f>
        <v>32514326</v>
      </c>
      <c r="BQ435" s="66"/>
      <c r="BR435" s="435">
        <f t="shared" ref="BR435" si="774">+BP435/BC435</f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8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ref="H436" si="775">+H435+D436</f>
        <v>33451518</v>
      </c>
      <c r="I436" s="16"/>
      <c r="J436" s="436">
        <f t="shared" ref="J436" si="776">+D436/H435</f>
        <v>9.0403414540617566E-4</v>
      </c>
      <c r="K436" s="16"/>
      <c r="L436" s="16"/>
      <c r="M436" s="16"/>
      <c r="N436" s="16">
        <f t="shared" ref="N436" si="777">SUM(D430:D436)</f>
        <v>193862</v>
      </c>
      <c r="O436" s="16">
        <f t="shared" ref="O436" si="778">+H436/BW436</f>
        <v>78340.79156908665</v>
      </c>
      <c r="P436" s="41"/>
      <c r="Q436" s="17">
        <f t="shared" ref="Q436" si="779">SUM(D430:D436)</f>
        <v>193862</v>
      </c>
      <c r="R436" s="16"/>
      <c r="S436" s="60">
        <f t="shared" ref="S436" si="780">+(Q436-Q429)/Q429</f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ref="Z436" si="781">SUM(W431:W436)</f>
        <v>3185</v>
      </c>
      <c r="AA436" s="33">
        <f t="shared" ref="AA436" si="782">+AA435+W436</f>
        <v>590844</v>
      </c>
      <c r="AB436" s="33"/>
      <c r="AC436" s="46">
        <f t="shared" ref="AC436" si="783">+AA436/H436</f>
        <v>1.7662696204100513E-2</v>
      </c>
      <c r="AD436" s="33"/>
      <c r="AE436" s="33">
        <f t="shared" ref="AE436" si="784">+AA436/BW436</f>
        <v>1383.7096018735363</v>
      </c>
      <c r="AF436" s="50"/>
      <c r="AG436" s="33">
        <f t="shared" ref="AG436" si="785">SUM(W430:W436)</f>
        <v>3918</v>
      </c>
      <c r="AH436" s="33">
        <f t="shared" ref="AH436" si="786">SUM(D407:D764)</f>
        <v>1115584776.060914</v>
      </c>
      <c r="AI436" s="213">
        <f t="shared" ref="AI436" si="787">+(AG436-AG429)/AG429</f>
        <v>-0.10873521383075523</v>
      </c>
      <c r="AJ436" s="50"/>
      <c r="AK436" s="111"/>
      <c r="AL436" s="23">
        <f t="shared" ref="AL436" si="788">+AP436-AP435</f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ref="AR436" si="789">+AL436/AP435</f>
        <v>2.1784903429333774E-3</v>
      </c>
      <c r="AS436" s="25"/>
      <c r="AT436" s="25"/>
      <c r="AU436" s="24"/>
      <c r="AV436" s="298">
        <f t="shared" ref="AV436" si="790">+AP436/H436</f>
        <v>0.81785977545174482</v>
      </c>
      <c r="AW436" s="298"/>
      <c r="AX436" s="24">
        <f t="shared" ref="AX436" si="791">+AP436/BW436</f>
        <v>64071.782201405149</v>
      </c>
      <c r="AY436" s="308"/>
      <c r="AZ436" s="111"/>
      <c r="BA436" s="65">
        <f t="shared" ref="BA436" si="792">+BC436-BC435</f>
        <v>1172702</v>
      </c>
      <c r="BB436" s="66"/>
      <c r="BC436" s="66">
        <v>470118304</v>
      </c>
      <c r="BD436" s="66"/>
      <c r="BE436" s="66">
        <f t="shared" ref="BE436" si="793">+D436</f>
        <v>30214</v>
      </c>
      <c r="BF436" s="66"/>
      <c r="BG436" s="144">
        <f t="shared" ref="BG436" si="794">+BE436/BA436</f>
        <v>2.5764431202470874E-2</v>
      </c>
      <c r="BH436" s="66"/>
      <c r="BI436" s="170"/>
      <c r="BJ436" s="66"/>
      <c r="BK436" s="66">
        <f t="shared" ref="BK436" si="795">SUM(BA430:BA436)</f>
        <v>7323004</v>
      </c>
      <c r="BL436" s="66"/>
      <c r="BM436" s="144">
        <f t="shared" ref="BM436" si="796">+Q436/BK436</f>
        <v>2.647301571868594E-2</v>
      </c>
      <c r="BN436" s="65">
        <f t="shared" ref="BN436" si="797">+BC436/BW436</f>
        <v>1100979.6346604216</v>
      </c>
      <c r="BO436" s="66"/>
      <c r="BP436" s="66">
        <f t="shared" ref="BP436" si="798">+BP435+BE436</f>
        <v>32544540</v>
      </c>
      <c r="BQ436" s="66"/>
      <c r="BR436" s="435">
        <f t="shared" ref="BR436" si="799">+BP436/BC436</f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8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ref="H437" si="800">+H436+D437</f>
        <v>33480532</v>
      </c>
      <c r="I437" s="16"/>
      <c r="J437" s="436">
        <f t="shared" ref="J437" si="801">+D437/H436</f>
        <v>8.6734479433788327E-4</v>
      </c>
      <c r="K437" s="16"/>
      <c r="L437" s="16"/>
      <c r="M437" s="16"/>
      <c r="N437" s="16">
        <f t="shared" ref="N437" si="802">SUM(D431:D437)</f>
        <v>183781</v>
      </c>
      <c r="O437" s="16">
        <f t="shared" ref="O437" si="803">+H437/BW437</f>
        <v>78225.542056074773</v>
      </c>
      <c r="P437" s="41"/>
      <c r="Q437" s="17">
        <f t="shared" ref="Q437" si="804">SUM(D431:D437)</f>
        <v>183781</v>
      </c>
      <c r="R437" s="16"/>
      <c r="S437" s="60">
        <f t="shared" ref="S437" si="805">+(Q437-Q430)/Q430</f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ref="Z437" si="806">SUM(W432:W437)</f>
        <v>3343</v>
      </c>
      <c r="AA437" s="33">
        <f t="shared" ref="AA437" si="807">+AA436+W437</f>
        <v>591501</v>
      </c>
      <c r="AB437" s="33"/>
      <c r="AC437" s="46">
        <f t="shared" ref="AC437" si="808">+AA437/H437</f>
        <v>1.7667013176493135E-2</v>
      </c>
      <c r="AD437" s="33"/>
      <c r="AE437" s="33">
        <f t="shared" ref="AE437" si="809">+AA437/BW437</f>
        <v>1382.0116822429907</v>
      </c>
      <c r="AF437" s="50"/>
      <c r="AG437" s="33">
        <f t="shared" ref="AG437" si="810">SUM(W431:W437)</f>
        <v>3842</v>
      </c>
      <c r="AH437" s="33">
        <f t="shared" ref="AH437" si="811">SUM(D408:D765)</f>
        <v>1115519719.060914</v>
      </c>
      <c r="AI437" s="213">
        <f t="shared" ref="AI437" si="812">+(AG437-AG430)/AG430</f>
        <v>-0.11779563719862228</v>
      </c>
      <c r="AJ437" s="50"/>
      <c r="AK437" s="111"/>
      <c r="AL437" s="23">
        <f t="shared" ref="AL437" si="813">+AP437-AP436</f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ref="AR437" si="814">+AL437/AP436</f>
        <v>1.4904974664138228E-3</v>
      </c>
      <c r="AS437" s="25"/>
      <c r="AT437" s="25"/>
      <c r="AU437" s="24"/>
      <c r="AV437" s="298">
        <f t="shared" ref="AV437" si="815">+AP437/H437</f>
        <v>0.81836898529569357</v>
      </c>
      <c r="AW437" s="298"/>
      <c r="AX437" s="24">
        <f t="shared" ref="AX437" si="816">+AP437/BW437</f>
        <v>64017.357476635516</v>
      </c>
      <c r="AY437" s="308"/>
      <c r="AZ437" s="111"/>
      <c r="BA437" s="65">
        <f t="shared" ref="BA437" si="817">+BC437-BC436</f>
        <v>1425608</v>
      </c>
      <c r="BB437" s="66"/>
      <c r="BC437" s="66">
        <v>471543912</v>
      </c>
      <c r="BD437" s="66"/>
      <c r="BE437" s="66">
        <f t="shared" ref="BE437" si="818">+D437</f>
        <v>29014</v>
      </c>
      <c r="BF437" s="66"/>
      <c r="BG437" s="144">
        <f t="shared" ref="BG437" si="819">+BE437/BA437</f>
        <v>2.0352018226609279E-2</v>
      </c>
      <c r="BH437" s="66"/>
      <c r="BI437" s="170"/>
      <c r="BJ437" s="66"/>
      <c r="BK437" s="66">
        <f t="shared" ref="BK437" si="820">SUM(BA431:BA437)</f>
        <v>7444370</v>
      </c>
      <c r="BL437" s="66"/>
      <c r="BM437" s="144">
        <f t="shared" ref="BM437" si="821">+Q437/BK437</f>
        <v>2.4687246872468725E-2</v>
      </c>
      <c r="BN437" s="65">
        <f t="shared" ref="BN437" si="822">+BC437/BW437</f>
        <v>1101738.1121495327</v>
      </c>
      <c r="BO437" s="66"/>
      <c r="BP437" s="66">
        <f t="shared" ref="BP437" si="823">+BP436+BE437</f>
        <v>32573554</v>
      </c>
      <c r="BQ437" s="66"/>
      <c r="BR437" s="435">
        <f t="shared" ref="BR437" si="824">+BP437/BC437</f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8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ref="H438" si="825">+H437+D438</f>
        <v>33500171</v>
      </c>
      <c r="I438" s="16"/>
      <c r="J438" s="436">
        <f t="shared" ref="J438" si="826">+D438/H437</f>
        <v>5.8657968756290965E-4</v>
      </c>
      <c r="K438" s="16"/>
      <c r="L438" s="16"/>
      <c r="M438" s="16"/>
      <c r="N438" s="16">
        <f t="shared" ref="N438" si="827">SUM(D432:D438)</f>
        <v>177778</v>
      </c>
      <c r="O438" s="16">
        <f t="shared" ref="O438" si="828">+H438/BW438</f>
        <v>78088.976689976684</v>
      </c>
      <c r="P438" s="41"/>
      <c r="Q438" s="17">
        <f t="shared" ref="Q438" si="829">SUM(D432:D438)</f>
        <v>177778</v>
      </c>
      <c r="R438" s="16"/>
      <c r="S438" s="60">
        <f t="shared" ref="S438" si="830">+(Q438-Q431)/Q431</f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ref="Z438" si="831">SUM(W433:W438)</f>
        <v>3522</v>
      </c>
      <c r="AA438" s="33">
        <f t="shared" ref="AA438" si="832">+AA437+W438</f>
        <v>591969</v>
      </c>
      <c r="AB438" s="33"/>
      <c r="AC438" s="46">
        <f t="shared" ref="AC438" si="833">+AA438/H438</f>
        <v>1.7670626218594526E-2</v>
      </c>
      <c r="AD438" s="33"/>
      <c r="AE438" s="33">
        <f t="shared" ref="AE438" si="834">+AA438/BW438</f>
        <v>1379.8811188811189</v>
      </c>
      <c r="AF438" s="50"/>
      <c r="AG438" s="33">
        <f t="shared" ref="AG438" si="835">SUM(W432:W438)</f>
        <v>3811</v>
      </c>
      <c r="AH438" s="33">
        <f t="shared" ref="AH438" si="836">SUM(D409:D766)</f>
        <v>1115452649.060914</v>
      </c>
      <c r="AI438" s="213">
        <f t="shared" ref="AI438" si="837">+(AG438-AG431)/AG431</f>
        <v>-9.3913456966238706E-2</v>
      </c>
      <c r="AJ438" s="50"/>
      <c r="AK438" s="111"/>
      <c r="AL438" s="23">
        <f t="shared" ref="AL438" si="838">+AP438-AP437</f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ref="AR438" si="839">+AL438/AP437</f>
        <v>2.6209670281814998E-3</v>
      </c>
      <c r="AS438" s="25"/>
      <c r="AT438" s="25"/>
      <c r="AU438" s="24"/>
      <c r="AV438" s="298">
        <f t="shared" ref="AV438" si="840">+AP438/H438</f>
        <v>0.82003288878734382</v>
      </c>
      <c r="AW438" s="298"/>
      <c r="AX438" s="24">
        <f t="shared" ref="AX438" si="841">+AP438/BW438</f>
        <v>64035.529137529134</v>
      </c>
      <c r="AY438" s="308"/>
      <c r="AZ438" s="111"/>
      <c r="BA438" s="65">
        <f t="shared" ref="BA438" si="842">+BC438-BC437</f>
        <v>994699</v>
      </c>
      <c r="BB438" s="66"/>
      <c r="BC438" s="66">
        <v>472538611</v>
      </c>
      <c r="BD438" s="66"/>
      <c r="BE438" s="66">
        <f t="shared" ref="BE438" si="843">+D438</f>
        <v>19639</v>
      </c>
      <c r="BF438" s="66"/>
      <c r="BG438" s="144">
        <f t="shared" ref="BG438" si="844">+BE438/BA438</f>
        <v>1.9743661147744191E-2</v>
      </c>
      <c r="BH438" s="66"/>
      <c r="BI438" s="170"/>
      <c r="BJ438" s="66"/>
      <c r="BK438" s="66">
        <f t="shared" ref="BK438" si="845">SUM(BA432:BA438)</f>
        <v>7313667</v>
      </c>
      <c r="BL438" s="66"/>
      <c r="BM438" s="144">
        <f t="shared" ref="BM438" si="846">+Q438/BK438</f>
        <v>2.4307642117148621E-2</v>
      </c>
      <c r="BN438" s="65">
        <f t="shared" ref="BN438" si="847">+BC438/BW438</f>
        <v>1101488.6037296038</v>
      </c>
      <c r="BO438" s="66"/>
      <c r="BP438" s="66">
        <f t="shared" ref="BP438" si="848">+BP437+BE438</f>
        <v>32593193</v>
      </c>
      <c r="BQ438" s="66"/>
      <c r="BR438" s="435">
        <f t="shared" ref="BR438" si="849">+BP438/BC438</f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85" x14ac:dyDescent="0.3">
      <c r="B439" s="158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ref="H439" si="850">+H438+D439</f>
        <v>33513712</v>
      </c>
      <c r="I439" s="16"/>
      <c r="J439" s="436">
        <f t="shared" ref="J439" si="851">+D439/H438</f>
        <v>4.0420689195884999E-4</v>
      </c>
      <c r="K439" s="16"/>
      <c r="L439" s="16"/>
      <c r="M439" s="16"/>
      <c r="N439" s="16">
        <f t="shared" ref="N439" si="852">SUM(D433:D439)</f>
        <v>173485</v>
      </c>
      <c r="O439" s="16">
        <f t="shared" ref="O439" si="853">+H439/BW439</f>
        <v>77938.865116279063</v>
      </c>
      <c r="P439" s="41"/>
      <c r="Q439" s="17">
        <f t="shared" ref="Q439" si="854">SUM(D433:D439)</f>
        <v>173485</v>
      </c>
      <c r="R439" s="16"/>
      <c r="S439" s="60">
        <f t="shared" ref="S439" si="855">+(Q439-Q432)/Q432</f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ref="Z439" si="856">SUM(W434:W439)</f>
        <v>3381</v>
      </c>
      <c r="AA439" s="33">
        <f t="shared" ref="AA439" si="857">+AA438+W439</f>
        <v>592197</v>
      </c>
      <c r="AB439" s="33"/>
      <c r="AC439" s="46">
        <f t="shared" ref="AC439" si="858">+AA439/H439</f>
        <v>1.7670289701122933E-2</v>
      </c>
      <c r="AD439" s="33"/>
      <c r="AE439" s="33">
        <f t="shared" ref="AE439" si="859">+AA439/BW439</f>
        <v>1377.2023255813954</v>
      </c>
      <c r="AF439" s="50"/>
      <c r="AG439" s="33">
        <f t="shared" ref="AG439" si="860">SUM(W433:W439)</f>
        <v>3750</v>
      </c>
      <c r="AH439" s="33">
        <f t="shared" ref="AH439" si="861">SUM(D410:D767)</f>
        <v>1115386134.060914</v>
      </c>
      <c r="AI439" s="213">
        <f t="shared" ref="AI439" si="862">+(AG439-AG432)/AG432</f>
        <v>-0.11847672778561354</v>
      </c>
      <c r="AJ439" s="50"/>
      <c r="AK439" s="111"/>
      <c r="AL439" s="23">
        <f t="shared" ref="AL439" si="863">+AP439-AP438</f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ref="AR439" si="864">+AL439/AP438</f>
        <v>1.128926023803365E-3</v>
      </c>
      <c r="AS439" s="25"/>
      <c r="AT439" s="25"/>
      <c r="AU439" s="24"/>
      <c r="AV439" s="298">
        <f t="shared" ref="AV439" si="865">+AP439/H439</f>
        <v>0.82062694219011012</v>
      </c>
      <c r="AW439" s="298"/>
      <c r="AX439" s="24">
        <f t="shared" ref="AX439" si="866">+AP439/BW439</f>
        <v>63958.732558139534</v>
      </c>
      <c r="AY439" s="308"/>
      <c r="AZ439" s="111"/>
      <c r="BA439" s="65">
        <f t="shared" ref="BA439" si="867">+BC439-BC438</f>
        <v>766245</v>
      </c>
      <c r="BB439" s="66"/>
      <c r="BC439" s="66">
        <v>473304856</v>
      </c>
      <c r="BD439" s="66"/>
      <c r="BE439" s="66">
        <f t="shared" ref="BE439" si="868">+D439</f>
        <v>13541</v>
      </c>
      <c r="BF439" s="66"/>
      <c r="BG439" s="144">
        <f t="shared" ref="BG439" si="869">+BE439/BA439</f>
        <v>1.7671893454443421E-2</v>
      </c>
      <c r="BH439" s="66"/>
      <c r="BI439" s="170"/>
      <c r="BJ439" s="66"/>
      <c r="BK439" s="66">
        <f t="shared" ref="BK439" si="870">SUM(BA433:BA439)</f>
        <v>7248404</v>
      </c>
      <c r="BL439" s="66"/>
      <c r="BM439" s="144">
        <f t="shared" ref="BM439" si="871">+Q439/BK439</f>
        <v>2.3934234350072098E-2</v>
      </c>
      <c r="BN439" s="65">
        <f t="shared" ref="BN439" si="872">+BC439/BW439</f>
        <v>1100708.9674418604</v>
      </c>
      <c r="BO439" s="66"/>
      <c r="BP439" s="66">
        <f t="shared" ref="BP439" si="873">+BP438+BE439</f>
        <v>32606734</v>
      </c>
      <c r="BQ439" s="66"/>
      <c r="BR439" s="435">
        <f t="shared" ref="BR439" si="874">+BP439/BC439</f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85" x14ac:dyDescent="0.3">
      <c r="B440" s="158">
        <f t="shared" si="161"/>
        <v>44340</v>
      </c>
      <c r="C440" s="61"/>
      <c r="D440" s="17"/>
      <c r="E440" s="16"/>
      <c r="F440" s="16"/>
      <c r="G440" s="16"/>
      <c r="H440" s="16"/>
      <c r="I440" s="16"/>
      <c r="J440" s="436"/>
      <c r="K440" s="16"/>
      <c r="L440" s="16"/>
      <c r="M440" s="16"/>
      <c r="N440" s="16"/>
      <c r="O440" s="16"/>
      <c r="P440" s="41"/>
      <c r="Q440" s="17"/>
      <c r="R440" s="16"/>
      <c r="S440" s="60"/>
      <c r="T440" s="16"/>
      <c r="U440" s="41"/>
      <c r="V440" s="10"/>
      <c r="W440" s="34"/>
      <c r="X440" s="33"/>
      <c r="Y440" s="33"/>
      <c r="Z440" s="33"/>
      <c r="AA440" s="33"/>
      <c r="AB440" s="33"/>
      <c r="AC440" s="46"/>
      <c r="AD440" s="33"/>
      <c r="AE440" s="33"/>
      <c r="AF440" s="50"/>
      <c r="AG440" s="33"/>
      <c r="AH440" s="33"/>
      <c r="AI440" s="213"/>
      <c r="AJ440" s="50"/>
      <c r="AK440" s="111"/>
      <c r="AL440" s="23"/>
      <c r="AM440" s="24"/>
      <c r="AN440" s="24"/>
      <c r="AO440" s="24"/>
      <c r="AP440" s="24"/>
      <c r="AQ440" s="24"/>
      <c r="AR440" s="461"/>
      <c r="AS440" s="25"/>
      <c r="AT440" s="25"/>
      <c r="AU440" s="24"/>
      <c r="AV440" s="298"/>
      <c r="AW440" s="298"/>
      <c r="AX440" s="24"/>
      <c r="AY440" s="308"/>
      <c r="AZ440" s="111"/>
      <c r="BA440" s="65"/>
      <c r="BB440" s="66"/>
      <c r="BC440" s="66"/>
      <c r="BD440" s="66"/>
      <c r="BE440" s="66"/>
      <c r="BF440" s="66"/>
      <c r="BG440" s="144"/>
      <c r="BH440" s="66"/>
      <c r="BI440" s="170"/>
      <c r="BJ440" s="66"/>
      <c r="BK440" s="66"/>
      <c r="BL440" s="66"/>
      <c r="BM440" s="144"/>
      <c r="BN440" s="65"/>
      <c r="BO440" s="66"/>
      <c r="BP440" s="66"/>
      <c r="BQ440" s="66"/>
      <c r="BR440" s="435"/>
      <c r="BS440" s="66"/>
      <c r="BT440" s="75"/>
      <c r="BU440" s="170"/>
      <c r="BV440" s="1"/>
      <c r="BW440" s="61"/>
    </row>
    <row r="441" spans="2:85" x14ac:dyDescent="0.3">
      <c r="B441" s="158">
        <f t="shared" si="161"/>
        <v>44341</v>
      </c>
      <c r="C441" s="61"/>
      <c r="D441" s="17"/>
      <c r="E441" s="16"/>
      <c r="F441" s="16"/>
      <c r="G441" s="16"/>
      <c r="H441" s="16"/>
      <c r="I441" s="16"/>
      <c r="J441" s="436"/>
      <c r="K441" s="16"/>
      <c r="L441" s="16"/>
      <c r="M441" s="16"/>
      <c r="N441" s="16"/>
      <c r="O441" s="16"/>
      <c r="P441" s="41"/>
      <c r="Q441" s="410"/>
      <c r="R441" s="16"/>
      <c r="S441" s="60"/>
      <c r="T441" s="16"/>
      <c r="U441" s="41"/>
      <c r="V441" s="10"/>
      <c r="W441" s="34"/>
      <c r="X441" s="33"/>
      <c r="Y441" s="33"/>
      <c r="Z441" s="33"/>
      <c r="AA441" s="33"/>
      <c r="AB441" s="33"/>
      <c r="AC441" s="46"/>
      <c r="AD441" s="33"/>
      <c r="AE441" s="33"/>
      <c r="AF441" s="50"/>
      <c r="AG441" s="33"/>
      <c r="AH441" s="33"/>
      <c r="AI441" s="213"/>
      <c r="AJ441" s="50"/>
      <c r="AK441" s="10"/>
      <c r="AL441" s="23"/>
      <c r="AM441" s="24"/>
      <c r="AN441" s="24"/>
      <c r="AO441" s="24"/>
      <c r="AP441" s="24"/>
      <c r="AQ441" s="24"/>
      <c r="AR441" s="461"/>
      <c r="AS441" s="25"/>
      <c r="AT441" s="25"/>
      <c r="AU441" s="24"/>
      <c r="AV441" s="298"/>
      <c r="AW441" s="298"/>
      <c r="AX441" s="24"/>
      <c r="AY441" s="308"/>
      <c r="AZ441" s="10"/>
      <c r="BA441" s="65"/>
      <c r="BB441" s="66"/>
      <c r="BC441" s="66"/>
      <c r="BD441" s="66"/>
      <c r="BE441" s="66"/>
      <c r="BF441" s="66"/>
      <c r="BG441" s="144"/>
      <c r="BH441" s="66"/>
      <c r="BI441" s="170"/>
      <c r="BJ441" s="66"/>
      <c r="BK441" s="66"/>
      <c r="BL441" s="66"/>
      <c r="BM441" s="144"/>
      <c r="BN441" s="65"/>
      <c r="BO441" s="66"/>
      <c r="BP441" s="66"/>
      <c r="BQ441" s="66"/>
      <c r="BR441" s="435"/>
      <c r="BS441" s="66"/>
      <c r="BT441" s="75"/>
      <c r="BU441" s="170"/>
      <c r="BV441" s="1"/>
      <c r="BW441" s="61">
        <f>+BW411+1</f>
        <v>403</v>
      </c>
    </row>
    <row r="442" spans="2:85" x14ac:dyDescent="0.3">
      <c r="B442" s="158">
        <f t="shared" si="161"/>
        <v>44342</v>
      </c>
      <c r="D442" s="559"/>
      <c r="E442" s="19"/>
      <c r="F442" s="19"/>
      <c r="G442" s="19"/>
      <c r="H442" s="19"/>
      <c r="I442" s="19"/>
      <c r="J442" s="39"/>
      <c r="K442" s="19"/>
      <c r="L442" s="19"/>
      <c r="M442" s="19"/>
      <c r="N442" s="19"/>
      <c r="O442" s="19"/>
      <c r="P442" s="43"/>
      <c r="Q442" s="18"/>
      <c r="R442" s="19"/>
      <c r="S442" s="19"/>
      <c r="T442" s="19"/>
      <c r="U442" s="43"/>
      <c r="V442" s="1"/>
      <c r="W442" s="35"/>
      <c r="X442" s="36"/>
      <c r="Y442" s="36"/>
      <c r="Z442" s="36"/>
      <c r="AA442" s="36"/>
      <c r="AB442" s="36"/>
      <c r="AC442" s="47"/>
      <c r="AD442" s="36"/>
      <c r="AE442" s="36"/>
      <c r="AF442" s="51"/>
      <c r="AG442" s="36"/>
      <c r="AH442" s="36"/>
      <c r="AI442" s="36"/>
      <c r="AJ442" s="51"/>
      <c r="AK442" s="1"/>
      <c r="AL442" s="26"/>
      <c r="AM442" s="27"/>
      <c r="AN442" s="27"/>
      <c r="AO442" s="27"/>
      <c r="AP442" s="27"/>
      <c r="AQ442" s="27"/>
      <c r="AR442" s="27"/>
      <c r="AS442" s="27"/>
      <c r="AT442" s="27"/>
      <c r="AU442" s="27"/>
      <c r="AV442" s="300"/>
      <c r="AW442" s="300"/>
      <c r="AX442" s="27"/>
      <c r="AY442" s="307"/>
      <c r="AZ442" s="1"/>
      <c r="BA442" s="67"/>
      <c r="BB442" s="68"/>
      <c r="BC442" s="68"/>
      <c r="BD442" s="68"/>
      <c r="BE442" s="68"/>
      <c r="BF442" s="68"/>
      <c r="BG442" s="68"/>
      <c r="BH442" s="68"/>
      <c r="BI442" s="171"/>
      <c r="BJ442" s="68"/>
      <c r="BK442" s="68"/>
      <c r="BL442" s="68"/>
      <c r="BM442" s="68"/>
      <c r="BN442" s="67"/>
      <c r="BO442" s="68"/>
      <c r="BP442" s="68"/>
      <c r="BQ442" s="68"/>
      <c r="BR442" s="70"/>
      <c r="BS442" s="68"/>
      <c r="BT442" s="68"/>
      <c r="BU442" s="171"/>
      <c r="BV442" s="1"/>
      <c r="BW442" s="61">
        <f t="shared" si="186"/>
        <v>404</v>
      </c>
    </row>
    <row r="443" spans="2:85" x14ac:dyDescent="0.3">
      <c r="B443" s="56"/>
      <c r="D443" s="1"/>
      <c r="E443" s="1"/>
      <c r="F443" s="1"/>
      <c r="G443" s="1"/>
      <c r="H443" s="59"/>
      <c r="I443" s="1"/>
      <c r="J443" s="5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59"/>
      <c r="X443" s="1"/>
      <c r="Y443" s="1"/>
      <c r="Z443" s="1"/>
      <c r="AA443" s="1"/>
      <c r="AB443" s="1"/>
      <c r="AC443" s="59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59"/>
      <c r="BD443" s="1"/>
      <c r="BE443" s="59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2:85" x14ac:dyDescent="0.3">
      <c r="B444" s="166" t="s">
        <v>74</v>
      </c>
      <c r="D444" s="56">
        <f>+D439</f>
        <v>13541</v>
      </c>
      <c r="E444" s="56">
        <f>+E238</f>
        <v>0</v>
      </c>
      <c r="F444" s="56">
        <f>+F238</f>
        <v>0</v>
      </c>
      <c r="G444" s="56">
        <f>+G238</f>
        <v>0</v>
      </c>
      <c r="H444" s="56">
        <f t="shared" ref="H444:BS444" si="875">+H439</f>
        <v>33513712</v>
      </c>
      <c r="I444" s="56">
        <f t="shared" si="875"/>
        <v>0</v>
      </c>
      <c r="J444" s="56">
        <f t="shared" si="875"/>
        <v>4.0420689195884999E-4</v>
      </c>
      <c r="K444" s="56">
        <f t="shared" si="875"/>
        <v>0</v>
      </c>
      <c r="L444" s="56">
        <f t="shared" si="875"/>
        <v>0</v>
      </c>
      <c r="M444" s="56">
        <f t="shared" si="875"/>
        <v>0</v>
      </c>
      <c r="N444" s="56">
        <f t="shared" si="875"/>
        <v>173485</v>
      </c>
      <c r="O444" s="56">
        <f t="shared" si="875"/>
        <v>77938.865116279063</v>
      </c>
      <c r="P444" s="56">
        <f t="shared" si="875"/>
        <v>0</v>
      </c>
      <c r="Q444" s="56">
        <f t="shared" si="875"/>
        <v>173485</v>
      </c>
      <c r="R444" s="56">
        <f t="shared" si="875"/>
        <v>0</v>
      </c>
      <c r="S444" s="56">
        <f t="shared" si="875"/>
        <v>-0.22297418349248438</v>
      </c>
      <c r="T444" s="56">
        <f t="shared" si="875"/>
        <v>0</v>
      </c>
      <c r="U444" s="56">
        <f t="shared" si="875"/>
        <v>0</v>
      </c>
      <c r="V444" s="56">
        <f t="shared" si="875"/>
        <v>331</v>
      </c>
      <c r="W444" s="56">
        <f t="shared" si="875"/>
        <v>228</v>
      </c>
      <c r="X444" s="56">
        <f t="shared" si="875"/>
        <v>4256</v>
      </c>
      <c r="Y444" s="56">
        <f t="shared" si="875"/>
        <v>0</v>
      </c>
      <c r="Z444" s="56">
        <f t="shared" si="875"/>
        <v>3381</v>
      </c>
      <c r="AA444" s="56">
        <f t="shared" si="875"/>
        <v>592197</v>
      </c>
      <c r="AB444" s="56">
        <f t="shared" si="875"/>
        <v>0</v>
      </c>
      <c r="AC444" s="56">
        <f t="shared" si="875"/>
        <v>1.7670289701122933E-2</v>
      </c>
      <c r="AD444" s="56">
        <f t="shared" si="875"/>
        <v>0</v>
      </c>
      <c r="AE444" s="56">
        <f t="shared" si="875"/>
        <v>1377.2023255813954</v>
      </c>
      <c r="AF444" s="56">
        <f t="shared" si="875"/>
        <v>0</v>
      </c>
      <c r="AG444" s="56">
        <f t="shared" si="875"/>
        <v>3750</v>
      </c>
      <c r="AH444" s="56">
        <f t="shared" si="875"/>
        <v>1115386134.060914</v>
      </c>
      <c r="AI444" s="56">
        <f t="shared" si="875"/>
        <v>-0.11847672778561354</v>
      </c>
      <c r="AJ444" s="56">
        <f t="shared" si="875"/>
        <v>0</v>
      </c>
      <c r="AK444" s="56">
        <f t="shared" si="875"/>
        <v>0</v>
      </c>
      <c r="AL444" s="56">
        <f t="shared" si="875"/>
        <v>31013</v>
      </c>
      <c r="AM444" s="56">
        <f t="shared" si="875"/>
        <v>0</v>
      </c>
      <c r="AN444" s="56">
        <f t="shared" si="875"/>
        <v>0</v>
      </c>
      <c r="AO444" s="56">
        <f t="shared" si="875"/>
        <v>178263</v>
      </c>
      <c r="AP444" s="56">
        <f t="shared" si="875"/>
        <v>27502255</v>
      </c>
      <c r="AQ444" s="56">
        <f t="shared" si="875"/>
        <v>20336656</v>
      </c>
      <c r="AR444" s="56">
        <f t="shared" si="875"/>
        <v>1.128926023803365E-3</v>
      </c>
      <c r="AS444" s="56">
        <f t="shared" si="875"/>
        <v>0</v>
      </c>
      <c r="AT444" s="56">
        <f t="shared" si="875"/>
        <v>0</v>
      </c>
      <c r="AU444" s="56">
        <f t="shared" si="875"/>
        <v>0</v>
      </c>
      <c r="AV444" s="56">
        <f t="shared" si="875"/>
        <v>0.82062694219011012</v>
      </c>
      <c r="AW444" s="56">
        <f t="shared" si="875"/>
        <v>0</v>
      </c>
      <c r="AX444" s="56">
        <f t="shared" si="875"/>
        <v>63958.732558139534</v>
      </c>
      <c r="AY444" s="56">
        <f t="shared" si="875"/>
        <v>0</v>
      </c>
      <c r="AZ444" s="56">
        <f t="shared" si="875"/>
        <v>0</v>
      </c>
      <c r="BA444" s="56">
        <f t="shared" si="875"/>
        <v>766245</v>
      </c>
      <c r="BB444" s="56">
        <f t="shared" si="875"/>
        <v>0</v>
      </c>
      <c r="BC444" s="56">
        <f t="shared" si="875"/>
        <v>473304856</v>
      </c>
      <c r="BD444" s="56">
        <f t="shared" si="875"/>
        <v>0</v>
      </c>
      <c r="BE444" s="56">
        <f t="shared" si="875"/>
        <v>13541</v>
      </c>
      <c r="BF444" s="56">
        <f t="shared" si="875"/>
        <v>0</v>
      </c>
      <c r="BG444" s="56">
        <f t="shared" si="875"/>
        <v>1.7671893454443421E-2</v>
      </c>
      <c r="BH444" s="56">
        <f t="shared" si="875"/>
        <v>0</v>
      </c>
      <c r="BI444" s="56">
        <f t="shared" si="875"/>
        <v>0</v>
      </c>
      <c r="BJ444" s="56">
        <f t="shared" si="875"/>
        <v>0</v>
      </c>
      <c r="BK444" s="56">
        <f t="shared" si="875"/>
        <v>7248404</v>
      </c>
      <c r="BL444" s="56">
        <f t="shared" si="875"/>
        <v>0</v>
      </c>
      <c r="BM444" s="56">
        <f t="shared" si="875"/>
        <v>2.3934234350072098E-2</v>
      </c>
      <c r="BN444" s="56">
        <f t="shared" si="875"/>
        <v>1100708.9674418604</v>
      </c>
      <c r="BO444" s="56">
        <f t="shared" si="875"/>
        <v>0</v>
      </c>
      <c r="BP444" s="56">
        <f t="shared" si="875"/>
        <v>32606734</v>
      </c>
      <c r="BQ444" s="56">
        <f t="shared" si="875"/>
        <v>0</v>
      </c>
      <c r="BR444" s="56">
        <f t="shared" si="875"/>
        <v>6.8891610949370866E-2</v>
      </c>
      <c r="BS444" s="56">
        <f t="shared" si="875"/>
        <v>0</v>
      </c>
      <c r="BT444" s="56">
        <f t="shared" ref="BT444" si="876">+BT439</f>
        <v>0</v>
      </c>
      <c r="BU444" s="56">
        <f t="shared" ref="BT444:BU444" si="877">+BU436</f>
        <v>0</v>
      </c>
      <c r="BV444" s="56">
        <f>+BV350</f>
        <v>0</v>
      </c>
      <c r="BW444" s="56"/>
      <c r="BX444" s="56"/>
      <c r="BY444" s="56"/>
      <c r="BZ444" s="56"/>
      <c r="CA444" s="56"/>
      <c r="CB444" s="56"/>
      <c r="CC444" s="56"/>
      <c r="CD444" s="56"/>
      <c r="CE444" s="61"/>
      <c r="CF444" s="61"/>
      <c r="CG444" s="145"/>
    </row>
    <row r="445" spans="2:85" x14ac:dyDescent="0.3">
      <c r="B445" t="s">
        <v>105</v>
      </c>
      <c r="D445" s="56">
        <f>+D438-D444</f>
        <v>6098</v>
      </c>
      <c r="E445" s="56">
        <f>+E237-E444</f>
        <v>0</v>
      </c>
      <c r="F445" s="56">
        <f>+F237-F444</f>
        <v>0</v>
      </c>
      <c r="G445" s="56">
        <f>+G237-G444</f>
        <v>0</v>
      </c>
      <c r="H445" s="56">
        <f t="shared" ref="H445:BS445" si="878">+H438-H444</f>
        <v>-13541</v>
      </c>
      <c r="I445" s="56">
        <f t="shared" si="878"/>
        <v>0</v>
      </c>
      <c r="J445" s="56">
        <f t="shared" si="878"/>
        <v>1.8237279560405967E-4</v>
      </c>
      <c r="K445" s="56">
        <f t="shared" si="878"/>
        <v>0</v>
      </c>
      <c r="L445" s="56">
        <f t="shared" si="878"/>
        <v>0</v>
      </c>
      <c r="M445" s="56">
        <f t="shared" si="878"/>
        <v>0</v>
      </c>
      <c r="N445" s="56">
        <f t="shared" si="878"/>
        <v>4293</v>
      </c>
      <c r="O445" s="56">
        <f t="shared" si="878"/>
        <v>150.11157369762077</v>
      </c>
      <c r="P445" s="56">
        <f t="shared" si="878"/>
        <v>0</v>
      </c>
      <c r="Q445" s="56">
        <f t="shared" si="878"/>
        <v>4293</v>
      </c>
      <c r="R445" s="56">
        <f t="shared" si="878"/>
        <v>0</v>
      </c>
      <c r="S445" s="56">
        <f t="shared" si="878"/>
        <v>3.9559349004462951E-3</v>
      </c>
      <c r="T445" s="56">
        <f t="shared" si="878"/>
        <v>0</v>
      </c>
      <c r="U445" s="56">
        <f t="shared" si="878"/>
        <v>0</v>
      </c>
      <c r="V445" s="56">
        <f t="shared" si="878"/>
        <v>-1</v>
      </c>
      <c r="W445" s="56">
        <f t="shared" si="878"/>
        <v>240</v>
      </c>
      <c r="X445" s="56">
        <f t="shared" si="878"/>
        <v>0</v>
      </c>
      <c r="Y445" s="56">
        <f t="shared" si="878"/>
        <v>0</v>
      </c>
      <c r="Z445" s="56">
        <f t="shared" si="878"/>
        <v>141</v>
      </c>
      <c r="AA445" s="56">
        <f t="shared" si="878"/>
        <v>-228</v>
      </c>
      <c r="AB445" s="56">
        <f t="shared" si="878"/>
        <v>0</v>
      </c>
      <c r="AC445" s="56">
        <f t="shared" si="878"/>
        <v>3.3651747159343937E-7</v>
      </c>
      <c r="AD445" s="56">
        <f t="shared" si="878"/>
        <v>0</v>
      </c>
      <c r="AE445" s="56">
        <f t="shared" si="878"/>
        <v>2.6787932997235657</v>
      </c>
      <c r="AF445" s="56">
        <f t="shared" si="878"/>
        <v>0</v>
      </c>
      <c r="AG445" s="56">
        <f t="shared" si="878"/>
        <v>61</v>
      </c>
      <c r="AH445" s="56">
        <f t="shared" si="878"/>
        <v>66515</v>
      </c>
      <c r="AI445" s="56">
        <f t="shared" si="878"/>
        <v>2.456327081937483E-2</v>
      </c>
      <c r="AJ445" s="56">
        <f t="shared" si="878"/>
        <v>0</v>
      </c>
      <c r="AK445" s="56">
        <f t="shared" si="878"/>
        <v>0</v>
      </c>
      <c r="AL445" s="56">
        <f t="shared" si="878"/>
        <v>40800</v>
      </c>
      <c r="AM445" s="56">
        <f t="shared" si="878"/>
        <v>0</v>
      </c>
      <c r="AN445" s="56">
        <f t="shared" si="878"/>
        <v>0</v>
      </c>
      <c r="AO445" s="56">
        <f t="shared" si="878"/>
        <v>0</v>
      </c>
      <c r="AP445" s="56">
        <f t="shared" si="878"/>
        <v>-31013</v>
      </c>
      <c r="AQ445" s="56">
        <f t="shared" si="878"/>
        <v>0</v>
      </c>
      <c r="AR445" s="56">
        <f t="shared" si="878"/>
        <v>1.4920410043781347E-3</v>
      </c>
      <c r="AS445" s="56">
        <f t="shared" si="878"/>
        <v>0</v>
      </c>
      <c r="AT445" s="56">
        <f t="shared" si="878"/>
        <v>0</v>
      </c>
      <c r="AU445" s="56">
        <f t="shared" si="878"/>
        <v>0</v>
      </c>
      <c r="AV445" s="56">
        <f t="shared" si="878"/>
        <v>-5.9405340276630358E-4</v>
      </c>
      <c r="AW445" s="56">
        <f t="shared" si="878"/>
        <v>0</v>
      </c>
      <c r="AX445" s="56">
        <f t="shared" si="878"/>
        <v>76.796579389600083</v>
      </c>
      <c r="AY445" s="56">
        <f t="shared" si="878"/>
        <v>0</v>
      </c>
      <c r="AZ445" s="56">
        <f t="shared" si="878"/>
        <v>0</v>
      </c>
      <c r="BA445" s="56">
        <f t="shared" si="878"/>
        <v>228454</v>
      </c>
      <c r="BB445" s="56">
        <f t="shared" si="878"/>
        <v>0</v>
      </c>
      <c r="BC445" s="56">
        <f t="shared" si="878"/>
        <v>-766245</v>
      </c>
      <c r="BD445" s="56">
        <f t="shared" si="878"/>
        <v>0</v>
      </c>
      <c r="BE445" s="56">
        <f t="shared" si="878"/>
        <v>6098</v>
      </c>
      <c r="BF445" s="56">
        <f t="shared" si="878"/>
        <v>0</v>
      </c>
      <c r="BG445" s="56">
        <f t="shared" si="878"/>
        <v>2.0717676933007696E-3</v>
      </c>
      <c r="BH445" s="56">
        <f t="shared" si="878"/>
        <v>0</v>
      </c>
      <c r="BI445" s="56">
        <f t="shared" si="878"/>
        <v>0</v>
      </c>
      <c r="BJ445" s="56">
        <f t="shared" si="878"/>
        <v>0</v>
      </c>
      <c r="BK445" s="56">
        <f t="shared" si="878"/>
        <v>65263</v>
      </c>
      <c r="BL445" s="56">
        <f t="shared" si="878"/>
        <v>0</v>
      </c>
      <c r="BM445" s="56">
        <f t="shared" si="878"/>
        <v>3.7340776707652304E-4</v>
      </c>
      <c r="BN445" s="56">
        <f t="shared" si="878"/>
        <v>779.63628774345852</v>
      </c>
      <c r="BO445" s="56">
        <f t="shared" si="878"/>
        <v>0</v>
      </c>
      <c r="BP445" s="56">
        <f t="shared" si="878"/>
        <v>-13541</v>
      </c>
      <c r="BQ445" s="56">
        <f t="shared" si="878"/>
        <v>0</v>
      </c>
      <c r="BR445" s="56">
        <f t="shared" si="878"/>
        <v>8.3055334565873551E-5</v>
      </c>
      <c r="BS445" s="56">
        <f t="shared" si="878"/>
        <v>0</v>
      </c>
      <c r="BT445" s="56">
        <f t="shared" ref="BT445" si="879">+BT438-BT444</f>
        <v>0</v>
      </c>
      <c r="BU445" s="56">
        <f t="shared" ref="BT445:BU445" si="880">+BU435-BU444</f>
        <v>0</v>
      </c>
      <c r="BV445" s="56">
        <f>+BV349-BV444</f>
        <v>0</v>
      </c>
      <c r="BW445" s="56"/>
      <c r="BX445" s="56"/>
      <c r="BY445" s="56"/>
      <c r="BZ445" s="56"/>
      <c r="CA445" s="56"/>
      <c r="CB445" s="56"/>
      <c r="CC445" s="56"/>
      <c r="CD445" s="56"/>
      <c r="CE445" s="61"/>
      <c r="CF445" s="61"/>
      <c r="CG445" s="105"/>
    </row>
    <row r="446" spans="2:85" x14ac:dyDescent="0.3">
      <c r="B446" s="56"/>
      <c r="D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10"/>
      <c r="BT446" s="10"/>
      <c r="BU446" s="10"/>
      <c r="BV446" s="10"/>
      <c r="BW446" s="10"/>
      <c r="BX446" s="10"/>
      <c r="BY446" s="10"/>
      <c r="BZ446" s="10"/>
      <c r="CA446" s="10"/>
      <c r="CB446" s="61"/>
      <c r="CC446" s="105"/>
      <c r="CD446" s="105"/>
      <c r="CE446" s="105"/>
      <c r="CF446" s="105"/>
    </row>
    <row r="447" spans="2:85" x14ac:dyDescent="0.3">
      <c r="B447" s="56"/>
      <c r="D447" s="56"/>
      <c r="H447" s="1"/>
      <c r="N447" s="145"/>
      <c r="O447" s="1"/>
      <c r="W447" s="56"/>
      <c r="AA447" s="59"/>
      <c r="BA447" s="59"/>
      <c r="BC447" s="56"/>
      <c r="BE447" s="59"/>
      <c r="BJ447" s="61"/>
      <c r="BK447" s="10">
        <f>+BK187</f>
        <v>4928581</v>
      </c>
      <c r="BL447" s="61"/>
      <c r="BM447" s="61"/>
      <c r="BN447" s="61"/>
      <c r="BO447" s="61"/>
      <c r="BP447" s="61"/>
      <c r="BQ447" s="61"/>
      <c r="BR447" s="61"/>
      <c r="BS447" s="10"/>
      <c r="BT447" s="10"/>
    </row>
    <row r="448" spans="2:85" x14ac:dyDescent="0.3">
      <c r="B448" s="56"/>
      <c r="D448" s="56"/>
      <c r="H448" s="56"/>
      <c r="N448" s="231"/>
      <c r="W448" s="56"/>
      <c r="AA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56"/>
      <c r="AU448" t="s">
        <v>161</v>
      </c>
      <c r="BC448" s="1"/>
      <c r="BE448" s="59"/>
      <c r="BH448" s="96"/>
      <c r="BI448" s="96"/>
      <c r="BJ448" s="96"/>
      <c r="BK448" s="493"/>
      <c r="BL448" s="96"/>
      <c r="BM448" s="96"/>
      <c r="BN448" s="96"/>
      <c r="BO448" s="96"/>
      <c r="BP448" s="96"/>
      <c r="BQ448" s="96"/>
      <c r="BR448" s="78"/>
      <c r="BS448" s="1"/>
      <c r="BT448" s="1"/>
    </row>
    <row r="449" spans="2:72" x14ac:dyDescent="0.3">
      <c r="D449" s="1"/>
      <c r="E449" s="111" t="s">
        <v>26</v>
      </c>
      <c r="F449" s="112"/>
      <c r="H449" s="112" t="s">
        <v>59</v>
      </c>
      <c r="I449" s="104"/>
      <c r="J449" s="104"/>
      <c r="K449" s="61"/>
      <c r="L449" s="10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BC449" s="56"/>
      <c r="BE449" s="59"/>
      <c r="BH449" s="96"/>
      <c r="BI449" s="96"/>
      <c r="BJ449" s="96"/>
      <c r="BK449" s="493">
        <f>+BK194-BK444</f>
        <v>-1485295</v>
      </c>
      <c r="BL449" s="96"/>
      <c r="BM449" s="96"/>
      <c r="BN449" s="96"/>
      <c r="BO449" s="96"/>
      <c r="BP449" s="96"/>
      <c r="BQ449" s="96"/>
      <c r="BR449" s="78"/>
      <c r="BS449" s="1"/>
      <c r="BT449" s="1"/>
    </row>
    <row r="450" spans="2:72" x14ac:dyDescent="0.3">
      <c r="B450" s="56"/>
      <c r="D450" s="1"/>
      <c r="E450" s="111" t="s">
        <v>38</v>
      </c>
      <c r="F450" s="112"/>
      <c r="H450" s="112" t="s">
        <v>40</v>
      </c>
      <c r="I450" s="10"/>
      <c r="J450" s="10"/>
      <c r="K450" s="61"/>
      <c r="L450" s="10"/>
      <c r="AD450" s="1"/>
      <c r="AE450" s="1"/>
      <c r="AF450" s="1"/>
      <c r="AG450" s="1"/>
      <c r="AH450" s="1"/>
      <c r="AI450" s="1">
        <f>SUM(W213:W243)</f>
        <v>25465</v>
      </c>
      <c r="AJ450" s="1"/>
      <c r="AK450" s="1"/>
      <c r="AL450" s="1" t="s">
        <v>17</v>
      </c>
      <c r="AM450" s="1"/>
      <c r="AN450" s="1"/>
      <c r="AO450" s="1"/>
      <c r="BC450" s="56"/>
      <c r="BE450" s="59"/>
      <c r="BH450" s="97"/>
      <c r="BI450" s="97"/>
      <c r="BJ450" s="97"/>
      <c r="BK450" s="493">
        <f>+BK187-BK444</f>
        <v>-2319823</v>
      </c>
      <c r="BL450" s="97"/>
      <c r="BM450" s="97"/>
      <c r="BN450" s="97"/>
      <c r="BO450" s="97"/>
      <c r="BP450" s="97"/>
      <c r="BQ450" s="97"/>
      <c r="BR450" s="78"/>
      <c r="BS450" s="1"/>
      <c r="BT450" s="1"/>
    </row>
    <row r="451" spans="2:72" x14ac:dyDescent="0.3">
      <c r="B451" s="231"/>
      <c r="D451" s="1"/>
      <c r="E451" s="111" t="s">
        <v>45</v>
      </c>
      <c r="F451" s="112"/>
      <c r="H451" s="112" t="s">
        <v>55</v>
      </c>
      <c r="I451" s="10"/>
      <c r="J451" s="10"/>
      <c r="K451" s="61"/>
      <c r="L451" s="10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BC451" s="56"/>
      <c r="BE451" s="59"/>
      <c r="BH451" s="97"/>
      <c r="BI451" s="97"/>
      <c r="BJ451" s="97"/>
      <c r="BK451" s="493"/>
      <c r="BL451" s="97"/>
      <c r="BM451" s="97"/>
      <c r="BN451" s="97"/>
      <c r="BO451" s="97"/>
      <c r="BP451" s="97"/>
      <c r="BQ451" s="97"/>
      <c r="BR451" s="78"/>
      <c r="BS451" s="1"/>
      <c r="BT451" s="1"/>
    </row>
    <row r="452" spans="2:72" x14ac:dyDescent="0.3">
      <c r="D452" s="1"/>
      <c r="E452" s="111" t="s">
        <v>60</v>
      </c>
      <c r="F452" s="61"/>
      <c r="H452" s="81" t="s">
        <v>135</v>
      </c>
      <c r="I452" s="61"/>
      <c r="J452" s="61"/>
      <c r="K452" s="61"/>
      <c r="L452" s="6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BH452" s="97"/>
      <c r="BI452" s="97"/>
      <c r="BJ452" s="97"/>
      <c r="BK452" s="496"/>
      <c r="BL452" s="97"/>
      <c r="BM452" s="97"/>
      <c r="BN452" s="97"/>
      <c r="BO452" s="97"/>
      <c r="BP452" s="97"/>
      <c r="BQ452" s="97"/>
      <c r="BR452" s="78"/>
      <c r="BS452" s="1"/>
      <c r="BT452" s="1"/>
    </row>
    <row r="453" spans="2:72" x14ac:dyDescent="0.3">
      <c r="E453" s="111" t="s">
        <v>136</v>
      </c>
      <c r="H453" s="81" t="s">
        <v>137</v>
      </c>
      <c r="AD453" s="1"/>
      <c r="AE453" s="1"/>
      <c r="AF453" s="1"/>
      <c r="AG453" s="1"/>
      <c r="AH453" s="1"/>
      <c r="AI453" s="1"/>
      <c r="BD453" s="78"/>
      <c r="BE453" s="78"/>
      <c r="BF453" s="78"/>
      <c r="BG453" s="78"/>
      <c r="BH453" s="78"/>
      <c r="BI453" s="78"/>
      <c r="BJ453" s="78"/>
      <c r="BK453" s="494"/>
      <c r="BL453" s="78"/>
      <c r="BM453" s="78"/>
      <c r="BN453" s="78"/>
      <c r="BO453" s="78"/>
      <c r="BP453" s="78"/>
      <c r="BQ453" s="78"/>
      <c r="BR453" s="78"/>
      <c r="BS453" s="1"/>
      <c r="BT453" s="1"/>
    </row>
    <row r="454" spans="2:72" x14ac:dyDescent="0.3">
      <c r="B454" s="56"/>
      <c r="AD454" s="1"/>
      <c r="AE454" s="1"/>
      <c r="AF454" s="1"/>
      <c r="AG454" s="1"/>
      <c r="AH454" s="1"/>
      <c r="AI454" s="1"/>
      <c r="BA454" s="545">
        <v>157602857</v>
      </c>
      <c r="BK454" s="495"/>
    </row>
    <row r="455" spans="2:72" ht="15" thickBot="1" x14ac:dyDescent="0.35">
      <c r="D455" s="56">
        <f>SUM(D363:D369)</f>
        <v>378583</v>
      </c>
      <c r="AD455" s="1"/>
      <c r="AE455" s="507"/>
      <c r="AF455" s="547"/>
      <c r="AG455" s="507"/>
      <c r="AH455" s="507"/>
      <c r="AI455" s="507"/>
      <c r="AJ455" s="500"/>
      <c r="AK455" s="500"/>
      <c r="AL455" s="500"/>
      <c r="AM455" s="500"/>
      <c r="AN455" s="500"/>
      <c r="AO455" s="500"/>
      <c r="AP455" s="500"/>
      <c r="AQ455" s="500"/>
      <c r="AR455" s="500"/>
      <c r="AS455" s="500"/>
      <c r="AT455" s="500"/>
      <c r="AU455" s="500"/>
      <c r="AV455" s="500"/>
      <c r="AW455" s="500"/>
      <c r="AX455" s="500"/>
      <c r="AZ455" s="106"/>
      <c r="BA455" s="106"/>
      <c r="BB455" s="106"/>
      <c r="BC455" s="106"/>
      <c r="BK455" s="1"/>
    </row>
    <row r="456" spans="2:72" x14ac:dyDescent="0.3">
      <c r="D456" s="531">
        <f>SUM(D356:D362)</f>
        <v>417052</v>
      </c>
      <c r="J456" s="486"/>
      <c r="V456" s="106"/>
      <c r="AA456" s="56"/>
      <c r="AD456" s="1"/>
      <c r="AE456" s="507"/>
      <c r="AF456" s="546"/>
      <c r="AG456" s="1"/>
      <c r="AH456" s="1"/>
      <c r="AI456" s="485"/>
      <c r="AJ456" s="464"/>
      <c r="AK456" s="465"/>
      <c r="AL456" s="465"/>
      <c r="AM456" s="465"/>
      <c r="AN456" s="465"/>
      <c r="AO456" s="465"/>
      <c r="AP456" s="465"/>
      <c r="AQ456" s="465"/>
      <c r="AR456" s="465"/>
      <c r="AS456" s="465"/>
      <c r="AT456" s="465"/>
      <c r="AU456" s="465"/>
      <c r="AV456" s="465"/>
      <c r="AW456" s="466"/>
      <c r="AX456" s="500"/>
      <c r="AZ456" s="106"/>
      <c r="BA456" s="77"/>
      <c r="BB456" s="106"/>
      <c r="BC456" s="106"/>
      <c r="BK456" s="56"/>
    </row>
    <row r="457" spans="2:72" x14ac:dyDescent="0.3">
      <c r="D457" s="1"/>
      <c r="J457" s="214"/>
      <c r="AD457" s="1"/>
      <c r="AE457" s="507"/>
      <c r="AF457" s="546"/>
      <c r="AG457" s="1"/>
      <c r="AH457" s="1"/>
      <c r="AI457" s="485"/>
      <c r="AJ457" s="467"/>
      <c r="AK457" s="580" t="s">
        <v>142</v>
      </c>
      <c r="AL457" s="580"/>
      <c r="AM457" s="580"/>
      <c r="AN457" s="580"/>
      <c r="AO457" s="580"/>
      <c r="AP457" s="580"/>
      <c r="AQ457" s="580"/>
      <c r="AR457" s="580"/>
      <c r="AS457" s="580"/>
      <c r="AT457" s="580"/>
      <c r="AU457" s="580"/>
      <c r="AV457" s="580"/>
      <c r="AW457" s="468"/>
      <c r="AX457" s="500"/>
      <c r="AZ457" s="106"/>
      <c r="BA457" s="106"/>
      <c r="BB457" s="106"/>
      <c r="BC457" s="106"/>
    </row>
    <row r="458" spans="2:72" ht="15.6" x14ac:dyDescent="0.3">
      <c r="D458" s="1">
        <v>331000000</v>
      </c>
      <c r="H458" s="235">
        <f>+H269/D458</f>
        <v>4.5635842900302113E-2</v>
      </c>
      <c r="J458" s="57"/>
      <c r="AD458" s="1"/>
      <c r="AE458" s="507"/>
      <c r="AF458" s="546"/>
      <c r="AG458" s="1"/>
      <c r="AH458" s="1"/>
      <c r="AI458" s="485"/>
      <c r="AJ458" s="467"/>
      <c r="AK458" s="580" t="s">
        <v>141</v>
      </c>
      <c r="AL458" s="580"/>
      <c r="AM458" s="580"/>
      <c r="AN458" s="580"/>
      <c r="AO458" s="473"/>
      <c r="AP458" s="474" t="s">
        <v>20</v>
      </c>
      <c r="AQ458" s="473"/>
      <c r="AR458" s="474" t="s">
        <v>4</v>
      </c>
      <c r="AS458" s="475"/>
      <c r="AT458" s="475"/>
      <c r="AU458" s="475"/>
      <c r="AV458" s="479" t="s">
        <v>10</v>
      </c>
      <c r="AW458" s="468"/>
      <c r="AX458" s="500"/>
      <c r="AZ458" s="106"/>
      <c r="BA458" s="106"/>
      <c r="BB458" s="106"/>
      <c r="BC458" s="106"/>
    </row>
    <row r="459" spans="2:72" ht="15.6" x14ac:dyDescent="0.3">
      <c r="H459" s="235">
        <f>+AA269/H269</f>
        <v>1.9000541790705667E-2</v>
      </c>
      <c r="AD459" s="1"/>
      <c r="AE459" s="507"/>
      <c r="AF459" s="546"/>
      <c r="AG459" s="1"/>
      <c r="AH459" s="1"/>
      <c r="AI459" s="485"/>
      <c r="AJ459" s="467"/>
      <c r="AK459" s="590" t="s">
        <v>138</v>
      </c>
      <c r="AL459" s="590"/>
      <c r="AM459" s="590"/>
      <c r="AN459" s="590"/>
      <c r="AO459" s="473"/>
      <c r="AP459" s="476">
        <f>+AH50</f>
        <v>898992</v>
      </c>
      <c r="AQ459" s="477"/>
      <c r="AR459" s="476">
        <f>+AH51</f>
        <v>55687</v>
      </c>
      <c r="AS459" s="478"/>
      <c r="AT459" s="478"/>
      <c r="AU459" s="478"/>
      <c r="AV459" s="491">
        <f t="shared" ref="AV459:AV465" si="881">+AR459/AP459</f>
        <v>6.194382152455194E-2</v>
      </c>
      <c r="AW459" s="468"/>
      <c r="AX459" s="500"/>
      <c r="AZ459" s="106"/>
      <c r="BA459" s="77"/>
      <c r="BB459" s="106"/>
      <c r="BC459" s="106"/>
    </row>
    <row r="460" spans="2:72" ht="15.6" x14ac:dyDescent="0.3">
      <c r="D460" s="235"/>
      <c r="AD460" s="1"/>
      <c r="AE460" s="507"/>
      <c r="AF460" s="546"/>
      <c r="AG460" s="1"/>
      <c r="AH460" s="1"/>
      <c r="AI460" s="485"/>
      <c r="AJ460" s="467"/>
      <c r="AK460" s="628" t="s">
        <v>139</v>
      </c>
      <c r="AL460" s="629"/>
      <c r="AM460" s="629"/>
      <c r="AN460" s="629"/>
      <c r="AO460" s="64"/>
      <c r="AP460" s="469">
        <f>+AG83</f>
        <v>742147</v>
      </c>
      <c r="AQ460" s="64"/>
      <c r="AR460" s="469">
        <f>+AG84</f>
        <v>42339</v>
      </c>
      <c r="AS460" s="64"/>
      <c r="AT460" s="64"/>
      <c r="AU460" s="64"/>
      <c r="AV460" s="489">
        <f t="shared" si="881"/>
        <v>5.7049344671608188E-2</v>
      </c>
      <c r="AW460" s="468"/>
      <c r="AX460" s="500"/>
      <c r="AZ460" s="106"/>
      <c r="BA460" s="77"/>
      <c r="BB460" s="106"/>
      <c r="BC460" s="106"/>
    </row>
    <row r="461" spans="2:72" ht="15.6" x14ac:dyDescent="0.3">
      <c r="AD461" s="1"/>
      <c r="AE461" s="507"/>
      <c r="AF461" s="546"/>
      <c r="AG461" s="1"/>
      <c r="AH461" s="1"/>
      <c r="AI461" s="485"/>
      <c r="AJ461" s="467"/>
      <c r="AK461" s="629" t="s">
        <v>140</v>
      </c>
      <c r="AL461" s="629"/>
      <c r="AM461" s="629"/>
      <c r="AN461" s="629"/>
      <c r="AO461" s="64"/>
      <c r="AP461" s="469">
        <f>+AH113</f>
        <v>869627</v>
      </c>
      <c r="AQ461" s="64"/>
      <c r="AR461" s="469">
        <f>+AH114</f>
        <v>21252</v>
      </c>
      <c r="AS461" s="64"/>
      <c r="AT461" s="64"/>
      <c r="AU461" s="64"/>
      <c r="AV461" s="489">
        <f t="shared" si="881"/>
        <v>2.4438063675575852E-2</v>
      </c>
      <c r="AW461" s="468"/>
      <c r="AX461" s="500"/>
      <c r="AZ461" s="106"/>
      <c r="BA461" s="106"/>
      <c r="BB461" s="106"/>
      <c r="BC461" s="106"/>
    </row>
    <row r="462" spans="2:72" ht="15.6" x14ac:dyDescent="0.3">
      <c r="D462" s="428"/>
      <c r="AD462" s="1"/>
      <c r="AE462" s="507"/>
      <c r="AF462" s="546"/>
      <c r="AG462" s="1"/>
      <c r="AH462" s="1"/>
      <c r="AI462" s="485"/>
      <c r="AJ462" s="467"/>
      <c r="AK462" s="629" t="s">
        <v>143</v>
      </c>
      <c r="AL462" s="629"/>
      <c r="AM462" s="629"/>
      <c r="AN462" s="629"/>
      <c r="AO462" s="64"/>
      <c r="AP462" s="469">
        <f>+AG468</f>
        <v>1970617</v>
      </c>
      <c r="AQ462" s="64"/>
      <c r="AR462" s="469">
        <f>+AG470</f>
        <v>25901</v>
      </c>
      <c r="AS462" s="64"/>
      <c r="AT462" s="64"/>
      <c r="AU462" s="64"/>
      <c r="AV462" s="489">
        <f t="shared" si="881"/>
        <v>1.3143599187462607E-2</v>
      </c>
      <c r="AW462" s="468"/>
      <c r="AX462" s="500"/>
    </row>
    <row r="463" spans="2:72" ht="15.6" x14ac:dyDescent="0.3">
      <c r="D463" s="428"/>
      <c r="AD463" s="1"/>
      <c r="AE463" s="507"/>
      <c r="AF463" s="546"/>
      <c r="AG463" s="1"/>
      <c r="AH463" s="1"/>
      <c r="AI463" s="485"/>
      <c r="AJ463" s="467"/>
      <c r="AK463" s="543"/>
      <c r="AL463" s="543" t="s">
        <v>151</v>
      </c>
      <c r="AM463" s="543"/>
      <c r="AN463" s="543"/>
      <c r="AO463" s="64"/>
      <c r="AP463" s="469">
        <f>SUM(D144:D174)</f>
        <v>1493931</v>
      </c>
      <c r="AQ463" s="64"/>
      <c r="AR463" s="469">
        <f>SUM(W144:W174)</f>
        <v>30354</v>
      </c>
      <c r="AS463" s="64"/>
      <c r="AT463" s="64"/>
      <c r="AU463" s="64"/>
      <c r="AV463" s="489">
        <f t="shared" si="881"/>
        <v>2.0318207467413155E-2</v>
      </c>
      <c r="AW463" s="468"/>
      <c r="AX463" s="500"/>
    </row>
    <row r="464" spans="2:72" ht="15.6" x14ac:dyDescent="0.3">
      <c r="D464" s="428"/>
      <c r="AD464" s="1"/>
      <c r="AE464" s="507"/>
      <c r="AF464" s="546"/>
      <c r="AG464" s="1"/>
      <c r="AH464" s="1"/>
      <c r="AI464" s="485"/>
      <c r="AJ464" s="467"/>
      <c r="AK464" s="543"/>
      <c r="AL464" s="543" t="s">
        <v>152</v>
      </c>
      <c r="AM464" s="543"/>
      <c r="AN464" s="543"/>
      <c r="AO464" s="64"/>
      <c r="AP464" s="469">
        <f>SUM(D175:D204)</f>
        <v>1202331</v>
      </c>
      <c r="AQ464" s="64"/>
      <c r="AR464" s="544">
        <f>SUM(W175:W204)</f>
        <v>24042</v>
      </c>
      <c r="AS464" s="64"/>
      <c r="AT464" s="64"/>
      <c r="AU464" s="64"/>
      <c r="AV464" s="489">
        <f t="shared" si="881"/>
        <v>1.9996157464125936E-2</v>
      </c>
      <c r="AW464" s="468"/>
      <c r="AX464" s="500"/>
    </row>
    <row r="465" spans="2:87" ht="15.6" x14ac:dyDescent="0.3">
      <c r="D465" s="428"/>
      <c r="AD465" s="1"/>
      <c r="AE465" s="507"/>
      <c r="AF465" s="546"/>
      <c r="AG465" s="1"/>
      <c r="AH465" s="1"/>
      <c r="AI465" s="485"/>
      <c r="AJ465" s="467"/>
      <c r="AK465" s="543"/>
      <c r="AL465" s="543" t="s">
        <v>153</v>
      </c>
      <c r="AM465" s="543"/>
      <c r="AN465" s="543"/>
      <c r="AO465" s="64"/>
      <c r="AP465" s="469">
        <f>SUM(D205:D230)</f>
        <v>1470960</v>
      </c>
      <c r="AQ465" s="64"/>
      <c r="AR465" s="469">
        <f>SUM(W205:W235)</f>
        <v>24156</v>
      </c>
      <c r="AS465" s="64"/>
      <c r="AT465" s="64"/>
      <c r="AU465" s="64"/>
      <c r="AV465" s="489">
        <f t="shared" si="881"/>
        <v>1.6421928536465982E-2</v>
      </c>
      <c r="AW465" s="468"/>
      <c r="AX465" s="500"/>
      <c r="BA465" s="486">
        <f>+AV459-AV465</f>
        <v>4.5521892988085955E-2</v>
      </c>
    </row>
    <row r="466" spans="2:87" ht="15" thickBot="1" x14ac:dyDescent="0.35">
      <c r="B466" s="427"/>
      <c r="D466" s="235"/>
      <c r="AD466" s="1"/>
      <c r="AE466" s="507"/>
      <c r="AF466" s="546"/>
      <c r="AG466" s="1"/>
      <c r="AH466" s="1"/>
      <c r="AI466" s="485"/>
      <c r="AJ466" s="467"/>
      <c r="AK466" s="480"/>
      <c r="AL466" s="480"/>
      <c r="AM466" s="480"/>
      <c r="AN466" s="480"/>
      <c r="AO466" s="481"/>
      <c r="AP466" s="482"/>
      <c r="AQ466" s="481"/>
      <c r="AR466" s="482"/>
      <c r="AS466" s="481"/>
      <c r="AT466" s="481"/>
      <c r="AU466" s="481"/>
      <c r="AV466" s="483"/>
      <c r="AW466" s="468"/>
      <c r="AX466" s="500"/>
      <c r="BA466">
        <f>+BA465/AV459</f>
        <v>0.73488996751747038</v>
      </c>
    </row>
    <row r="467" spans="2:87" ht="15.6" x14ac:dyDescent="0.3">
      <c r="B467" s="427"/>
      <c r="D467" s="235"/>
      <c r="AD467" s="1"/>
      <c r="AE467" s="507"/>
      <c r="AF467" s="546"/>
      <c r="AG467" s="1"/>
      <c r="AH467" s="1"/>
      <c r="AI467" s="485"/>
      <c r="AJ467" s="467"/>
      <c r="AK467" s="590" t="s">
        <v>138</v>
      </c>
      <c r="AL467" s="590"/>
      <c r="AM467" s="590"/>
      <c r="AN467" s="590"/>
      <c r="AO467" s="64"/>
      <c r="AP467" s="469"/>
      <c r="AQ467" s="64"/>
      <c r="AR467" s="469">
        <f>+AR459</f>
        <v>55687</v>
      </c>
      <c r="AS467" s="64"/>
      <c r="AT467" s="64"/>
      <c r="AU467" s="64"/>
      <c r="AV467" s="144"/>
      <c r="AW467" s="468"/>
      <c r="AX467" s="500"/>
    </row>
    <row r="468" spans="2:87" ht="15.6" x14ac:dyDescent="0.3">
      <c r="B468" s="427"/>
      <c r="D468" s="235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10"/>
      <c r="AE468" s="507"/>
      <c r="AF468" s="546"/>
      <c r="AG468" s="33">
        <f>SUM(D113:D143)</f>
        <v>1970617</v>
      </c>
      <c r="AH468" s="1"/>
      <c r="AI468" s="485"/>
      <c r="AJ468" s="467"/>
      <c r="AK468" s="622" t="s">
        <v>153</v>
      </c>
      <c r="AL468" s="622"/>
      <c r="AM468" s="622"/>
      <c r="AN468" s="622"/>
      <c r="AO468" s="64"/>
      <c r="AP468" s="469"/>
      <c r="AQ468" s="64"/>
      <c r="AR468" s="469">
        <f>+AR465</f>
        <v>24156</v>
      </c>
      <c r="AS468" s="64"/>
      <c r="AT468" s="64"/>
      <c r="AU468" s="64"/>
      <c r="AV468" s="144"/>
      <c r="AW468" s="468"/>
      <c r="AX468" s="500"/>
    </row>
    <row r="469" spans="2:87" ht="15.6" x14ac:dyDescent="0.3">
      <c r="B469" s="427"/>
      <c r="D469" s="235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10"/>
      <c r="AE469" s="507"/>
      <c r="AF469" s="546"/>
      <c r="AG469" s="33">
        <f>SUM(W125:W138)</f>
        <v>12117</v>
      </c>
      <c r="AH469" s="1"/>
      <c r="AI469" s="485"/>
      <c r="AJ469" s="467"/>
      <c r="AK469" s="63"/>
      <c r="AL469" s="497" t="s">
        <v>3</v>
      </c>
      <c r="AM469" s="63"/>
      <c r="AN469" s="63"/>
      <c r="AO469" s="64"/>
      <c r="AP469" s="469"/>
      <c r="AQ469" s="64"/>
      <c r="AR469" s="469">
        <f>+AR467-AR468</f>
        <v>31531</v>
      </c>
      <c r="AS469" s="64"/>
      <c r="AT469" s="64"/>
      <c r="AU469" s="64"/>
      <c r="AV469" s="484">
        <f>+AR469/AR467</f>
        <v>0.5662183274372834</v>
      </c>
      <c r="AW469" s="468"/>
      <c r="AX469" s="500"/>
    </row>
    <row r="470" spans="2:87" ht="15" thickBot="1" x14ac:dyDescent="0.35">
      <c r="D470" s="427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10"/>
      <c r="AE470" s="507"/>
      <c r="AF470" s="548"/>
      <c r="AG470" s="33">
        <f>SUM(W113:W143)</f>
        <v>25901</v>
      </c>
      <c r="AH470" s="1"/>
      <c r="AI470" s="485"/>
      <c r="AJ470" s="470"/>
      <c r="AK470" s="471"/>
      <c r="AL470" s="471"/>
      <c r="AM470" s="471"/>
      <c r="AN470" s="471"/>
      <c r="AO470" s="471"/>
      <c r="AP470" s="471"/>
      <c r="AQ470" s="471"/>
      <c r="AR470" s="471"/>
      <c r="AS470" s="471"/>
      <c r="AT470" s="471"/>
      <c r="AU470" s="471"/>
      <c r="AV470" s="471"/>
      <c r="AW470" s="472"/>
      <c r="AX470" s="500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1"/>
      <c r="BT470" s="1"/>
      <c r="BU470" s="1"/>
      <c r="BV470" s="1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</row>
    <row r="471" spans="2:87" x14ac:dyDescent="0.3"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10"/>
      <c r="AE471" s="507"/>
      <c r="AF471" s="507"/>
      <c r="AG471" s="507"/>
      <c r="AH471" s="507"/>
      <c r="AI471" s="507"/>
      <c r="AJ471" s="500"/>
      <c r="AK471" s="500"/>
      <c r="AL471" s="500"/>
      <c r="AM471" s="500"/>
      <c r="AN471" s="500"/>
      <c r="AO471" s="500"/>
      <c r="AP471" s="500"/>
      <c r="AQ471" s="500"/>
      <c r="AR471" s="500"/>
      <c r="AS471" s="500"/>
      <c r="AT471" s="500"/>
      <c r="AU471" s="500"/>
      <c r="AV471" s="500"/>
      <c r="AW471" s="500"/>
      <c r="AX471" s="500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77"/>
      <c r="BX471" s="77"/>
      <c r="BY471" s="77"/>
      <c r="BZ471" s="77"/>
      <c r="CA471" s="109"/>
      <c r="CB471" s="1"/>
      <c r="CC471" s="1"/>
      <c r="CD471" s="1"/>
      <c r="CE471" s="1"/>
      <c r="CF471" s="1"/>
      <c r="CG471" s="1"/>
      <c r="CH471" s="1"/>
      <c r="CI471" s="1"/>
    </row>
    <row r="472" spans="2:87" x14ac:dyDescent="0.3">
      <c r="D472">
        <v>10</v>
      </c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10"/>
      <c r="AE472" s="10"/>
      <c r="AF472" s="10"/>
      <c r="AG472" s="10"/>
      <c r="AH472" s="10"/>
      <c r="AI472" s="10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77"/>
      <c r="BX472" s="77"/>
      <c r="BY472" s="77"/>
      <c r="BZ472" s="77"/>
      <c r="CA472" s="77"/>
      <c r="CB472" s="1"/>
      <c r="CC472" s="1"/>
      <c r="CD472" s="1"/>
      <c r="CE472" s="1"/>
      <c r="CF472" s="1"/>
      <c r="CG472" s="1"/>
      <c r="CH472" s="1"/>
      <c r="CI472" s="1"/>
    </row>
    <row r="473" spans="2:87" x14ac:dyDescent="0.3">
      <c r="D473" s="1">
        <v>77000000</v>
      </c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10"/>
      <c r="AE473" s="10"/>
      <c r="AF473" s="10"/>
      <c r="AG473" s="10"/>
      <c r="AH473" s="10"/>
      <c r="AI473" s="10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77"/>
      <c r="BX473" s="77"/>
      <c r="BY473" s="77"/>
      <c r="BZ473" s="77"/>
      <c r="CA473" s="77"/>
      <c r="CB473" s="1"/>
      <c r="CC473" s="1"/>
      <c r="CD473" s="1"/>
      <c r="CE473" s="1"/>
      <c r="CF473" s="1"/>
      <c r="CG473" s="1"/>
    </row>
    <row r="474" spans="2:87" x14ac:dyDescent="0.3">
      <c r="D474" s="57">
        <f>+D473/D476</f>
        <v>0.23262839879154079</v>
      </c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10"/>
      <c r="AE474" s="10"/>
      <c r="AF474" s="10"/>
      <c r="AG474" s="501"/>
      <c r="AH474" s="10"/>
      <c r="AI474" s="10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77"/>
      <c r="BX474" s="77"/>
      <c r="BY474" s="77"/>
      <c r="BZ474" s="77"/>
      <c r="CA474" s="77"/>
      <c r="CB474" s="1"/>
      <c r="CC474" s="1"/>
      <c r="CD474" s="1"/>
      <c r="CE474" s="1"/>
      <c r="CF474" s="1"/>
      <c r="CG474" s="1"/>
    </row>
    <row r="475" spans="2:87" x14ac:dyDescent="0.3"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10"/>
      <c r="AE475" s="10"/>
      <c r="AF475" s="507"/>
      <c r="AG475" s="526"/>
      <c r="AH475" s="507"/>
      <c r="AI475" s="507"/>
      <c r="AJ475" s="500"/>
      <c r="AK475" s="500"/>
      <c r="AL475" s="500"/>
      <c r="AM475" s="500"/>
      <c r="AN475" s="500"/>
      <c r="AO475" s="500"/>
      <c r="AP475" s="500"/>
      <c r="AQ475" s="500"/>
      <c r="AR475" s="500"/>
      <c r="AS475" s="500"/>
      <c r="AT475" s="500"/>
      <c r="AU475" s="500"/>
      <c r="AV475" s="500"/>
      <c r="AW475" s="500"/>
      <c r="AX475" s="500"/>
      <c r="AY475" s="500"/>
      <c r="AZ475" s="500"/>
      <c r="BA475" s="500"/>
      <c r="BB475" s="500"/>
      <c r="BC475" s="500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77"/>
      <c r="BX475" s="77"/>
      <c r="BY475" s="110"/>
      <c r="BZ475" s="77"/>
      <c r="CA475" s="77"/>
    </row>
    <row r="476" spans="2:87" x14ac:dyDescent="0.3">
      <c r="D476" s="1">
        <v>331000000</v>
      </c>
      <c r="H476">
        <v>0.13400000000000001</v>
      </c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10"/>
      <c r="AE476" s="10"/>
      <c r="AF476" s="507"/>
      <c r="AG476" s="527"/>
      <c r="AH476" s="507"/>
      <c r="AI476" s="507"/>
      <c r="AJ476" s="524"/>
      <c r="AK476" s="524"/>
      <c r="AL476" s="525"/>
      <c r="AM476" s="525"/>
      <c r="AN476" s="525"/>
      <c r="AO476" s="525"/>
      <c r="AP476" s="525"/>
      <c r="AQ476" s="525"/>
      <c r="AR476" s="525"/>
      <c r="AS476" s="525"/>
      <c r="AT476" s="525"/>
      <c r="AU476" s="525"/>
      <c r="AV476" s="525"/>
      <c r="AW476" s="525"/>
      <c r="AX476" s="525"/>
      <c r="AY476" s="525"/>
      <c r="AZ476" s="525"/>
      <c r="BA476" s="525"/>
      <c r="BB476" s="524"/>
      <c r="BC476" s="524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77"/>
      <c r="BX476" s="77"/>
      <c r="BY476" s="77"/>
      <c r="BZ476" s="77"/>
      <c r="CA476" s="77"/>
    </row>
    <row r="477" spans="2:87" x14ac:dyDescent="0.3">
      <c r="D477" s="1">
        <f>+D476*H476</f>
        <v>44354000</v>
      </c>
      <c r="H477" s="1">
        <f>+D477*0.001</f>
        <v>44354</v>
      </c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10"/>
      <c r="AE477" s="10"/>
      <c r="AF477" s="507"/>
      <c r="AG477" s="526"/>
      <c r="AH477" s="507"/>
      <c r="AI477" s="507"/>
      <c r="AJ477" s="524"/>
      <c r="AK477" s="524"/>
      <c r="AL477" s="138"/>
      <c r="AM477" s="138"/>
      <c r="AN477" s="138"/>
      <c r="AO477" s="138"/>
      <c r="AP477" s="138"/>
      <c r="AQ477" s="138"/>
      <c r="AR477" s="138"/>
      <c r="AS477" s="78"/>
      <c r="AT477" s="78"/>
      <c r="AU477" s="78"/>
      <c r="AV477" s="98"/>
      <c r="AW477" s="98"/>
      <c r="AX477" s="98"/>
      <c r="AY477" s="98"/>
      <c r="AZ477" s="524"/>
      <c r="BA477" s="524"/>
      <c r="BB477" s="530"/>
      <c r="BC477" s="524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77"/>
      <c r="BX477" s="77"/>
      <c r="BY477" s="77"/>
      <c r="BZ477" s="77"/>
      <c r="CA477" s="77"/>
    </row>
    <row r="478" spans="2:87" x14ac:dyDescent="0.3">
      <c r="D478" s="425">
        <v>7.1999999999999995E-2</v>
      </c>
      <c r="H478" s="1">
        <f>+AA204*H476</f>
        <v>28746.886000000002</v>
      </c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10"/>
      <c r="AE478" s="10"/>
      <c r="AF478" s="507"/>
      <c r="AG478" s="526">
        <v>44031</v>
      </c>
      <c r="AH478" s="507"/>
      <c r="AI478" s="507"/>
      <c r="AJ478" s="524"/>
      <c r="AK478" s="524"/>
      <c r="AL478" s="138"/>
      <c r="AM478" s="138"/>
      <c r="AN478" s="138"/>
      <c r="AO478" s="138"/>
      <c r="AP478" s="138"/>
      <c r="AQ478" s="138"/>
      <c r="AR478" s="138"/>
      <c r="AS478" s="138"/>
      <c r="AT478" s="98"/>
      <c r="AU478" s="78"/>
      <c r="AV478" s="98"/>
      <c r="AW478" s="98"/>
      <c r="AX478" s="98"/>
      <c r="AY478" s="98"/>
      <c r="AZ478" s="524"/>
      <c r="BA478" s="524"/>
      <c r="BB478" s="530"/>
      <c r="BC478" s="524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77"/>
      <c r="BX478" s="77"/>
      <c r="BY478" s="77"/>
      <c r="BZ478" s="77"/>
      <c r="CA478" s="77"/>
    </row>
    <row r="479" spans="2:87" x14ac:dyDescent="0.3"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10"/>
      <c r="AE479" s="10"/>
      <c r="AF479" s="507"/>
      <c r="AG479" s="526">
        <v>44038</v>
      </c>
      <c r="AH479" s="507"/>
      <c r="AI479" s="507"/>
      <c r="AJ479" s="524"/>
      <c r="AK479" s="524"/>
      <c r="AL479" s="78"/>
      <c r="AM479" s="78"/>
      <c r="AN479" s="139"/>
      <c r="AO479" s="139"/>
      <c r="AP479" s="139"/>
      <c r="AQ479" s="139"/>
      <c r="AR479" s="139"/>
      <c r="AS479" s="78"/>
      <c r="AT479" s="78"/>
      <c r="AU479" s="78"/>
      <c r="AV479" s="98"/>
      <c r="AW479" s="98"/>
      <c r="AX479" s="98"/>
      <c r="AY479" s="98"/>
      <c r="AZ479" s="524"/>
      <c r="BA479" s="524"/>
      <c r="BB479" s="530"/>
      <c r="BC479" s="524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77"/>
      <c r="BX479" s="77"/>
      <c r="BY479" s="77"/>
      <c r="BZ479" s="77"/>
      <c r="CA479" s="77"/>
    </row>
    <row r="480" spans="2:87" x14ac:dyDescent="0.3">
      <c r="D480" s="235">
        <v>4.2000000000000003E-2</v>
      </c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10"/>
      <c r="AE480" s="10"/>
      <c r="AF480" s="507"/>
      <c r="AG480" s="526">
        <v>44045</v>
      </c>
      <c r="AH480" s="507"/>
      <c r="AI480" s="507"/>
      <c r="AJ480" s="524"/>
      <c r="AK480" s="524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98"/>
      <c r="AW480" s="98"/>
      <c r="AX480" s="98"/>
      <c r="AY480" s="98"/>
      <c r="AZ480" s="524"/>
      <c r="BA480" s="524"/>
      <c r="BB480" s="530"/>
      <c r="BC480" s="524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2:79" x14ac:dyDescent="0.3">
      <c r="D481" s="531">
        <f>+D476*D478*D480</f>
        <v>1000944.0000000001</v>
      </c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10"/>
      <c r="AE481" s="10"/>
      <c r="AF481" s="507"/>
      <c r="AG481" s="526">
        <v>44052</v>
      </c>
      <c r="AH481" s="507"/>
      <c r="AI481" s="507"/>
      <c r="AJ481" s="524"/>
      <c r="AK481" s="524"/>
      <c r="AL481" s="78"/>
      <c r="AM481" s="78"/>
      <c r="AN481" s="139"/>
      <c r="AO481" s="139"/>
      <c r="AP481" s="139"/>
      <c r="AQ481" s="139"/>
      <c r="AR481" s="139"/>
      <c r="AS481" s="139"/>
      <c r="AT481" s="139"/>
      <c r="AU481" s="78"/>
      <c r="AV481" s="98"/>
      <c r="AW481" s="98"/>
      <c r="AX481" s="98"/>
      <c r="AY481" s="98"/>
      <c r="AZ481" s="524"/>
      <c r="BA481" s="524"/>
      <c r="BB481" s="530"/>
      <c r="BC481" s="524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2:79" x14ac:dyDescent="0.3"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10"/>
      <c r="AE482" s="10"/>
      <c r="AF482" s="507"/>
      <c r="AG482" s="526"/>
      <c r="AH482" s="507"/>
      <c r="AI482" s="507"/>
      <c r="AJ482" s="524"/>
      <c r="AK482" s="524"/>
      <c r="AL482" s="78"/>
      <c r="AM482" s="78"/>
      <c r="AN482" s="139"/>
      <c r="AO482" s="139"/>
      <c r="AP482" s="139"/>
      <c r="AQ482" s="139"/>
      <c r="AR482" s="139"/>
      <c r="AS482" s="139"/>
      <c r="AT482" s="139"/>
      <c r="AU482" s="78"/>
      <c r="AV482" s="98"/>
      <c r="AW482" s="98"/>
      <c r="AX482" s="98"/>
      <c r="AY482" s="98"/>
      <c r="AZ482" s="524"/>
      <c r="BA482" s="524"/>
      <c r="BB482" s="530"/>
      <c r="BC482" s="524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2:79" x14ac:dyDescent="0.3"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10"/>
      <c r="AE483" s="10"/>
      <c r="AF483" s="507"/>
      <c r="AG483" s="526"/>
      <c r="AH483" s="507"/>
      <c r="AI483" s="507"/>
      <c r="AJ483" s="524"/>
      <c r="AK483" s="524"/>
      <c r="AL483" s="78"/>
      <c r="AM483" s="78"/>
      <c r="AN483" s="139"/>
      <c r="AO483" s="139"/>
      <c r="AP483" s="139"/>
      <c r="AQ483" s="139"/>
      <c r="AR483" s="139"/>
      <c r="AS483" s="139"/>
      <c r="AT483" s="139"/>
      <c r="AU483" s="78"/>
      <c r="AV483" s="98"/>
      <c r="AW483" s="98"/>
      <c r="AX483" s="98"/>
      <c r="AY483" s="98"/>
      <c r="AZ483" s="524"/>
      <c r="BA483" s="524"/>
      <c r="BB483" s="530"/>
      <c r="BC483" s="524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2:79" x14ac:dyDescent="0.3"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10"/>
      <c r="AE484" s="10"/>
      <c r="AF484" s="507"/>
      <c r="AG484" s="528"/>
      <c r="AH484" s="507"/>
      <c r="AI484" s="507"/>
      <c r="AJ484" s="524"/>
      <c r="AK484" s="524"/>
      <c r="AL484" s="78"/>
      <c r="AM484" s="78"/>
      <c r="AN484" s="139"/>
      <c r="AO484" s="139"/>
      <c r="AP484" s="139"/>
      <c r="AQ484" s="139"/>
      <c r="AR484" s="139"/>
      <c r="AS484" s="139"/>
      <c r="AT484" s="139"/>
      <c r="AU484" s="78"/>
      <c r="AV484" s="98"/>
      <c r="AW484" s="98"/>
      <c r="AX484" s="98"/>
      <c r="AY484" s="98"/>
      <c r="AZ484" s="524"/>
      <c r="BA484" s="524"/>
      <c r="BB484" s="530"/>
      <c r="BC484" s="524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2:79" x14ac:dyDescent="0.3"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10"/>
      <c r="AE485" s="10"/>
      <c r="AF485" s="507"/>
      <c r="AG485" s="507"/>
      <c r="AH485" s="507"/>
      <c r="AI485" s="507"/>
      <c r="AJ485" s="524"/>
      <c r="AK485" s="524"/>
      <c r="AL485" s="78"/>
      <c r="AM485" s="78"/>
      <c r="AN485" s="139"/>
      <c r="AO485" s="139"/>
      <c r="AP485" s="139"/>
      <c r="AQ485" s="139"/>
      <c r="AR485" s="139"/>
      <c r="AS485" s="139"/>
      <c r="AT485" s="139"/>
      <c r="AU485" s="78"/>
      <c r="AV485" s="98"/>
      <c r="AW485" s="98"/>
      <c r="AX485" s="98"/>
      <c r="AY485" s="98"/>
      <c r="AZ485" s="524"/>
      <c r="BA485" s="524"/>
      <c r="BB485" s="530"/>
      <c r="BC485" s="524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2:79" x14ac:dyDescent="0.3"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10"/>
      <c r="AE486" s="10"/>
      <c r="AF486" s="507"/>
      <c r="AG486" s="507"/>
      <c r="AH486" s="507"/>
      <c r="AI486" s="507"/>
      <c r="AJ486" s="524"/>
      <c r="AK486" s="524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78"/>
      <c r="AW486" s="78"/>
      <c r="AX486" s="78"/>
      <c r="AY486" s="78"/>
      <c r="AZ486" s="524"/>
      <c r="BA486" s="530"/>
      <c r="BB486" s="530"/>
      <c r="BC486" s="524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2:79" x14ac:dyDescent="0.3">
      <c r="AD487" s="10"/>
      <c r="AE487" s="10"/>
      <c r="AF487" s="507"/>
      <c r="AG487" s="507"/>
      <c r="AH487" s="507"/>
      <c r="AI487" s="507"/>
      <c r="AJ487" s="524"/>
      <c r="AK487" s="524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78"/>
      <c r="AW487" s="78"/>
      <c r="AX487" s="78"/>
      <c r="AY487" s="78"/>
      <c r="AZ487" s="524"/>
      <c r="BA487" s="530"/>
      <c r="BB487" s="530"/>
      <c r="BC487" s="524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2:79" ht="15" thickBot="1" x14ac:dyDescent="0.35">
      <c r="B488" s="500"/>
      <c r="C488" s="500"/>
      <c r="D488" s="500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AD488" s="10"/>
      <c r="AE488" s="10"/>
      <c r="AF488" s="507"/>
      <c r="AG488" s="507"/>
      <c r="AH488" s="507"/>
      <c r="AI488" s="507"/>
      <c r="AJ488" s="524"/>
      <c r="AK488" s="524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78"/>
      <c r="AW488" s="78"/>
      <c r="AX488" s="78"/>
      <c r="AY488" s="78"/>
      <c r="AZ488" s="524"/>
      <c r="BA488" s="530"/>
      <c r="BB488" s="530"/>
      <c r="BC488" s="524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2:79" x14ac:dyDescent="0.3">
      <c r="B489" s="500"/>
      <c r="C489" s="510"/>
      <c r="D489" s="357"/>
      <c r="E489" s="357"/>
      <c r="F489" s="357"/>
      <c r="G489" s="357"/>
      <c r="H489" s="357"/>
      <c r="I489" s="357"/>
      <c r="J489" s="357"/>
      <c r="K489" s="357"/>
      <c r="L489" s="357"/>
      <c r="M489" s="357"/>
      <c r="N489" s="357"/>
      <c r="O489" s="357"/>
      <c r="P489" s="511"/>
      <c r="V489" s="500"/>
      <c r="AD489" s="10"/>
      <c r="AE489" s="10"/>
      <c r="AF489" s="507"/>
      <c r="AG489" s="507"/>
      <c r="AH489" s="507"/>
      <c r="AI489" s="507"/>
      <c r="AJ489" s="524"/>
      <c r="AK489" s="524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78"/>
      <c r="AW489" s="78"/>
      <c r="AX489" s="78"/>
      <c r="AY489" s="78"/>
      <c r="AZ489" s="524"/>
      <c r="BA489" s="530"/>
      <c r="BB489" s="530"/>
      <c r="BC489" s="524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2:79" x14ac:dyDescent="0.3">
      <c r="B490" s="500"/>
      <c r="C490" s="512"/>
      <c r="D490" s="502" t="s">
        <v>149</v>
      </c>
      <c r="E490" s="387"/>
      <c r="F490" s="387"/>
      <c r="G490" s="387"/>
      <c r="H490" s="621" t="s">
        <v>20</v>
      </c>
      <c r="I490" s="621"/>
      <c r="J490" s="621"/>
      <c r="K490" s="387"/>
      <c r="L490" s="387"/>
      <c r="M490" s="387"/>
      <c r="N490" s="387"/>
      <c r="O490" s="387"/>
      <c r="P490" s="513"/>
      <c r="V490" s="500"/>
      <c r="AD490" s="10"/>
      <c r="AE490" s="10"/>
      <c r="AF490" s="507"/>
      <c r="AG490" s="507"/>
      <c r="AH490" s="507"/>
      <c r="AI490" s="507"/>
      <c r="AJ490" s="524"/>
      <c r="AK490" s="524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78"/>
      <c r="AW490" s="78"/>
      <c r="AX490" s="78"/>
      <c r="AY490" s="78"/>
      <c r="AZ490" s="524"/>
      <c r="BA490" s="530"/>
      <c r="BB490" s="530"/>
      <c r="BC490" s="524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2:79" x14ac:dyDescent="0.3">
      <c r="B491" s="500"/>
      <c r="C491" s="512"/>
      <c r="D491" s="514" t="s">
        <v>150</v>
      </c>
      <c r="E491" s="387"/>
      <c r="F491" s="387"/>
      <c r="G491" s="387"/>
      <c r="H491" s="515" t="s">
        <v>147</v>
      </c>
      <c r="I491" s="502"/>
      <c r="J491" s="516" t="s">
        <v>148</v>
      </c>
      <c r="K491" s="502"/>
      <c r="L491" s="502"/>
      <c r="M491" s="502"/>
      <c r="N491" s="502"/>
      <c r="O491" s="517" t="s">
        <v>3</v>
      </c>
      <c r="P491" s="513"/>
      <c r="V491" s="500"/>
      <c r="AD491" s="10"/>
      <c r="AE491" s="10"/>
      <c r="AF491" s="507"/>
      <c r="AG491" s="507"/>
      <c r="AH491" s="507"/>
      <c r="AI491" s="507"/>
      <c r="AJ491" s="524"/>
      <c r="AK491" s="524"/>
      <c r="AL491" s="529"/>
      <c r="AM491" s="529"/>
      <c r="AN491" s="529"/>
      <c r="AO491" s="529"/>
      <c r="AP491" s="529"/>
      <c r="AQ491" s="529"/>
      <c r="AR491" s="529"/>
      <c r="AS491" s="529"/>
      <c r="AT491" s="529"/>
      <c r="AU491" s="529"/>
      <c r="AV491" s="524"/>
      <c r="AW491" s="524"/>
      <c r="AX491" s="524"/>
      <c r="AY491" s="524"/>
      <c r="AZ491" s="524"/>
      <c r="BA491" s="530"/>
      <c r="BB491" s="530"/>
      <c r="BC491" s="524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2:79" x14ac:dyDescent="0.3">
      <c r="B492" s="500"/>
      <c r="C492" s="512"/>
      <c r="D492" s="503" t="s">
        <v>146</v>
      </c>
      <c r="E492" s="15"/>
      <c r="F492" s="15"/>
      <c r="G492" s="15"/>
      <c r="H492" s="518">
        <f>SUM(D133:D139)</f>
        <v>471981</v>
      </c>
      <c r="I492" s="15"/>
      <c r="J492" s="16">
        <f>+H492/7</f>
        <v>67425.857142857145</v>
      </c>
      <c r="K492" s="15"/>
      <c r="L492" s="15"/>
      <c r="M492" s="15"/>
      <c r="N492" s="15"/>
      <c r="O492" s="15"/>
      <c r="P492" s="513"/>
      <c r="V492" s="500"/>
      <c r="AD492" s="10"/>
      <c r="AE492" s="10"/>
      <c r="AF492" s="507"/>
      <c r="AG492" s="507"/>
      <c r="AH492" s="507"/>
      <c r="AI492" s="507"/>
      <c r="AJ492" s="524"/>
      <c r="AK492" s="524"/>
      <c r="AL492" s="529"/>
      <c r="AM492" s="529"/>
      <c r="AN492" s="529"/>
      <c r="AO492" s="529"/>
      <c r="AP492" s="529"/>
      <c r="AQ492" s="529"/>
      <c r="AR492" s="529"/>
      <c r="AS492" s="529"/>
      <c r="AT492" s="529"/>
      <c r="AU492" s="529"/>
      <c r="AV492" s="529"/>
      <c r="AW492" s="529"/>
      <c r="AX492" s="529"/>
      <c r="AY492" s="529"/>
      <c r="AZ492" s="524"/>
      <c r="BA492" s="524"/>
      <c r="BB492" s="530"/>
      <c r="BC492" s="524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2:79" x14ac:dyDescent="0.3">
      <c r="B493" s="500"/>
      <c r="C493" s="512"/>
      <c r="D493" s="503" t="s">
        <v>145</v>
      </c>
      <c r="E493" s="15"/>
      <c r="F493" s="15"/>
      <c r="G493" s="15"/>
      <c r="H493" s="16">
        <f>SUM(D140:D146)</f>
        <v>427527</v>
      </c>
      <c r="I493" s="15"/>
      <c r="J493" s="16">
        <f>+H493/7</f>
        <v>61075.285714285717</v>
      </c>
      <c r="K493" s="15"/>
      <c r="L493" s="15"/>
      <c r="M493" s="15"/>
      <c r="N493" s="15"/>
      <c r="O493" s="15"/>
      <c r="P493" s="513"/>
      <c r="V493" s="500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78"/>
      <c r="AU493" s="98"/>
      <c r="AV493" s="140"/>
      <c r="AW493" s="140"/>
      <c r="AX493" s="140"/>
      <c r="AY493" s="140"/>
      <c r="AZ493" s="98"/>
      <c r="BA493" s="98"/>
      <c r="BB493" s="98"/>
      <c r="BC493" s="98"/>
    </row>
    <row r="494" spans="2:79" x14ac:dyDescent="0.3">
      <c r="B494" s="506"/>
      <c r="C494" s="512"/>
      <c r="D494" s="503" t="s">
        <v>144</v>
      </c>
      <c r="E494" s="15"/>
      <c r="F494" s="15"/>
      <c r="G494" s="15"/>
      <c r="H494" s="16">
        <f>SUM(D147:D153)</f>
        <v>383516</v>
      </c>
      <c r="I494" s="15"/>
      <c r="J494" s="16">
        <f>+H494/7</f>
        <v>54788</v>
      </c>
      <c r="K494" s="15"/>
      <c r="L494" s="15"/>
      <c r="M494" s="15"/>
      <c r="N494" s="15"/>
      <c r="O494" s="518">
        <f>+H492-H494</f>
        <v>88465</v>
      </c>
      <c r="P494" s="513"/>
      <c r="V494" s="500"/>
      <c r="AA494">
        <f>+O494/7</f>
        <v>12637.857142857143</v>
      </c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78"/>
      <c r="AW494" s="78"/>
      <c r="AX494" s="78"/>
      <c r="AY494" s="78"/>
      <c r="AZ494" s="98"/>
      <c r="BA494" s="141"/>
      <c r="BB494" s="98"/>
      <c r="BC494" s="98"/>
    </row>
    <row r="495" spans="2:79" x14ac:dyDescent="0.3">
      <c r="B495" s="507"/>
      <c r="C495" s="512"/>
      <c r="D495" s="5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60">
        <f>+O494/H492</f>
        <v>0.18743339244588236</v>
      </c>
      <c r="P495" s="513"/>
      <c r="V495" s="500"/>
      <c r="X495" s="61"/>
      <c r="Y495" s="61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78">
        <v>480454</v>
      </c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</row>
    <row r="496" spans="2:79" ht="15" thickBot="1" x14ac:dyDescent="0.35">
      <c r="B496" s="507"/>
      <c r="C496" s="520"/>
      <c r="D496" s="521"/>
      <c r="E496" s="521"/>
      <c r="F496" s="521"/>
      <c r="G496" s="521"/>
      <c r="H496" s="521"/>
      <c r="I496" s="521"/>
      <c r="J496" s="522"/>
      <c r="K496" s="521"/>
      <c r="L496" s="521"/>
      <c r="M496" s="521"/>
      <c r="N496" s="521"/>
      <c r="O496" s="521"/>
      <c r="P496" s="523"/>
      <c r="V496" s="500"/>
      <c r="X496" s="61"/>
      <c r="Y496" s="61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140">
        <f>+N201</f>
        <v>290088</v>
      </c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</row>
    <row r="497" spans="2:61" x14ac:dyDescent="0.3">
      <c r="B497" s="507"/>
      <c r="C497" s="500"/>
      <c r="D497" s="508"/>
      <c r="E497" s="500"/>
      <c r="F497" s="500"/>
      <c r="G497" s="500"/>
      <c r="H497" s="509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X497" s="61"/>
      <c r="Y497" s="61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140">
        <f>+AP495-AP496</f>
        <v>190366</v>
      </c>
      <c r="AQ497" s="98"/>
      <c r="AR497" s="98"/>
    </row>
    <row r="498" spans="2:61" x14ac:dyDescent="0.3">
      <c r="B498" s="1"/>
      <c r="D498" s="55"/>
      <c r="X498" s="61"/>
      <c r="Y498" s="61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84">
        <f>+AP497/AP495</f>
        <v>0.3962210742339537</v>
      </c>
      <c r="AQ498" s="98"/>
      <c r="AR498" s="98"/>
    </row>
    <row r="499" spans="2:61" x14ac:dyDescent="0.3">
      <c r="B499" s="55"/>
      <c r="D499" s="55"/>
      <c r="J499" s="56">
        <f>+J492-J494</f>
        <v>12637.857142857145</v>
      </c>
      <c r="X499" s="61"/>
      <c r="Y499" s="61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</row>
    <row r="500" spans="2:61" x14ac:dyDescent="0.3">
      <c r="B500" s="57"/>
      <c r="D500" s="55"/>
      <c r="X500" s="61"/>
      <c r="Y500" s="61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</row>
    <row r="501" spans="2:61" x14ac:dyDescent="0.3">
      <c r="B501" s="1"/>
      <c r="D501" s="55"/>
      <c r="X501" s="61"/>
      <c r="Y501" s="61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</row>
    <row r="502" spans="2:61" x14ac:dyDescent="0.3">
      <c r="B502" s="1"/>
      <c r="D502" s="55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</row>
    <row r="503" spans="2:61" x14ac:dyDescent="0.3">
      <c r="B503" s="1"/>
      <c r="D503" s="55"/>
      <c r="AT503" s="500"/>
      <c r="AU503" s="500"/>
      <c r="AV503" s="500"/>
      <c r="AW503" s="500"/>
      <c r="AX503" s="500"/>
      <c r="AY503" s="500"/>
      <c r="AZ503" s="500"/>
      <c r="BA503" s="500"/>
      <c r="BB503" s="500"/>
      <c r="BC503" s="500"/>
      <c r="BD503" s="500"/>
      <c r="BE503" s="500"/>
      <c r="BF503" s="500"/>
      <c r="BG503" s="500"/>
      <c r="BH503" s="500"/>
      <c r="BI503" s="500"/>
    </row>
    <row r="504" spans="2:61" ht="15.6" x14ac:dyDescent="0.3">
      <c r="B504" s="1"/>
      <c r="D504" s="55"/>
      <c r="AT504" s="500"/>
      <c r="AU504" s="533"/>
      <c r="AV504" s="534"/>
      <c r="AW504" s="534"/>
      <c r="AX504" s="534"/>
      <c r="AY504" s="534"/>
      <c r="AZ504" s="534"/>
      <c r="BA504" s="534"/>
      <c r="BB504" s="534"/>
      <c r="BC504" s="534"/>
      <c r="BD504" s="534"/>
      <c r="BE504" s="534" t="s">
        <v>156</v>
      </c>
      <c r="BF504" s="534"/>
      <c r="BG504" s="534" t="s">
        <v>2</v>
      </c>
      <c r="BH504" s="533"/>
      <c r="BI504" s="500"/>
    </row>
    <row r="505" spans="2:61" ht="16.2" thickBot="1" x14ac:dyDescent="0.35">
      <c r="B505" s="57" t="e">
        <f>+B504/B503</f>
        <v>#DIV/0!</v>
      </c>
      <c r="D505" s="55"/>
      <c r="AT505" s="500"/>
      <c r="AU505" s="533"/>
      <c r="AV505" s="627" t="s">
        <v>155</v>
      </c>
      <c r="AW505" s="627"/>
      <c r="AX505" s="627"/>
      <c r="AY505" s="534"/>
      <c r="AZ505" s="534"/>
      <c r="BA505" s="535" t="s">
        <v>20</v>
      </c>
      <c r="BB505" s="534"/>
      <c r="BC505" s="535" t="s">
        <v>3</v>
      </c>
      <c r="BD505" s="534"/>
      <c r="BE505" s="535" t="s">
        <v>65</v>
      </c>
      <c r="BF505" s="534"/>
      <c r="BG505" s="535" t="s">
        <v>65</v>
      </c>
      <c r="BH505" s="533"/>
      <c r="BI505" s="500"/>
    </row>
    <row r="506" spans="2:61" ht="21" x14ac:dyDescent="0.4">
      <c r="B506" s="1"/>
      <c r="D506" s="55"/>
      <c r="AT506" s="500"/>
      <c r="AU506" s="533"/>
      <c r="AV506" s="536" t="s">
        <v>143</v>
      </c>
      <c r="AW506" s="533"/>
      <c r="AX506" s="537"/>
      <c r="AY506" s="533"/>
      <c r="AZ506" s="533"/>
      <c r="BA506" s="538">
        <f>+N143</f>
        <v>1970617</v>
      </c>
      <c r="BB506" s="537"/>
      <c r="BC506" s="537"/>
      <c r="BD506" s="537"/>
      <c r="BE506" s="537"/>
      <c r="BF506" s="537"/>
      <c r="BG506" s="537"/>
      <c r="BH506" s="533"/>
      <c r="BI506" s="500"/>
    </row>
    <row r="507" spans="2:61" ht="21" x14ac:dyDescent="0.4">
      <c r="B507" s="1"/>
      <c r="D507" s="55"/>
      <c r="AT507" s="500"/>
      <c r="AU507" s="533"/>
      <c r="AV507" s="536" t="s">
        <v>151</v>
      </c>
      <c r="AW507" s="533"/>
      <c r="AX507" s="537"/>
      <c r="AY507" s="533"/>
      <c r="AZ507" s="533"/>
      <c r="BA507" s="538">
        <f>+N174</f>
        <v>1493931</v>
      </c>
      <c r="BB507" s="537"/>
      <c r="BC507" s="538">
        <f>+BA507-BA506</f>
        <v>-476686</v>
      </c>
      <c r="BD507" s="537"/>
      <c r="BE507" s="539">
        <f>+BC507/BA506</f>
        <v>-0.24189682723735764</v>
      </c>
      <c r="BF507" s="537"/>
      <c r="BG507" s="537"/>
      <c r="BH507" s="533"/>
      <c r="BI507" s="500"/>
    </row>
    <row r="508" spans="2:61" ht="21" x14ac:dyDescent="0.4">
      <c r="B508" s="1">
        <f>+B504*50</f>
        <v>0</v>
      </c>
      <c r="D508" s="55"/>
      <c r="AT508" s="500"/>
      <c r="AU508" s="533"/>
      <c r="AV508" s="536" t="s">
        <v>152</v>
      </c>
      <c r="AW508" s="533"/>
      <c r="AX508" s="537"/>
      <c r="AY508" s="533"/>
      <c r="AZ508" s="533"/>
      <c r="BA508" s="538">
        <f>+N204</f>
        <v>1202331</v>
      </c>
      <c r="BB508" s="537"/>
      <c r="BC508" s="538">
        <f>+BA508-BA507</f>
        <v>-291600</v>
      </c>
      <c r="BD508" s="537"/>
      <c r="BE508" s="539">
        <f>+BC508/BA507</f>
        <v>-0.19518973767864781</v>
      </c>
      <c r="BF508" s="537"/>
      <c r="BG508" s="537"/>
      <c r="BH508" s="533"/>
      <c r="BI508" s="500"/>
    </row>
    <row r="509" spans="2:61" ht="21" x14ac:dyDescent="0.4">
      <c r="B509" s="1"/>
      <c r="D509" s="55"/>
      <c r="AT509" s="500"/>
      <c r="AU509" s="533"/>
      <c r="AV509" s="536" t="s">
        <v>153</v>
      </c>
      <c r="AW509" s="533"/>
      <c r="AX509" s="537"/>
      <c r="AY509" s="533"/>
      <c r="AZ509" s="540" t="s">
        <v>26</v>
      </c>
      <c r="BA509" s="538">
        <f>+N218</f>
        <v>371489</v>
      </c>
      <c r="BB509" s="537"/>
      <c r="BC509" s="538">
        <f>+BA509-BA508</f>
        <v>-830842</v>
      </c>
      <c r="BD509" s="537"/>
      <c r="BE509" s="539">
        <f>+BC509/BA508</f>
        <v>-0.69102601529861574</v>
      </c>
      <c r="BF509" s="537"/>
      <c r="BG509" s="539">
        <f>+(BA509-BA506)/BA506</f>
        <v>-0.81148594577231392</v>
      </c>
      <c r="BH509" s="533"/>
      <c r="BI509" s="500"/>
    </row>
    <row r="510" spans="2:61" x14ac:dyDescent="0.3">
      <c r="B510" s="1"/>
      <c r="D510" s="55"/>
      <c r="AT510" s="500"/>
      <c r="AU510" s="533"/>
      <c r="AV510" s="533"/>
      <c r="AW510" s="533"/>
      <c r="AX510" s="533"/>
      <c r="AY510" s="533"/>
      <c r="AZ510" s="533"/>
      <c r="BA510" s="533"/>
      <c r="BB510" s="533"/>
      <c r="BC510" s="533"/>
      <c r="BD510" s="533"/>
      <c r="BE510" s="533"/>
      <c r="BF510" s="533"/>
      <c r="BG510" s="533"/>
      <c r="BH510" s="533"/>
      <c r="BI510" s="500"/>
    </row>
    <row r="511" spans="2:61" ht="16.2" x14ac:dyDescent="0.3">
      <c r="B511" s="1"/>
      <c r="D511" s="55"/>
      <c r="AT511" s="500"/>
      <c r="AU511" s="533"/>
      <c r="AV511" s="533"/>
      <c r="AW511" s="533"/>
      <c r="AX511" s="541" t="s">
        <v>26</v>
      </c>
      <c r="AY511" s="533"/>
      <c r="AZ511" s="542" t="s">
        <v>154</v>
      </c>
      <c r="BA511" s="533"/>
      <c r="BB511" s="533"/>
      <c r="BC511" s="533"/>
      <c r="BD511" s="533"/>
      <c r="BE511" s="533"/>
      <c r="BF511" s="533"/>
      <c r="BG511" s="533"/>
      <c r="BH511" s="533"/>
      <c r="BI511" s="500"/>
    </row>
    <row r="512" spans="2:61" x14ac:dyDescent="0.3">
      <c r="B512" s="1"/>
      <c r="D512" s="55"/>
      <c r="AT512" s="500"/>
      <c r="AU512" s="533"/>
      <c r="AV512" s="533"/>
      <c r="AW512" s="533"/>
      <c r="AX512" s="533"/>
      <c r="AY512" s="533"/>
      <c r="AZ512" s="533"/>
      <c r="BA512" s="533"/>
      <c r="BB512" s="533"/>
      <c r="BC512" s="533"/>
      <c r="BD512" s="533"/>
      <c r="BE512" s="533"/>
      <c r="BF512" s="533"/>
      <c r="BG512" s="533"/>
      <c r="BH512" s="533"/>
      <c r="BI512" s="500"/>
    </row>
    <row r="513" spans="2:61" x14ac:dyDescent="0.3">
      <c r="B513" s="1"/>
      <c r="D513" s="55"/>
      <c r="AT513" s="532"/>
      <c r="AU513" s="532"/>
      <c r="AV513" s="532"/>
      <c r="AW513" s="532"/>
      <c r="AX513" s="532"/>
      <c r="AY513" s="532"/>
      <c r="AZ513" s="532"/>
      <c r="BA513" s="532"/>
      <c r="BB513" s="532"/>
      <c r="BC513" s="532"/>
      <c r="BD513" s="532"/>
      <c r="BE513" s="532"/>
      <c r="BF513" s="532"/>
      <c r="BG513" s="532"/>
      <c r="BH513" s="532"/>
      <c r="BI513" s="532"/>
    </row>
    <row r="514" spans="2:61" x14ac:dyDescent="0.3">
      <c r="B514" s="1"/>
      <c r="D514" s="55"/>
    </row>
    <row r="515" spans="2:61" x14ac:dyDescent="0.3">
      <c r="B515" s="1"/>
      <c r="D515" s="55"/>
      <c r="AS515" s="61"/>
      <c r="AT515" s="500"/>
      <c r="AU515" s="500"/>
      <c r="AV515" s="500"/>
      <c r="AW515" s="500"/>
      <c r="AX515" s="500"/>
      <c r="AY515" s="500"/>
      <c r="AZ515" s="500"/>
      <c r="BA515" s="500"/>
      <c r="BB515" s="500"/>
      <c r="BC515" s="500"/>
      <c r="BD515" s="500"/>
      <c r="BE515" s="500"/>
      <c r="BF515" s="500"/>
      <c r="BG515" s="500"/>
      <c r="BH515" s="500"/>
      <c r="BI515" s="500"/>
    </row>
    <row r="516" spans="2:61" x14ac:dyDescent="0.3">
      <c r="B516" s="1"/>
      <c r="D516" s="55"/>
      <c r="AT516" s="500"/>
      <c r="AU516" s="550"/>
      <c r="AV516" s="550"/>
      <c r="AW516" s="550"/>
      <c r="AX516" s="550"/>
      <c r="AY516" s="550"/>
      <c r="AZ516" s="550"/>
      <c r="BA516" s="550"/>
      <c r="BB516" s="550"/>
      <c r="BC516" s="550"/>
      <c r="BD516" s="550"/>
      <c r="BE516" s="550"/>
      <c r="BF516" s="550"/>
      <c r="BG516" s="550"/>
      <c r="BH516" s="550"/>
      <c r="BI516" s="500"/>
    </row>
    <row r="517" spans="2:61" ht="15" thickBot="1" x14ac:dyDescent="0.35">
      <c r="B517" s="1"/>
      <c r="D517" s="55"/>
      <c r="AT517" s="500"/>
      <c r="AU517" s="550"/>
      <c r="AV517" s="623" t="s">
        <v>160</v>
      </c>
      <c r="AW517" s="623"/>
      <c r="AX517" s="623"/>
      <c r="AY517" s="551"/>
      <c r="AZ517" s="551"/>
      <c r="BA517" s="552" t="s">
        <v>23</v>
      </c>
      <c r="BB517" s="553"/>
      <c r="BC517" s="552" t="s">
        <v>3</v>
      </c>
      <c r="BD517" s="553"/>
      <c r="BE517" s="552" t="s">
        <v>20</v>
      </c>
      <c r="BF517" s="553"/>
      <c r="BG517" s="552" t="s">
        <v>21</v>
      </c>
      <c r="BH517" s="550"/>
      <c r="BI517" s="500"/>
    </row>
    <row r="518" spans="2:61" x14ac:dyDescent="0.3">
      <c r="B518" s="1"/>
      <c r="AT518" s="500"/>
      <c r="AU518" s="550"/>
      <c r="AV518" s="551" t="s">
        <v>143</v>
      </c>
      <c r="AW518" s="551"/>
      <c r="AX518" s="551"/>
      <c r="AY518" s="551"/>
      <c r="AZ518" s="551"/>
      <c r="BA518" s="554">
        <f>+BK275</f>
        <v>13351981</v>
      </c>
      <c r="BB518" s="551"/>
      <c r="BC518" s="551"/>
      <c r="BD518" s="551"/>
      <c r="BE518" s="555">
        <f>+N143</f>
        <v>1970617</v>
      </c>
      <c r="BF518" s="551"/>
      <c r="BG518" s="556">
        <f>+BE518/BA518</f>
        <v>0.14758985951223269</v>
      </c>
      <c r="BH518" s="550"/>
      <c r="BI518" s="500"/>
    </row>
    <row r="519" spans="2:61" x14ac:dyDescent="0.3">
      <c r="B519" s="1"/>
      <c r="AT519" s="500"/>
      <c r="AU519" s="550"/>
      <c r="AV519" s="551"/>
      <c r="AW519" s="551"/>
      <c r="AX519" s="551"/>
      <c r="AY519" s="551"/>
      <c r="AZ519" s="551"/>
      <c r="BA519" s="554"/>
      <c r="BB519" s="551"/>
      <c r="BC519" s="551"/>
      <c r="BD519" s="551"/>
      <c r="BE519" s="551"/>
      <c r="BF519" s="551"/>
      <c r="BG519" s="556"/>
      <c r="BH519" s="550"/>
      <c r="BI519" s="500"/>
    </row>
    <row r="520" spans="2:61" x14ac:dyDescent="0.3">
      <c r="B520" s="1"/>
      <c r="AT520" s="500"/>
      <c r="AU520" s="550"/>
      <c r="AV520" s="551" t="s">
        <v>159</v>
      </c>
      <c r="AW520" s="551"/>
      <c r="AX520" s="551"/>
      <c r="AY520" s="551"/>
      <c r="AZ520" s="551"/>
      <c r="BA520" s="554">
        <v>52440389</v>
      </c>
      <c r="BB520" s="551"/>
      <c r="BC520" s="556">
        <f>+(BA520-BA518)/BA518</f>
        <v>2.9275362210296736</v>
      </c>
      <c r="BD520" s="551"/>
      <c r="BE520" s="555">
        <f>+N273</f>
        <v>1462688</v>
      </c>
      <c r="BF520" s="551"/>
      <c r="BG520" s="556">
        <f>+BE520/BA520</f>
        <v>2.7892394162064665E-2</v>
      </c>
      <c r="BH520" s="550"/>
      <c r="BI520" s="500"/>
    </row>
    <row r="521" spans="2:61" x14ac:dyDescent="0.3">
      <c r="B521" s="1"/>
      <c r="AT521" s="500"/>
      <c r="AU521" s="550"/>
      <c r="AV521" s="551"/>
      <c r="AW521" s="551"/>
      <c r="AX521" s="551"/>
      <c r="AY521" s="551"/>
      <c r="AZ521" s="551"/>
      <c r="BA521" s="554"/>
      <c r="BB521" s="551"/>
      <c r="BC521" s="551"/>
      <c r="BD521" s="551"/>
      <c r="BE521" s="551"/>
      <c r="BF521" s="551"/>
      <c r="BG521" s="551"/>
      <c r="BH521" s="550"/>
      <c r="BI521" s="500"/>
    </row>
    <row r="522" spans="2:61" x14ac:dyDescent="0.3">
      <c r="B522" s="1"/>
      <c r="AT522" s="500"/>
      <c r="AU522" s="550"/>
      <c r="AV522" s="624" t="s">
        <v>105</v>
      </c>
      <c r="AW522" s="624"/>
      <c r="AX522" s="624"/>
      <c r="AY522" s="624"/>
      <c r="AZ522" s="551"/>
      <c r="BA522" s="555">
        <f>+BA520-BA518</f>
        <v>39088408</v>
      </c>
      <c r="BB522" s="551"/>
      <c r="BC522" s="551"/>
      <c r="BD522" s="551"/>
      <c r="BE522" s="555">
        <f>+BE520-BE518</f>
        <v>-507929</v>
      </c>
      <c r="BF522" s="551"/>
      <c r="BG522" s="558"/>
      <c r="BH522" s="550"/>
      <c r="BI522" s="500"/>
    </row>
    <row r="523" spans="2:61" x14ac:dyDescent="0.3">
      <c r="B523" s="1"/>
      <c r="AT523" s="500"/>
      <c r="AU523" s="550"/>
      <c r="AV523" s="550"/>
      <c r="AW523" s="550"/>
      <c r="AX523" s="550"/>
      <c r="AY523" s="550"/>
      <c r="AZ523" s="550"/>
      <c r="BA523" s="550"/>
      <c r="BB523" s="550"/>
      <c r="BC523" s="550"/>
      <c r="BD523" s="550"/>
      <c r="BE523" s="550"/>
      <c r="BF523" s="550"/>
      <c r="BG523" s="550"/>
      <c r="BH523" s="550"/>
      <c r="BI523" s="500"/>
    </row>
    <row r="524" spans="2:61" x14ac:dyDescent="0.3">
      <c r="B524" s="1"/>
      <c r="AT524" s="500"/>
      <c r="AU524" s="500"/>
      <c r="AV524" s="500"/>
      <c r="AW524" s="500"/>
      <c r="AX524" s="500"/>
      <c r="AY524" s="500"/>
      <c r="AZ524" s="500"/>
      <c r="BA524" s="500"/>
      <c r="BB524" s="500"/>
      <c r="BC524" s="500"/>
      <c r="BD524" s="500"/>
      <c r="BE524" s="557"/>
      <c r="BF524" s="500"/>
      <c r="BG524" s="507"/>
      <c r="BH524" s="500"/>
      <c r="BI524" s="500"/>
    </row>
    <row r="525" spans="2:61" x14ac:dyDescent="0.3">
      <c r="B525" s="1"/>
    </row>
    <row r="526" spans="2:61" x14ac:dyDescent="0.3">
      <c r="B526" s="1"/>
    </row>
    <row r="527" spans="2:61" x14ac:dyDescent="0.3">
      <c r="B527" s="1"/>
      <c r="H527" s="1">
        <v>4000000</v>
      </c>
      <c r="AR527" s="500"/>
      <c r="AS527" s="500"/>
      <c r="AT527" s="500"/>
      <c r="AU527" s="500"/>
      <c r="AV527" s="500"/>
      <c r="AW527" s="500"/>
      <c r="AX527" s="500"/>
      <c r="AY527" s="500"/>
      <c r="AZ527" s="500"/>
      <c r="BA527" s="500"/>
      <c r="BB527" s="500"/>
      <c r="BC527" s="500"/>
      <c r="BD527" s="500"/>
      <c r="BE527" s="500"/>
      <c r="BF527" s="500"/>
      <c r="BG527" s="500"/>
      <c r="BH527" s="500"/>
      <c r="BI527" s="500"/>
    </row>
    <row r="528" spans="2:61" ht="15.6" x14ac:dyDescent="0.3">
      <c r="B528" s="1"/>
      <c r="H528" s="1"/>
      <c r="AR528" s="500"/>
      <c r="AS528" s="630" t="s">
        <v>171</v>
      </c>
      <c r="AT528" s="630"/>
      <c r="AU528" s="630"/>
      <c r="AV528" s="630"/>
      <c r="AW528" s="630"/>
      <c r="AX528" s="630"/>
      <c r="AY528" s="630"/>
      <c r="AZ528" s="630"/>
      <c r="BA528" s="630"/>
      <c r="BB528" s="630"/>
      <c r="BC528" s="630"/>
      <c r="BD528" s="630"/>
      <c r="BE528" s="630"/>
      <c r="BF528" s="630"/>
      <c r="BG528" s="630"/>
      <c r="BH528" s="630"/>
      <c r="BI528" s="500"/>
    </row>
    <row r="529" spans="4:68" x14ac:dyDescent="0.3">
      <c r="H529" s="1">
        <f>+H527/7</f>
        <v>571428.57142857148</v>
      </c>
      <c r="AR529" s="500"/>
      <c r="AS529" s="533"/>
      <c r="AT529" s="561"/>
      <c r="AU529" s="561"/>
      <c r="AV529" s="561"/>
      <c r="AW529" s="561"/>
      <c r="AX529" s="561"/>
      <c r="AY529" s="561"/>
      <c r="AZ529" s="561"/>
      <c r="BA529" s="561"/>
      <c r="BB529" s="561"/>
      <c r="BC529" s="561"/>
      <c r="BD529" s="561"/>
      <c r="BE529" s="625" t="s">
        <v>167</v>
      </c>
      <c r="BF529" s="561"/>
      <c r="BG529" s="589" t="s">
        <v>168</v>
      </c>
      <c r="BH529" s="533"/>
      <c r="BI529" s="500"/>
    </row>
    <row r="530" spans="4:68" x14ac:dyDescent="0.3">
      <c r="AR530" s="500"/>
      <c r="AS530" s="533"/>
      <c r="AT530" s="580" t="s">
        <v>19</v>
      </c>
      <c r="AU530" s="580"/>
      <c r="AV530" s="580"/>
      <c r="AW530" s="580"/>
      <c r="AX530" s="580"/>
      <c r="AY530" s="580"/>
      <c r="AZ530" s="561"/>
      <c r="BA530" s="560" t="s">
        <v>20</v>
      </c>
      <c r="BB530" s="561"/>
      <c r="BC530" s="560" t="s">
        <v>166</v>
      </c>
      <c r="BD530" s="561"/>
      <c r="BE530" s="626"/>
      <c r="BF530" s="561"/>
      <c r="BG530" s="587"/>
      <c r="BH530" s="533"/>
      <c r="BI530" s="500"/>
    </row>
    <row r="531" spans="4:68" x14ac:dyDescent="0.3">
      <c r="H531" t="s">
        <v>169</v>
      </c>
      <c r="J531">
        <v>28</v>
      </c>
      <c r="N531" s="1">
        <f>+H529*J531</f>
        <v>16000000.000000002</v>
      </c>
      <c r="AR531" s="500"/>
      <c r="AS531" s="533"/>
      <c r="AT531" s="578" t="s">
        <v>162</v>
      </c>
      <c r="AU531" s="578"/>
      <c r="AV531" s="578"/>
      <c r="AW531" s="578"/>
      <c r="AX531" s="578"/>
      <c r="AY531" s="561"/>
      <c r="AZ531" s="561"/>
      <c r="BA531" s="562">
        <f>+H174</f>
        <v>6826001</v>
      </c>
      <c r="BB531" s="561"/>
      <c r="BC531" s="561">
        <v>10</v>
      </c>
      <c r="BD531" s="561"/>
      <c r="BE531" s="563">
        <f>+BA531*BC531</f>
        <v>68260010</v>
      </c>
      <c r="BF531" s="561"/>
      <c r="BG531" s="561"/>
      <c r="BH531" s="533"/>
      <c r="BI531" s="500"/>
      <c r="BP531" s="56">
        <f>+BE531-BA531</f>
        <v>61434009</v>
      </c>
    </row>
    <row r="532" spans="4:68" x14ac:dyDescent="0.3">
      <c r="D532" s="56">
        <f>+N531+N532</f>
        <v>33714285.714285716</v>
      </c>
      <c r="H532" t="s">
        <v>170</v>
      </c>
      <c r="J532">
        <v>31</v>
      </c>
      <c r="N532" s="1">
        <f>+J532*H$529</f>
        <v>17714285.714285716</v>
      </c>
      <c r="AR532" s="500"/>
      <c r="AS532" s="533"/>
      <c r="AT532" s="578" t="s">
        <v>172</v>
      </c>
      <c r="AU532" s="578"/>
      <c r="AV532" s="578"/>
      <c r="AW532" s="578"/>
      <c r="AX532" s="578"/>
      <c r="AY532" s="561"/>
      <c r="AZ532" s="561"/>
      <c r="BA532" s="562">
        <f>+BA544-BA531</f>
        <v>3109228</v>
      </c>
      <c r="BB532" s="561"/>
      <c r="BC532" s="561">
        <v>5</v>
      </c>
      <c r="BD532" s="561"/>
      <c r="BE532" s="563">
        <f>+BA532*BC532</f>
        <v>15546140</v>
      </c>
      <c r="BF532" s="561"/>
      <c r="BG532" s="561"/>
      <c r="BH532" s="533"/>
      <c r="BI532" s="500"/>
      <c r="BP532" s="56">
        <f>+BE532-BA532</f>
        <v>12436912</v>
      </c>
    </row>
    <row r="533" spans="4:68" x14ac:dyDescent="0.3">
      <c r="D533" s="56">
        <f>+D532+N533</f>
        <v>50857142.857142866</v>
      </c>
      <c r="H533" t="s">
        <v>138</v>
      </c>
      <c r="J533">
        <v>30</v>
      </c>
      <c r="N533" s="1">
        <f>+J533*H$529</f>
        <v>17142857.142857146</v>
      </c>
      <c r="AR533" s="500"/>
      <c r="AS533" s="533"/>
      <c r="AT533" s="578" t="s">
        <v>163</v>
      </c>
      <c r="AU533" s="578"/>
      <c r="AV533" s="578"/>
      <c r="AW533" s="578"/>
      <c r="AX533" s="578"/>
      <c r="AY533" s="578"/>
      <c r="AZ533" s="578"/>
      <c r="BA533" s="562">
        <f>+BA546-BA544</f>
        <v>16784558</v>
      </c>
      <c r="BB533" s="561"/>
      <c r="BC533" s="561">
        <v>1</v>
      </c>
      <c r="BD533" s="561"/>
      <c r="BE533" s="563">
        <f>+BC533*BA533</f>
        <v>16784558</v>
      </c>
      <c r="BF533" s="561"/>
      <c r="BG533" s="561"/>
      <c r="BH533" s="533"/>
      <c r="BI533" s="500"/>
      <c r="BP533" s="56">
        <f>+BE533-BA533</f>
        <v>0</v>
      </c>
    </row>
    <row r="534" spans="4:68" x14ac:dyDescent="0.3">
      <c r="D534" s="56">
        <f>+D533+N534</f>
        <v>68571428.571428582</v>
      </c>
      <c r="H534" t="s">
        <v>139</v>
      </c>
      <c r="J534">
        <v>31</v>
      </c>
      <c r="N534" s="1">
        <f>+J534*H$529</f>
        <v>17714285.714285716</v>
      </c>
      <c r="AR534" s="500"/>
      <c r="AS534" s="533"/>
      <c r="AT534" s="569" t="s">
        <v>184</v>
      </c>
      <c r="AU534" s="561"/>
      <c r="AV534" s="561"/>
      <c r="AW534" s="561"/>
      <c r="AX534" s="561"/>
      <c r="AY534" s="561"/>
      <c r="AZ534" s="561"/>
      <c r="BA534" s="562">
        <f>SUM(D328:D386)</f>
        <v>4197929</v>
      </c>
      <c r="BB534" s="561"/>
      <c r="BC534" s="561">
        <v>1</v>
      </c>
      <c r="BD534" s="561"/>
      <c r="BE534" s="563">
        <f>+BC534*BA534</f>
        <v>4197929</v>
      </c>
      <c r="BF534" s="561"/>
      <c r="BG534" s="561"/>
      <c r="BH534" s="533"/>
      <c r="BI534" s="500"/>
      <c r="BP534" s="56">
        <f>+BE534-BA534</f>
        <v>0</v>
      </c>
    </row>
    <row r="535" spans="4:68" x14ac:dyDescent="0.3">
      <c r="D535" s="56"/>
      <c r="N535" s="1"/>
      <c r="AR535" s="500"/>
      <c r="AS535" s="533"/>
      <c r="AT535" s="569" t="s">
        <v>189</v>
      </c>
      <c r="AU535" s="561"/>
      <c r="AV535" s="561"/>
      <c r="AW535" s="561"/>
      <c r="AX535" s="561"/>
      <c r="AY535" s="561"/>
      <c r="AZ535" s="561"/>
      <c r="BA535" s="562">
        <f>SUM(D387:D439)</f>
        <v>2595996</v>
      </c>
      <c r="BB535" s="561"/>
      <c r="BC535" s="561">
        <v>1</v>
      </c>
      <c r="BD535" s="561"/>
      <c r="BE535" s="563">
        <f>+BC535*BA535</f>
        <v>2595996</v>
      </c>
      <c r="BF535" s="561"/>
      <c r="BG535" s="561"/>
      <c r="BH535" s="533"/>
      <c r="BI535" s="500"/>
      <c r="BP535" s="56"/>
    </row>
    <row r="536" spans="4:68" x14ac:dyDescent="0.3">
      <c r="AR536" s="500"/>
      <c r="AS536" s="533"/>
      <c r="AT536" s="585" t="s">
        <v>165</v>
      </c>
      <c r="AU536" s="585"/>
      <c r="AV536" s="585"/>
      <c r="AW536" s="585"/>
      <c r="AX536" s="585"/>
      <c r="AY536" s="585"/>
      <c r="AZ536" s="585"/>
      <c r="BA536" s="561"/>
      <c r="BB536" s="561"/>
      <c r="BC536" s="561"/>
      <c r="BD536" s="561"/>
      <c r="BE536" s="563"/>
      <c r="BF536" s="561"/>
      <c r="BG536" s="561"/>
      <c r="BH536" s="533"/>
      <c r="BI536" s="500"/>
      <c r="BP536" s="56">
        <f>+BA534-BA535</f>
        <v>1601933</v>
      </c>
    </row>
    <row r="537" spans="4:68" ht="15" thickBot="1" x14ac:dyDescent="0.35">
      <c r="D537" s="56">
        <f>+BE537+D534</f>
        <v>175956061.5714286</v>
      </c>
      <c r="H537" s="59">
        <f>+D537/320000000</f>
        <v>0.54986269241071439</v>
      </c>
      <c r="AR537" s="500"/>
      <c r="AS537" s="533"/>
      <c r="AT537" s="561"/>
      <c r="AU537" s="561"/>
      <c r="AV537" s="561"/>
      <c r="AW537" s="561"/>
      <c r="AX537" s="561"/>
      <c r="AY537" s="561"/>
      <c r="AZ537" s="561"/>
      <c r="BA537" s="564">
        <f>SUM(BA531:BA535)</f>
        <v>33513712</v>
      </c>
      <c r="BB537" s="561"/>
      <c r="BC537" s="561"/>
      <c r="BD537" s="561"/>
      <c r="BE537" s="564">
        <f>SUM(BE531:BE536)</f>
        <v>107384633</v>
      </c>
      <c r="BF537" s="561"/>
      <c r="BG537" s="565">
        <f>+BE537/320000000</f>
        <v>0.33557697812499998</v>
      </c>
      <c r="BH537" s="533"/>
      <c r="BI537" s="500"/>
      <c r="BP537" s="59">
        <f>+BP536/BA534</f>
        <v>0.38160078457734753</v>
      </c>
    </row>
    <row r="538" spans="4:68" ht="15" thickTop="1" x14ac:dyDescent="0.3">
      <c r="D538" s="56"/>
      <c r="H538" s="59"/>
      <c r="AR538" s="500"/>
      <c r="AS538" s="533"/>
      <c r="AT538" s="575" t="s">
        <v>186</v>
      </c>
      <c r="AU538" s="561"/>
      <c r="AV538" s="561"/>
      <c r="AW538" s="561"/>
      <c r="AX538" s="561"/>
      <c r="AY538" s="561"/>
      <c r="AZ538" s="561"/>
      <c r="BA538" s="484">
        <f>+BY557</f>
        <v>0.39159638554216869</v>
      </c>
      <c r="BB538" s="561"/>
      <c r="BC538" s="561"/>
      <c r="BD538" s="561"/>
      <c r="BE538" s="574"/>
      <c r="BF538" s="561"/>
      <c r="BG538" s="484"/>
      <c r="BH538" s="533"/>
      <c r="BI538" s="500"/>
      <c r="BP538" s="59"/>
    </row>
    <row r="539" spans="4:68" x14ac:dyDescent="0.3">
      <c r="D539" s="56"/>
      <c r="H539" s="59"/>
      <c r="AR539" s="500"/>
      <c r="AS539" s="533"/>
      <c r="AT539" s="575" t="s">
        <v>188</v>
      </c>
      <c r="AU539" s="561"/>
      <c r="AV539" s="561"/>
      <c r="AW539" s="561"/>
      <c r="AX539" s="561"/>
      <c r="AY539" s="561"/>
      <c r="AZ539" s="561"/>
      <c r="BA539" s="576">
        <f>+BA537*BA538</f>
        <v>13123848.485301206</v>
      </c>
      <c r="BB539" s="561"/>
      <c r="BC539" s="561"/>
      <c r="BD539" s="561"/>
      <c r="BE539" s="574"/>
      <c r="BF539" s="561"/>
      <c r="BG539" s="484"/>
      <c r="BH539" s="533"/>
      <c r="BI539" s="500"/>
      <c r="BP539" s="59"/>
    </row>
    <row r="540" spans="4:68" ht="15" thickBot="1" x14ac:dyDescent="0.35">
      <c r="D540" s="56"/>
      <c r="H540" s="59"/>
      <c r="AR540" s="500"/>
      <c r="AS540" s="533"/>
      <c r="AT540" s="575" t="s">
        <v>187</v>
      </c>
      <c r="AU540" s="561"/>
      <c r="AV540" s="561"/>
      <c r="AW540" s="561"/>
      <c r="AX540" s="561"/>
      <c r="AY540" s="561"/>
      <c r="AZ540" s="561"/>
      <c r="BA540" s="564">
        <f>+BA537-BA539</f>
        <v>20389863.514698796</v>
      </c>
      <c r="BB540" s="561"/>
      <c r="BC540" s="561"/>
      <c r="BD540" s="561"/>
      <c r="BE540" s="574"/>
      <c r="BF540" s="561"/>
      <c r="BG540" s="484"/>
      <c r="BH540" s="533"/>
      <c r="BI540" s="500"/>
      <c r="BP540" s="59"/>
    </row>
    <row r="541" spans="4:68" ht="15" thickTop="1" x14ac:dyDescent="0.3">
      <c r="AR541" s="500"/>
      <c r="AS541" s="533"/>
      <c r="AT541" s="561"/>
      <c r="AU541" s="561"/>
      <c r="AV541" s="561"/>
      <c r="AW541" s="561"/>
      <c r="AX541" s="561"/>
      <c r="AY541" s="561"/>
      <c r="AZ541" s="561"/>
      <c r="BA541" s="561"/>
      <c r="BB541" s="561"/>
      <c r="BC541" s="561"/>
      <c r="BD541" s="561"/>
      <c r="BE541" s="561"/>
      <c r="BF541" s="561"/>
      <c r="BG541" s="561"/>
      <c r="BH541" s="533"/>
      <c r="BI541" s="500"/>
    </row>
    <row r="542" spans="4:68" x14ac:dyDescent="0.3">
      <c r="AR542" s="500"/>
      <c r="AS542" s="500"/>
      <c r="AT542" s="500"/>
      <c r="AU542" s="500"/>
      <c r="AV542" s="500"/>
      <c r="AW542" s="500"/>
      <c r="AX542" s="500"/>
      <c r="AY542" s="500"/>
      <c r="AZ542" s="500"/>
      <c r="BA542" s="500"/>
      <c r="BB542" s="500"/>
      <c r="BC542" s="500"/>
      <c r="BD542" s="500"/>
      <c r="BE542" s="500"/>
      <c r="BF542" s="500"/>
      <c r="BG542" s="500"/>
      <c r="BH542" s="500"/>
      <c r="BI542" s="500"/>
    </row>
    <row r="544" spans="4:68" x14ac:dyDescent="0.3">
      <c r="AV544" t="s">
        <v>153</v>
      </c>
      <c r="BA544" s="56">
        <f>+H235</f>
        <v>9935229</v>
      </c>
    </row>
    <row r="546" spans="44:90" x14ac:dyDescent="0.3">
      <c r="AV546" t="s">
        <v>164</v>
      </c>
      <c r="BA546" s="56">
        <f>+H327</f>
        <v>26719787</v>
      </c>
    </row>
    <row r="547" spans="44:90" x14ac:dyDescent="0.3">
      <c r="BA547" s="56"/>
    </row>
    <row r="548" spans="44:90" x14ac:dyDescent="0.3">
      <c r="AR548" s="500"/>
      <c r="AS548" s="500"/>
      <c r="AT548" s="500"/>
      <c r="AU548" s="500"/>
      <c r="AV548" s="500"/>
      <c r="AW548" s="500"/>
      <c r="AX548" s="500"/>
      <c r="AY548" s="500"/>
      <c r="AZ548" s="500"/>
      <c r="BA548" s="557"/>
      <c r="BB548" s="500"/>
      <c r="BC548" s="500"/>
      <c r="BD548" s="500"/>
      <c r="BE548" s="500"/>
      <c r="BF548" s="500"/>
      <c r="BG548" s="500"/>
      <c r="BH548" s="500"/>
      <c r="BI548" s="500"/>
      <c r="BJ548" s="500"/>
      <c r="BK548" s="500"/>
      <c r="BL548" s="500"/>
      <c r="BM548" s="500"/>
      <c r="BN548" s="500"/>
      <c r="BO548" s="500"/>
      <c r="BP548" s="500"/>
      <c r="BQ548" s="500"/>
      <c r="BR548" s="500"/>
      <c r="BS548" s="500"/>
      <c r="BT548" s="500"/>
      <c r="BU548" s="500"/>
      <c r="BV548" s="500"/>
      <c r="BW548" s="500"/>
    </row>
    <row r="549" spans="44:90" ht="14.4" customHeight="1" x14ac:dyDescent="0.3">
      <c r="AR549" s="500"/>
      <c r="AS549" s="533"/>
      <c r="AT549" s="580" t="s">
        <v>177</v>
      </c>
      <c r="AU549" s="580"/>
      <c r="AV549" s="580"/>
      <c r="AW549" s="580"/>
      <c r="AX549" s="580"/>
      <c r="AY549" s="580"/>
      <c r="AZ549" s="580"/>
      <c r="BA549" s="580"/>
      <c r="BB549" s="580"/>
      <c r="BC549" s="580"/>
      <c r="BD549" s="580"/>
      <c r="BE549" s="580"/>
      <c r="BF549" s="580"/>
      <c r="BG549" s="580"/>
      <c r="BH549" s="580"/>
      <c r="BI549" s="580"/>
      <c r="BJ549" s="580"/>
      <c r="BK549" s="580"/>
      <c r="BL549" s="580"/>
      <c r="BM549" s="580"/>
      <c r="BN549" s="580"/>
      <c r="BO549" s="580"/>
      <c r="BP549" s="580"/>
      <c r="BQ549" s="580"/>
      <c r="BR549" s="580"/>
      <c r="BS549" s="580"/>
      <c r="BT549" s="580"/>
      <c r="BU549" s="580"/>
      <c r="BV549" s="580"/>
      <c r="BW549" s="500"/>
    </row>
    <row r="550" spans="44:90" ht="14.4" customHeight="1" x14ac:dyDescent="0.3">
      <c r="AR550" s="500"/>
      <c r="AS550" s="533"/>
      <c r="AT550" s="533"/>
      <c r="AU550" s="533"/>
      <c r="AV550" s="533"/>
      <c r="AW550" s="533"/>
      <c r="AX550" s="533"/>
      <c r="AY550" s="533"/>
      <c r="AZ550" s="533"/>
      <c r="BA550" s="579" t="s">
        <v>173</v>
      </c>
      <c r="BB550" s="579"/>
      <c r="BC550" s="579"/>
      <c r="BD550" s="579"/>
      <c r="BE550" s="579"/>
      <c r="BF550" s="561"/>
      <c r="BG550" s="580" t="s">
        <v>181</v>
      </c>
      <c r="BH550" s="580"/>
      <c r="BI550" s="580"/>
      <c r="BJ550" s="580"/>
      <c r="BK550" s="580"/>
      <c r="BL550" s="580"/>
      <c r="BM550" s="580"/>
      <c r="BN550" s="580"/>
      <c r="BO550" s="580"/>
      <c r="BP550" s="580"/>
      <c r="BQ550" s="533"/>
      <c r="BR550" s="586" t="s">
        <v>177</v>
      </c>
      <c r="BS550" s="586"/>
      <c r="BT550" s="586"/>
      <c r="BU550" s="586"/>
      <c r="BV550" s="586"/>
      <c r="BW550" s="500"/>
    </row>
    <row r="551" spans="44:90" x14ac:dyDescent="0.3">
      <c r="AR551" s="500"/>
      <c r="AS551" s="533"/>
      <c r="AT551" s="533"/>
      <c r="AU551" s="533"/>
      <c r="AV551" s="533"/>
      <c r="AW551" s="533"/>
      <c r="AX551" s="533"/>
      <c r="AY551" s="533"/>
      <c r="AZ551" s="533"/>
      <c r="BA551" s="570" t="s">
        <v>178</v>
      </c>
      <c r="BB551" s="571"/>
      <c r="BC551" s="572" t="s">
        <v>183</v>
      </c>
      <c r="BD551" s="571"/>
      <c r="BE551" s="572" t="s">
        <v>179</v>
      </c>
      <c r="BF551" s="561"/>
      <c r="BG551" s="570"/>
      <c r="BH551" s="571"/>
      <c r="BI551" s="583"/>
      <c r="BJ551" s="583"/>
      <c r="BK551" s="583"/>
      <c r="BL551" s="583"/>
      <c r="BM551" s="583"/>
      <c r="BN551" s="583"/>
      <c r="BO551" s="473"/>
      <c r="BP551" s="572"/>
      <c r="BQ551" s="533"/>
      <c r="BR551" s="587"/>
      <c r="BS551" s="587"/>
      <c r="BT551" s="587"/>
      <c r="BU551" s="587"/>
      <c r="BV551" s="587"/>
      <c r="BW551" s="500"/>
    </row>
    <row r="552" spans="44:90" x14ac:dyDescent="0.3">
      <c r="AR552" s="500"/>
      <c r="AS552" s="533"/>
      <c r="AT552" s="533"/>
      <c r="AU552" s="533"/>
      <c r="AV552" s="533"/>
      <c r="AW552" s="533"/>
      <c r="AX552" s="533"/>
      <c r="AY552" s="533"/>
      <c r="AZ552" s="533"/>
      <c r="BA552" s="568" t="s">
        <v>174</v>
      </c>
      <c r="BB552" s="566"/>
      <c r="BC552" s="568" t="s">
        <v>176</v>
      </c>
      <c r="BD552" s="566"/>
      <c r="BE552" s="568" t="s">
        <v>175</v>
      </c>
      <c r="BF552" s="561"/>
      <c r="BG552" s="567" t="s">
        <v>181</v>
      </c>
      <c r="BH552" s="561"/>
      <c r="BI552" s="581" t="s">
        <v>185</v>
      </c>
      <c r="BJ552" s="581"/>
      <c r="BK552" s="581"/>
      <c r="BL552" s="581"/>
      <c r="BM552" s="581"/>
      <c r="BN552" s="581"/>
      <c r="BO552" s="561"/>
      <c r="BP552" s="568" t="s">
        <v>182</v>
      </c>
      <c r="BQ552" s="533"/>
      <c r="BR552" s="588" t="s">
        <v>180</v>
      </c>
      <c r="BS552" s="588"/>
      <c r="BT552" s="588"/>
      <c r="BU552" s="588"/>
      <c r="BV552" s="588"/>
      <c r="BW552" s="500"/>
    </row>
    <row r="553" spans="44:90" x14ac:dyDescent="0.3">
      <c r="AR553" s="500"/>
      <c r="AS553" s="533"/>
      <c r="AT553" s="578" t="s">
        <v>162</v>
      </c>
      <c r="AU553" s="578"/>
      <c r="AV553" s="578"/>
      <c r="AW553" s="578"/>
      <c r="AX553" s="578"/>
      <c r="AY553" s="561"/>
      <c r="AZ553" s="561"/>
      <c r="BA553" s="562">
        <f>+BA531</f>
        <v>6826001</v>
      </c>
      <c r="BB553" s="561"/>
      <c r="BC553" s="562">
        <f>+BE553-BA553</f>
        <v>61434009</v>
      </c>
      <c r="BD553" s="561"/>
      <c r="BE553" s="562">
        <f>+BE531</f>
        <v>68260010</v>
      </c>
      <c r="BF553" s="533"/>
      <c r="BG553" s="563">
        <v>0</v>
      </c>
      <c r="BH553" s="563"/>
      <c r="BI553" s="563"/>
      <c r="BJ553" s="563"/>
      <c r="BK553" s="563"/>
      <c r="BL553" s="563"/>
      <c r="BM553" s="563"/>
      <c r="BN553" s="563">
        <f>+BG553</f>
        <v>0</v>
      </c>
      <c r="BO553" s="563"/>
      <c r="BP553" s="563">
        <f>+BN553*0.5</f>
        <v>0</v>
      </c>
      <c r="BQ553" s="561"/>
      <c r="BR553" s="584">
        <f>+BE553+BP553</f>
        <v>68260010</v>
      </c>
      <c r="BS553" s="585"/>
      <c r="BT553" s="585"/>
      <c r="BU553" s="585"/>
      <c r="BV553" s="585"/>
      <c r="BW553" s="500"/>
    </row>
    <row r="554" spans="44:90" x14ac:dyDescent="0.3">
      <c r="AR554" s="500"/>
      <c r="AS554" s="533"/>
      <c r="AT554" s="578" t="s">
        <v>172</v>
      </c>
      <c r="AU554" s="578"/>
      <c r="AV554" s="578"/>
      <c r="AW554" s="578"/>
      <c r="AX554" s="578"/>
      <c r="AY554" s="561"/>
      <c r="AZ554" s="561"/>
      <c r="BA554" s="562">
        <f>+BA553+BA532</f>
        <v>9935229</v>
      </c>
      <c r="BB554" s="561"/>
      <c r="BC554" s="562">
        <f>+BE554-BA554</f>
        <v>73870921</v>
      </c>
      <c r="BD554" s="561"/>
      <c r="BE554" s="562">
        <f>+BE553+BE532</f>
        <v>83806150</v>
      </c>
      <c r="BF554" s="533"/>
      <c r="BG554" s="563">
        <v>0</v>
      </c>
      <c r="BH554" s="563"/>
      <c r="BI554" s="563"/>
      <c r="BJ554" s="563"/>
      <c r="BK554" s="563"/>
      <c r="BL554" s="563"/>
      <c r="BM554" s="563"/>
      <c r="BN554" s="563">
        <f>+BN553+BG554</f>
        <v>0</v>
      </c>
      <c r="BO554" s="563"/>
      <c r="BP554" s="563">
        <f>+BN554*0.5</f>
        <v>0</v>
      </c>
      <c r="BQ554" s="561"/>
      <c r="BR554" s="584">
        <f>+BE554+BP554</f>
        <v>83806150</v>
      </c>
      <c r="BS554" s="585"/>
      <c r="BT554" s="585"/>
      <c r="BU554" s="585"/>
      <c r="BV554" s="585"/>
      <c r="BW554" s="500"/>
    </row>
    <row r="555" spans="44:90" x14ac:dyDescent="0.3">
      <c r="AR555" s="500"/>
      <c r="AS555" s="533"/>
      <c r="AT555" s="578" t="s">
        <v>163</v>
      </c>
      <c r="AU555" s="578"/>
      <c r="AV555" s="578"/>
      <c r="AW555" s="578"/>
      <c r="AX555" s="578"/>
      <c r="AY555" s="578"/>
      <c r="AZ555" s="578"/>
      <c r="BA555" s="562">
        <f>+BA554+BA533</f>
        <v>26719787</v>
      </c>
      <c r="BB555" s="561"/>
      <c r="BC555" s="562">
        <f>+BE555-BA555</f>
        <v>73870921</v>
      </c>
      <c r="BD555" s="561"/>
      <c r="BE555" s="562">
        <f>+BE554+BE533</f>
        <v>100590708</v>
      </c>
      <c r="BF555" s="533"/>
      <c r="BG555" s="563">
        <f>13400000+5660000</f>
        <v>19060000</v>
      </c>
      <c r="BH555" s="563"/>
      <c r="BI555" s="582"/>
      <c r="BJ555" s="582"/>
      <c r="BK555" s="582"/>
      <c r="BL555" s="582"/>
      <c r="BM555" s="582"/>
      <c r="BN555" s="582"/>
      <c r="BO555" s="563"/>
      <c r="BP555" s="563">
        <f>+BG555</f>
        <v>19060000</v>
      </c>
      <c r="BQ555" s="561"/>
      <c r="BR555" s="584">
        <f>+BE555+BP555</f>
        <v>119650708</v>
      </c>
      <c r="BS555" s="585"/>
      <c r="BT555" s="585"/>
      <c r="BU555" s="585"/>
      <c r="BV555" s="585"/>
      <c r="BW555" s="500"/>
    </row>
    <row r="556" spans="44:90" x14ac:dyDescent="0.3">
      <c r="AR556" s="500"/>
      <c r="AS556" s="533"/>
      <c r="AT556" s="569" t="s">
        <v>184</v>
      </c>
      <c r="AU556" s="561"/>
      <c r="AV556" s="561"/>
      <c r="AW556" s="561"/>
      <c r="AX556" s="561"/>
      <c r="AY556" s="561"/>
      <c r="AZ556" s="561"/>
      <c r="BA556" s="562">
        <f>+BA555+BA534</f>
        <v>30917716</v>
      </c>
      <c r="BB556" s="561"/>
      <c r="BC556" s="562">
        <f>+BE556-BA556</f>
        <v>73870921</v>
      </c>
      <c r="BD556" s="561"/>
      <c r="BE556" s="562">
        <f>+BE555+BE534</f>
        <v>104788637</v>
      </c>
      <c r="BF556" s="533"/>
      <c r="BG556" s="563">
        <f>53420000-BG555</f>
        <v>34360000</v>
      </c>
      <c r="BH556" s="563"/>
      <c r="BI556" s="582"/>
      <c r="BJ556" s="582"/>
      <c r="BK556" s="582"/>
      <c r="BL556" s="582"/>
      <c r="BM556" s="582"/>
      <c r="BN556" s="582"/>
      <c r="BO556" s="563"/>
      <c r="BP556" s="563">
        <f>+BP555+BG556</f>
        <v>53420000</v>
      </c>
      <c r="BQ556" s="561"/>
      <c r="BR556" s="584">
        <f>+BE556+BP556</f>
        <v>158208637</v>
      </c>
      <c r="BS556" s="585"/>
      <c r="BT556" s="585"/>
      <c r="BU556" s="585"/>
      <c r="BV556" s="585"/>
      <c r="BW556" s="500"/>
    </row>
    <row r="557" spans="44:90" x14ac:dyDescent="0.3">
      <c r="AR557" s="500"/>
      <c r="AS557" s="533"/>
      <c r="AT557" s="569" t="s">
        <v>189</v>
      </c>
      <c r="AU557" s="561"/>
      <c r="AV557" s="561"/>
      <c r="AW557" s="561"/>
      <c r="AX557" s="561"/>
      <c r="AY557" s="561"/>
      <c r="AZ557" s="561"/>
      <c r="BA557" s="562">
        <f>+BA540</f>
        <v>20389863.514698796</v>
      </c>
      <c r="BB557" s="561"/>
      <c r="BC557" s="562">
        <f>+BE557-BA557</f>
        <v>73870921</v>
      </c>
      <c r="BD557" s="561"/>
      <c r="BE557" s="562">
        <f>+BE556+BE535-BA539</f>
        <v>94260784.514698789</v>
      </c>
      <c r="BF557" s="533"/>
      <c r="BG557" s="563">
        <f>130010000-BP556</f>
        <v>76590000</v>
      </c>
      <c r="BH557" s="563"/>
      <c r="BI557" s="582"/>
      <c r="BJ557" s="582"/>
      <c r="BK557" s="582"/>
      <c r="BL557" s="582"/>
      <c r="BM557" s="582"/>
      <c r="BN557" s="582"/>
      <c r="BO557" s="563"/>
      <c r="BP557" s="563">
        <f>+BP556+BG557</f>
        <v>130010000</v>
      </c>
      <c r="BQ557" s="561"/>
      <c r="BR557" s="584">
        <f>+BE557+BP557</f>
        <v>224270784.5146988</v>
      </c>
      <c r="BS557" s="585"/>
      <c r="BT557" s="585"/>
      <c r="BU557" s="585"/>
      <c r="BV557" s="585"/>
      <c r="BW557" s="500"/>
      <c r="BY557" s="59">
        <f>+BP557/CL557</f>
        <v>0.39159638554216869</v>
      </c>
      <c r="CL557" s="1">
        <v>332000000</v>
      </c>
    </row>
    <row r="558" spans="44:90" x14ac:dyDescent="0.3">
      <c r="AR558" s="500"/>
      <c r="AS558" s="500"/>
      <c r="AT558" s="500"/>
      <c r="AU558" s="500"/>
      <c r="AV558" s="500"/>
      <c r="AW558" s="500"/>
      <c r="AX558" s="500"/>
      <c r="AY558" s="500"/>
      <c r="AZ558" s="500"/>
      <c r="BA558" s="500"/>
      <c r="BB558" s="500"/>
      <c r="BC558" s="500"/>
      <c r="BD558" s="500"/>
      <c r="BE558" s="500"/>
      <c r="BF558" s="500"/>
      <c r="BG558" s="500"/>
      <c r="BH558" s="500"/>
      <c r="BI558" s="500"/>
      <c r="BJ558" s="500"/>
      <c r="BK558" s="500"/>
      <c r="BL558" s="500"/>
      <c r="BM558" s="500"/>
      <c r="BN558" s="500"/>
      <c r="BO558" s="500"/>
      <c r="BP558" s="500"/>
      <c r="BQ558" s="500"/>
      <c r="BR558" s="500"/>
      <c r="BS558" s="500"/>
      <c r="BT558" s="500"/>
      <c r="BU558" s="500"/>
      <c r="BV558" s="500"/>
      <c r="BW558" s="500"/>
      <c r="CL558" s="59">
        <f>+BR557/CL557</f>
        <v>0.6755144111888518</v>
      </c>
    </row>
    <row r="560" spans="44:90" x14ac:dyDescent="0.3">
      <c r="BA560" s="56">
        <f>+BR557+BA539</f>
        <v>237394633</v>
      </c>
      <c r="BC560" s="59">
        <f>+BA560/CL557</f>
        <v>0.71504407530120484</v>
      </c>
      <c r="BE560" s="56"/>
      <c r="CL560" s="56">
        <f>+CL557-BR557</f>
        <v>107729215.4853012</v>
      </c>
    </row>
    <row r="563" spans="42:90" x14ac:dyDescent="0.3">
      <c r="CL563" s="59">
        <f>+BP557/CL557</f>
        <v>0.39159638554216869</v>
      </c>
    </row>
    <row r="565" spans="42:90" x14ac:dyDescent="0.3">
      <c r="BE565" s="500"/>
      <c r="BF565" s="500"/>
      <c r="BG565" s="500"/>
      <c r="BH565" s="500"/>
      <c r="BI565" s="500"/>
      <c r="BJ565" s="500"/>
      <c r="BK565" s="500"/>
      <c r="BL565" s="500"/>
      <c r="BM565" s="500"/>
      <c r="BN565" s="500"/>
      <c r="BO565" s="500"/>
      <c r="BP565" s="500"/>
      <c r="BQ565" s="500"/>
      <c r="BR565" s="500"/>
      <c r="BS565" s="500"/>
      <c r="BT565" s="500"/>
      <c r="BU565" s="500"/>
      <c r="BV565" s="500"/>
      <c r="BW565" s="500"/>
      <c r="BX565" s="500"/>
      <c r="BY565" s="500"/>
    </row>
    <row r="566" spans="42:90" x14ac:dyDescent="0.3">
      <c r="BE566" s="500"/>
      <c r="BF566" s="500"/>
      <c r="BG566" s="500"/>
      <c r="BH566" s="500"/>
      <c r="BI566" s="500"/>
      <c r="BJ566" s="500"/>
      <c r="BK566" s="500"/>
      <c r="BL566" s="500"/>
      <c r="BM566" s="500"/>
      <c r="BN566" s="500"/>
      <c r="BO566" s="500"/>
      <c r="BP566" s="500"/>
      <c r="BQ566" s="500"/>
      <c r="BR566" s="500"/>
      <c r="BS566" s="500"/>
      <c r="BT566" s="500"/>
      <c r="BU566" s="500"/>
      <c r="BV566" s="500"/>
      <c r="BW566" s="500"/>
      <c r="BX566" s="500"/>
      <c r="BY566" s="500"/>
    </row>
    <row r="567" spans="42:90" x14ac:dyDescent="0.3">
      <c r="AP567" s="1">
        <v>1500000</v>
      </c>
      <c r="BE567" s="500"/>
      <c r="BF567" s="500"/>
      <c r="BG567" s="500"/>
      <c r="BH567" s="500"/>
      <c r="BI567" s="500"/>
      <c r="BJ567" s="500"/>
      <c r="BK567" s="500"/>
      <c r="BL567" s="500"/>
      <c r="BM567" s="500"/>
      <c r="BN567" s="500"/>
      <c r="BO567" s="500"/>
      <c r="BP567" s="500"/>
      <c r="BQ567" s="500"/>
      <c r="BR567" s="500"/>
      <c r="BS567" s="500"/>
      <c r="BT567" s="500"/>
      <c r="BU567" s="500"/>
      <c r="BV567" s="500"/>
      <c r="BW567" s="500"/>
      <c r="BX567" s="500"/>
      <c r="BY567" s="500"/>
    </row>
    <row r="568" spans="42:90" x14ac:dyDescent="0.3">
      <c r="AP568">
        <v>7</v>
      </c>
      <c r="BE568" s="500"/>
      <c r="BY568" s="500"/>
    </row>
    <row r="569" spans="42:90" x14ac:dyDescent="0.3">
      <c r="AP569" s="1">
        <f>+AP567*AP568</f>
        <v>10500000</v>
      </c>
      <c r="BE569" s="500"/>
      <c r="BY569" s="500"/>
    </row>
    <row r="570" spans="42:90" x14ac:dyDescent="0.3">
      <c r="BE570" s="500"/>
      <c r="BY570" s="500"/>
    </row>
    <row r="571" spans="42:90" x14ac:dyDescent="0.3">
      <c r="BE571" s="500"/>
      <c r="BY571" s="500"/>
    </row>
    <row r="572" spans="42:90" x14ac:dyDescent="0.3">
      <c r="BE572" s="500"/>
      <c r="BY572" s="500"/>
    </row>
    <row r="573" spans="42:90" x14ac:dyDescent="0.3">
      <c r="BE573" s="500"/>
      <c r="BY573" s="500"/>
    </row>
    <row r="574" spans="42:90" x14ac:dyDescent="0.3">
      <c r="BE574" s="500"/>
      <c r="BY574" s="500"/>
    </row>
    <row r="575" spans="42:90" x14ac:dyDescent="0.3">
      <c r="BE575" s="500"/>
      <c r="BY575" s="500"/>
    </row>
    <row r="576" spans="42:90" x14ac:dyDescent="0.3">
      <c r="BE576" s="500"/>
      <c r="BY576" s="500"/>
    </row>
    <row r="577" spans="57:77" x14ac:dyDescent="0.3">
      <c r="BE577" s="500"/>
      <c r="BY577" s="500"/>
    </row>
    <row r="578" spans="57:77" x14ac:dyDescent="0.3">
      <c r="BE578" s="500"/>
      <c r="BY578" s="500"/>
    </row>
    <row r="579" spans="57:77" x14ac:dyDescent="0.3">
      <c r="BE579" s="500"/>
      <c r="BY579" s="500"/>
    </row>
    <row r="580" spans="57:77" x14ac:dyDescent="0.3">
      <c r="BE580" s="500"/>
      <c r="BY580" s="500"/>
    </row>
    <row r="581" spans="57:77" x14ac:dyDescent="0.3">
      <c r="BE581" s="500"/>
      <c r="BF581" s="500"/>
      <c r="BG581" s="500"/>
      <c r="BH581" s="500"/>
      <c r="BI581" s="500"/>
      <c r="BJ581" s="500"/>
      <c r="BK581" s="500"/>
      <c r="BL581" s="500"/>
      <c r="BM581" s="500"/>
      <c r="BN581" s="500"/>
      <c r="BO581" s="500"/>
      <c r="BP581" s="500"/>
      <c r="BQ581" s="500"/>
      <c r="BR581" s="500"/>
      <c r="BS581" s="500"/>
      <c r="BT581" s="500"/>
      <c r="BU581" s="500"/>
      <c r="BV581" s="500"/>
      <c r="BW581" s="500"/>
      <c r="BX581" s="500"/>
      <c r="BY581" s="500"/>
    </row>
    <row r="582" spans="57:77" x14ac:dyDescent="0.3">
      <c r="BE582" s="500"/>
      <c r="BF582" s="500"/>
      <c r="BG582" s="500"/>
      <c r="BH582" s="500"/>
      <c r="BI582" s="500"/>
      <c r="BJ582" s="500"/>
      <c r="BK582" s="500"/>
      <c r="BL582" s="500"/>
      <c r="BM582" s="500"/>
      <c r="BN582" s="500"/>
      <c r="BO582" s="500"/>
      <c r="BP582" s="500"/>
      <c r="BQ582" s="500"/>
      <c r="BR582" s="500"/>
      <c r="BS582" s="500"/>
      <c r="BT582" s="500"/>
      <c r="BU582" s="500"/>
      <c r="BV582" s="500"/>
      <c r="BW582" s="500"/>
      <c r="BX582" s="500"/>
      <c r="BY582" s="500"/>
    </row>
    <row r="583" spans="57:77" x14ac:dyDescent="0.3">
      <c r="BE583" s="500"/>
      <c r="BF583" s="500"/>
      <c r="BG583" s="500"/>
      <c r="BH583" s="500"/>
      <c r="BI583" s="500"/>
      <c r="BJ583" s="500"/>
      <c r="BK583" s="500"/>
      <c r="BL583" s="500"/>
      <c r="BM583" s="500"/>
      <c r="BN583" s="500"/>
      <c r="BO583" s="500"/>
      <c r="BP583" s="500"/>
      <c r="BQ583" s="500"/>
      <c r="BR583" s="500"/>
      <c r="BS583" s="500"/>
      <c r="BT583" s="500"/>
      <c r="BU583" s="500"/>
      <c r="BV583" s="500"/>
      <c r="BW583" s="500"/>
      <c r="BX583" s="500"/>
      <c r="BY583" s="500"/>
    </row>
    <row r="584" spans="57:77" x14ac:dyDescent="0.3">
      <c r="BE584" s="500"/>
      <c r="BF584" s="500"/>
      <c r="BG584" s="500"/>
      <c r="BH584" s="500"/>
      <c r="BI584" s="500"/>
      <c r="BJ584" s="500"/>
      <c r="BK584" s="500"/>
      <c r="BL584" s="500"/>
      <c r="BM584" s="500"/>
      <c r="BN584" s="500"/>
      <c r="BO584" s="500"/>
      <c r="BP584" s="500"/>
      <c r="BQ584" s="500"/>
      <c r="BR584" s="500"/>
      <c r="BS584" s="500"/>
      <c r="BT584" s="500"/>
      <c r="BU584" s="500"/>
      <c r="BV584" s="500"/>
      <c r="BW584" s="500"/>
      <c r="BX584" s="500"/>
      <c r="BY584" s="500"/>
    </row>
    <row r="585" spans="57:77" x14ac:dyDescent="0.3">
      <c r="BE585" s="500"/>
      <c r="BF585" s="500"/>
      <c r="BG585" s="500"/>
      <c r="BH585" s="500"/>
      <c r="BI585" s="500"/>
      <c r="BJ585" s="500"/>
      <c r="BK585" s="500"/>
      <c r="BL585" s="500"/>
      <c r="BM585" s="500"/>
      <c r="BN585" s="500"/>
      <c r="BO585" s="500"/>
      <c r="BP585" s="500"/>
      <c r="BQ585" s="500"/>
      <c r="BR585" s="500"/>
      <c r="BS585" s="500"/>
      <c r="BT585" s="500"/>
      <c r="BU585" s="500"/>
      <c r="BV585" s="500"/>
      <c r="BW585" s="500"/>
      <c r="BX585" s="500"/>
      <c r="BY585" s="500"/>
    </row>
    <row r="586" spans="57:77" x14ac:dyDescent="0.3">
      <c r="BE586" s="500"/>
      <c r="BF586" s="500"/>
      <c r="BG586" s="500"/>
      <c r="BH586" s="500"/>
      <c r="BI586" s="500"/>
      <c r="BJ586" s="500"/>
      <c r="BK586" s="500"/>
      <c r="BL586" s="500"/>
      <c r="BM586" s="500"/>
      <c r="BN586" s="500"/>
      <c r="BO586" s="500"/>
      <c r="BP586" s="500"/>
      <c r="BQ586" s="500"/>
      <c r="BR586" s="500"/>
      <c r="BS586" s="500"/>
      <c r="BT586" s="500"/>
      <c r="BU586" s="500"/>
      <c r="BV586" s="500"/>
      <c r="BW586" s="500"/>
      <c r="BX586" s="500"/>
      <c r="BY586" s="500"/>
    </row>
    <row r="587" spans="57:77" x14ac:dyDescent="0.3">
      <c r="BE587" s="500"/>
      <c r="BF587" s="500"/>
      <c r="BG587" s="500"/>
      <c r="BH587" s="500"/>
      <c r="BI587" s="500"/>
      <c r="BJ587" s="500"/>
      <c r="BK587" s="500"/>
      <c r="BL587" s="500"/>
      <c r="BM587" s="500"/>
      <c r="BN587" s="500"/>
      <c r="BO587" s="500"/>
      <c r="BP587" s="500"/>
      <c r="BQ587" s="500"/>
      <c r="BR587" s="500"/>
      <c r="BS587" s="500"/>
      <c r="BT587" s="500"/>
      <c r="BU587" s="500"/>
      <c r="BV587" s="500"/>
      <c r="BW587" s="500"/>
      <c r="BX587" s="500"/>
      <c r="BY587" s="500"/>
    </row>
    <row r="588" spans="57:77" x14ac:dyDescent="0.3">
      <c r="BE588" s="500"/>
      <c r="BF588" s="500"/>
      <c r="BG588" s="500"/>
      <c r="BH588" s="500"/>
      <c r="BI588" s="500"/>
      <c r="BJ588" s="500"/>
      <c r="BK588" s="500"/>
      <c r="BL588" s="500"/>
      <c r="BM588" s="500"/>
      <c r="BN588" s="500"/>
      <c r="BO588" s="500"/>
      <c r="BP588" s="500"/>
      <c r="BQ588" s="500"/>
      <c r="BR588" s="500"/>
      <c r="BS588" s="500"/>
      <c r="BT588" s="500"/>
      <c r="BU588" s="500"/>
      <c r="BV588" s="500"/>
      <c r="BW588" s="500"/>
      <c r="BX588" s="500"/>
      <c r="BY588" s="500"/>
    </row>
  </sheetData>
  <mergeCells count="57">
    <mergeCell ref="AV522:AY522"/>
    <mergeCell ref="BE529:BE530"/>
    <mergeCell ref="AV505:AX505"/>
    <mergeCell ref="AK460:AN460"/>
    <mergeCell ref="AK461:AN461"/>
    <mergeCell ref="AK462:AN462"/>
    <mergeCell ref="AS528:BH528"/>
    <mergeCell ref="H490:J490"/>
    <mergeCell ref="AK467:AN467"/>
    <mergeCell ref="AK458:AN458"/>
    <mergeCell ref="AK468:AN468"/>
    <mergeCell ref="AV517:AX51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457:AV457"/>
    <mergeCell ref="AK459:AN45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550:BV551"/>
    <mergeCell ref="BR552:BV552"/>
    <mergeCell ref="AT532:AX532"/>
    <mergeCell ref="AT536:AZ536"/>
    <mergeCell ref="AT530:AY530"/>
    <mergeCell ref="AT533:AZ533"/>
    <mergeCell ref="AT549:BV549"/>
    <mergeCell ref="BG529:BG530"/>
    <mergeCell ref="AT531:AX531"/>
    <mergeCell ref="BI557:BN557"/>
    <mergeCell ref="BR553:BV553"/>
    <mergeCell ref="BR554:BV554"/>
    <mergeCell ref="BR555:BV555"/>
    <mergeCell ref="BR557:BV557"/>
    <mergeCell ref="BI556:BN556"/>
    <mergeCell ref="BR556:BV556"/>
    <mergeCell ref="AT553:AX553"/>
    <mergeCell ref="AT554:AX554"/>
    <mergeCell ref="AT555:AZ555"/>
    <mergeCell ref="BA550:BE550"/>
    <mergeCell ref="BG550:BP550"/>
    <mergeCell ref="BI552:BN552"/>
    <mergeCell ref="BI555:BN555"/>
    <mergeCell ref="BI551:BN551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63:AP465 AR463:AR4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56"/>
  <sheetViews>
    <sheetView topLeftCell="A412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+K444</f>
        <v>3455732</v>
      </c>
      <c r="AG16" s="187"/>
      <c r="AH16" s="201">
        <f>+AJ31</f>
        <v>10748.951421504231</v>
      </c>
      <c r="AI16" s="201"/>
      <c r="AJ16" s="202">
        <f>+S444</f>
        <v>87434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705142</v>
      </c>
      <c r="AG17" s="188"/>
      <c r="AH17" s="149">
        <v>10231</v>
      </c>
      <c r="AI17" s="201"/>
      <c r="AJ17" s="148">
        <v>17823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1196778</v>
      </c>
      <c r="AG18" s="188"/>
      <c r="AH18" s="149">
        <v>9348</v>
      </c>
      <c r="AI18" s="201"/>
      <c r="AJ18" s="148">
        <v>26987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5357652</v>
      </c>
      <c r="AG19" s="188"/>
      <c r="AH19" s="188"/>
      <c r="AI19" s="188"/>
      <c r="AJ19" s="206">
        <f>SUM(AJ16:AJ18)</f>
        <v>132244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Table'!H444</f>
        <v>0.15986447577039511</v>
      </c>
      <c r="AG21" s="188"/>
      <c r="AH21" s="188"/>
      <c r="AI21" s="188"/>
      <c r="AJ21" s="208">
        <f>+AJ19/'Main Table'!AA444</f>
        <v>0.22331082393190105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+E444</f>
        <v>2095319</v>
      </c>
      <c r="AE27" s="155"/>
      <c r="AF27" s="186">
        <v>10771</v>
      </c>
      <c r="AG27" s="155"/>
      <c r="AH27" s="177">
        <f>+AD27/AD$31</f>
        <v>0.50357665240523986</v>
      </c>
      <c r="AI27" s="177"/>
      <c r="AJ27" s="155">
        <f>+AF27*AH27</f>
        <v>5424.0241230568381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+G444</f>
        <v>1014088</v>
      </c>
      <c r="AE28" s="155"/>
      <c r="AF28" s="186">
        <v>11417</v>
      </c>
      <c r="AG28" s="155"/>
      <c r="AH28" s="177">
        <f>+AD28/AD$31</f>
        <v>0.24371994922220669</v>
      </c>
      <c r="AI28" s="177"/>
      <c r="AJ28" s="155">
        <f>+AF28*AH28</f>
        <v>2782.5506602699338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+I444</f>
        <v>346325</v>
      </c>
      <c r="AE29" s="155"/>
      <c r="AF29" s="186">
        <v>9714</v>
      </c>
      <c r="AG29" s="155"/>
      <c r="AH29" s="177">
        <f>+AD29/AD$31</f>
        <v>8.3233714839718767E-2</v>
      </c>
      <c r="AI29" s="177"/>
      <c r="AJ29" s="155">
        <f>+AF29*AH29</f>
        <v>808.53230595302807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705142</v>
      </c>
      <c r="AE30" s="237"/>
      <c r="AF30" s="155">
        <f>+AH17</f>
        <v>10231</v>
      </c>
      <c r="AG30" s="237"/>
      <c r="AH30" s="177">
        <f>+AD30/AD$31</f>
        <v>0.16946968353283468</v>
      </c>
      <c r="AI30" s="237"/>
      <c r="AJ30" s="155">
        <f>+AF30*AH30</f>
        <v>1733.8443322244316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4160874</v>
      </c>
      <c r="AE31" s="155"/>
      <c r="AF31" s="155"/>
      <c r="AG31" s="155"/>
      <c r="AH31" s="180">
        <f>SUM(AH27:AH30)</f>
        <v>0.99999999999999989</v>
      </c>
      <c r="AI31" s="177"/>
      <c r="AJ31" s="179">
        <f>SUM(AJ27:AJ30)</f>
        <v>10748.951421504231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Table'!AA444</f>
        <v>592197</v>
      </c>
      <c r="AJ49" s="56">
        <f>+AJ19</f>
        <v>132244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132244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459953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193180.25999999998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266772.74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0.45047972211949738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40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42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" si="76">SUM(E420:I420)</f>
        <v>3398814</v>
      </c>
      <c r="L420" s="6"/>
      <c r="M420" s="438">
        <f t="shared" ref="M420" si="77">+(K420-K419)/K419</f>
        <v>1.3915360548671205E-3</v>
      </c>
      <c r="N420" s="29"/>
      <c r="O420" s="29"/>
      <c r="P420" s="29"/>
      <c r="Q420" s="332">
        <f t="shared" ref="Q420" si="78">+K420-K419</f>
        <v>4723</v>
      </c>
      <c r="R420" s="6"/>
      <c r="S420" s="7">
        <f>52423+25616+8112</f>
        <v>86151</v>
      </c>
      <c r="T420" s="6"/>
      <c r="U420" s="243">
        <f t="shared" ref="U42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ref="K421" si="80">SUM(E421:I421)</f>
        <v>3402444</v>
      </c>
      <c r="L421" s="6"/>
      <c r="M421" s="438">
        <f t="shared" ref="M421" si="81">+(K421-K420)/K420</f>
        <v>1.0680196091930891E-3</v>
      </c>
      <c r="N421" s="29"/>
      <c r="O421" s="29"/>
      <c r="P421" s="29"/>
      <c r="Q421" s="332">
        <f t="shared" ref="Q421" si="82">+K421-K420</f>
        <v>3630</v>
      </c>
      <c r="R421" s="6"/>
      <c r="S421" s="7">
        <f>52483+25658+8117</f>
        <v>86258</v>
      </c>
      <c r="T421" s="6"/>
      <c r="U421" s="243">
        <f t="shared" ref="U421" si="83">+S421/K421</f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ref="K422" si="84">SUM(E422:I422)</f>
        <v>3407983</v>
      </c>
      <c r="L422" s="6"/>
      <c r="M422" s="438">
        <f t="shared" ref="M422" si="85">+(K422-K421)/K421</f>
        <v>1.6279474401342095E-3</v>
      </c>
      <c r="N422" s="29"/>
      <c r="O422" s="29"/>
      <c r="P422" s="29"/>
      <c r="Q422" s="332">
        <f t="shared" ref="Q422" si="86">+K422-K421</f>
        <v>5539</v>
      </c>
      <c r="R422" s="6"/>
      <c r="S422" s="7">
        <f>52538+25707+8124</f>
        <v>86369</v>
      </c>
      <c r="T422" s="6"/>
      <c r="U422" s="243">
        <f t="shared" ref="U422" si="87">+S422/K422</f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ref="K423" si="88">SUM(E423:I423)</f>
        <v>3412750</v>
      </c>
      <c r="L423" s="6"/>
      <c r="M423" s="438">
        <f t="shared" ref="M423" si="89">+(K423-K422)/K422</f>
        <v>1.3987745830891763E-3</v>
      </c>
      <c r="N423" s="29"/>
      <c r="O423" s="29"/>
      <c r="P423" s="29"/>
      <c r="Q423" s="332">
        <f t="shared" ref="Q423" si="90">+K423-K422</f>
        <v>4767</v>
      </c>
      <c r="R423" s="6"/>
      <c r="S423" s="7">
        <f>52572+25740+8131</f>
        <v>86443</v>
      </c>
      <c r="T423" s="6"/>
      <c r="U423" s="243">
        <f t="shared" ref="U423" si="91">+S423/K423</f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ref="K424" si="92">SUM(E424:I424)</f>
        <v>3416612</v>
      </c>
      <c r="L424" s="6"/>
      <c r="M424" s="438">
        <f t="shared" ref="M424" si="93">+(K424-K423)/K423</f>
        <v>1.1316387077869752E-3</v>
      </c>
      <c r="N424" s="29"/>
      <c r="O424" s="29"/>
      <c r="P424" s="29"/>
      <c r="Q424" s="332">
        <f t="shared" ref="Q424" si="94">+K424-K423</f>
        <v>3862</v>
      </c>
      <c r="R424" s="6"/>
      <c r="S424" s="7">
        <f>52611+25769+8137</f>
        <v>86517</v>
      </c>
      <c r="T424" s="6"/>
      <c r="U424" s="243">
        <f t="shared" ref="U424" si="95">+S424/K424</f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ref="K425" si="96">SUM(E425:I425)</f>
        <v>3420326</v>
      </c>
      <c r="L425" s="6"/>
      <c r="M425" s="438">
        <f t="shared" ref="M425" si="97">+(K425-K424)/K424</f>
        <v>1.0870417829124291E-3</v>
      </c>
      <c r="N425" s="29"/>
      <c r="O425" s="29"/>
      <c r="P425" s="29"/>
      <c r="Q425" s="332">
        <f t="shared" ref="Q425" si="98">+K425-K424</f>
        <v>3714</v>
      </c>
      <c r="R425" s="6"/>
      <c r="S425" s="7">
        <f>52653+25791+8137</f>
        <v>86581</v>
      </c>
      <c r="T425" s="6"/>
      <c r="U425" s="243">
        <f t="shared" ref="U425" si="99">+S425/K425</f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ref="K426" si="100">SUM(E426:I426)</f>
        <v>3423038</v>
      </c>
      <c r="L426" s="6"/>
      <c r="M426" s="438">
        <f t="shared" ref="M426" si="101">+(K426-K425)/K425</f>
        <v>7.9290687495870273E-4</v>
      </c>
      <c r="N426" s="29"/>
      <c r="O426" s="29"/>
      <c r="P426" s="29"/>
      <c r="Q426" s="332">
        <f t="shared" ref="Q426" si="102">+K426-K425</f>
        <v>2712</v>
      </c>
      <c r="R426" s="6"/>
      <c r="S426" s="7">
        <f>52688+25801+8137</f>
        <v>86626</v>
      </c>
      <c r="T426" s="6"/>
      <c r="U426" s="243">
        <f t="shared" ref="U426" si="103">+S426/K426</f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ref="K427" si="104">SUM(E427:I427)</f>
        <v>3425670</v>
      </c>
      <c r="L427" s="6"/>
      <c r="M427" s="438">
        <f t="shared" ref="M427" si="105">+(K427-K426)/K426</f>
        <v>7.6890761948888683E-4</v>
      </c>
      <c r="N427" s="29"/>
      <c r="O427" s="29"/>
      <c r="P427" s="29"/>
      <c r="Q427" s="332">
        <f t="shared" ref="Q427" si="106">+K427-K426</f>
        <v>2632</v>
      </c>
      <c r="R427" s="6"/>
      <c r="S427" s="7">
        <f>52729+25810+8154</f>
        <v>86693</v>
      </c>
      <c r="T427" s="6"/>
      <c r="U427" s="243">
        <f t="shared" ref="U427" si="107">+S427/K427</f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ref="K428" si="108">SUM(E428:I428)</f>
        <v>3428100</v>
      </c>
      <c r="L428" s="6"/>
      <c r="M428" s="438">
        <f t="shared" ref="M428" si="109">+(K428-K427)/K427</f>
        <v>7.0935028768095E-4</v>
      </c>
      <c r="N428" s="29"/>
      <c r="O428" s="29"/>
      <c r="P428" s="29"/>
      <c r="Q428" s="332">
        <f t="shared" ref="Q428" si="110">+K428-K427</f>
        <v>2430</v>
      </c>
      <c r="R428" s="6"/>
      <c r="S428" s="7">
        <f>52770+25841+8156</f>
        <v>86767</v>
      </c>
      <c r="T428" s="6"/>
      <c r="U428" s="243">
        <f t="shared" ref="U428" si="111">+S428/K428</f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ref="K429" si="112">SUM(E429:I429)</f>
        <v>3430797</v>
      </c>
      <c r="L429" s="6"/>
      <c r="M429" s="438">
        <f t="shared" ref="M429" si="113">+(K429-K428)/K428</f>
        <v>7.867331758116741E-4</v>
      </c>
      <c r="N429" s="29"/>
      <c r="O429" s="29"/>
      <c r="P429" s="29"/>
      <c r="Q429" s="332">
        <f t="shared" ref="Q429" si="114">+K429-K428</f>
        <v>2697</v>
      </c>
      <c r="R429" s="6"/>
      <c r="S429" s="7">
        <f>52825+25882+8161</f>
        <v>86868</v>
      </c>
      <c r="T429" s="6"/>
      <c r="U429" s="243">
        <f t="shared" ref="U429" si="115">+S429/K429</f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ref="K430" si="116">SUM(E430:I430)</f>
        <v>3433882</v>
      </c>
      <c r="L430" s="6"/>
      <c r="M430" s="438">
        <f t="shared" ref="M430" si="117">+(K430-K429)/K429</f>
        <v>8.9920796829424769E-4</v>
      </c>
      <c r="N430" s="29"/>
      <c r="O430" s="29"/>
      <c r="P430" s="29"/>
      <c r="Q430" s="332">
        <f t="shared" ref="Q430" si="118">+K430-K429</f>
        <v>3085</v>
      </c>
      <c r="R430" s="6"/>
      <c r="S430" s="7">
        <f>52866+25906+8168</f>
        <v>86940</v>
      </c>
      <c r="T430" s="6"/>
      <c r="U430" s="243">
        <f t="shared" ref="U430" si="119">+S430/K430</f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ref="K431" si="120">SUM(E431:I431)</f>
        <v>3436644</v>
      </c>
      <c r="L431" s="6"/>
      <c r="M431" s="438">
        <f t="shared" ref="M431" si="121">+(K431-K430)/K430</f>
        <v>8.0433748160245455E-4</v>
      </c>
      <c r="N431" s="29"/>
      <c r="O431" s="29"/>
      <c r="P431" s="29"/>
      <c r="Q431" s="332">
        <f t="shared" ref="Q431" si="122">+K431-K430</f>
        <v>2762</v>
      </c>
      <c r="R431" s="6"/>
      <c r="S431" s="7">
        <f>52903+25932+8173</f>
        <v>87008</v>
      </c>
      <c r="T431" s="6"/>
      <c r="U431" s="243">
        <f t="shared" ref="U431" si="123">+S431/K431</f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ref="K432" si="124">SUM(E432:I432)</f>
        <v>3439090</v>
      </c>
      <c r="L432" s="6"/>
      <c r="M432" s="438">
        <f t="shared" ref="M432" si="125">+(K432-K431)/K431</f>
        <v>7.1174087278170215E-4</v>
      </c>
      <c r="N432" s="29"/>
      <c r="O432" s="29"/>
      <c r="P432" s="29"/>
      <c r="Q432" s="332">
        <f t="shared" ref="Q432" si="126">+K432-K431</f>
        <v>2446</v>
      </c>
      <c r="R432" s="6"/>
      <c r="S432" s="7">
        <f>52914+25952+8173</f>
        <v>87039</v>
      </c>
      <c r="T432" s="6"/>
      <c r="U432" s="243">
        <f t="shared" ref="U432" si="127">+S432/K432</f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ref="K433" si="128">SUM(E433:I433)</f>
        <v>3441213</v>
      </c>
      <c r="L433" s="6"/>
      <c r="M433" s="438">
        <f t="shared" ref="M433" si="129">+(K433-K432)/K432</f>
        <v>6.1731446400065137E-4</v>
      </c>
      <c r="N433" s="29"/>
      <c r="O433" s="29"/>
      <c r="P433" s="29"/>
      <c r="Q433" s="332">
        <f t="shared" ref="Q433" si="130">+K433-K432</f>
        <v>2123</v>
      </c>
      <c r="R433" s="6"/>
      <c r="S433" s="7">
        <f>52953+25961+8173</f>
        <v>87087</v>
      </c>
      <c r="T433" s="6"/>
      <c r="U433" s="243">
        <f t="shared" ref="U433" si="131">+S433/K433</f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ref="K434" si="132">SUM(E434:I434)</f>
        <v>3443581</v>
      </c>
      <c r="L434" s="6"/>
      <c r="M434" s="438">
        <f t="shared" ref="M434" si="133">+(K434-K433)/K433</f>
        <v>6.8812944737800302E-4</v>
      </c>
      <c r="N434" s="29"/>
      <c r="O434" s="29"/>
      <c r="P434" s="29"/>
      <c r="Q434" s="332">
        <f t="shared" ref="Q434" si="134">+K434-K433</f>
        <v>2368</v>
      </c>
      <c r="R434" s="6"/>
      <c r="S434" s="7">
        <f>52989+25975+8194</f>
        <v>87158</v>
      </c>
      <c r="T434" s="6"/>
      <c r="U434" s="243">
        <f t="shared" ref="U434" si="135">+S434/K434</f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ref="K435" si="136">SUM(E435:I435)</f>
        <v>3445833</v>
      </c>
      <c r="L435" s="6"/>
      <c r="M435" s="438">
        <f t="shared" ref="M435" si="137">+(K435-K434)/K434</f>
        <v>6.5397038722190648E-4</v>
      </c>
      <c r="N435" s="29"/>
      <c r="O435" s="29"/>
      <c r="P435" s="29"/>
      <c r="Q435" s="332">
        <f t="shared" ref="Q435" si="138">+K435-K434</f>
        <v>2252</v>
      </c>
      <c r="R435" s="6"/>
      <c r="S435" s="7">
        <f>53020+25998+8198</f>
        <v>87216</v>
      </c>
      <c r="T435" s="6"/>
      <c r="U435" s="243">
        <f t="shared" ref="U435" si="139">+S435/K435</f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ref="K436" si="140">SUM(E436:I436)</f>
        <v>3447842</v>
      </c>
      <c r="L436" s="6"/>
      <c r="M436" s="438">
        <f t="shared" ref="M436" si="141">+(K436-K435)/K435</f>
        <v>5.8302303100585544E-4</v>
      </c>
      <c r="N436" s="29"/>
      <c r="O436" s="29"/>
      <c r="P436" s="29"/>
      <c r="Q436" s="332">
        <f t="shared" ref="Q436" si="142">+K436-K435</f>
        <v>2009</v>
      </c>
      <c r="R436" s="6"/>
      <c r="S436" s="7">
        <f>53044+26030+8204</f>
        <v>87278</v>
      </c>
      <c r="T436" s="6"/>
      <c r="U436" s="243">
        <f t="shared" ref="U436" si="143">+S436/K436</f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ref="K437" si="144">SUM(E437:I437)</f>
        <v>3450253</v>
      </c>
      <c r="L437" s="6"/>
      <c r="M437" s="438">
        <f t="shared" ref="M437" si="145">+(K437-K436)/K436</f>
        <v>6.992779831558407E-4</v>
      </c>
      <c r="N437" s="29"/>
      <c r="O437" s="29"/>
      <c r="P437" s="29"/>
      <c r="Q437" s="332">
        <f t="shared" ref="Q437" si="146">+K437-K436</f>
        <v>2411</v>
      </c>
      <c r="R437" s="6"/>
      <c r="S437" s="7">
        <f>53070+26053+8208</f>
        <v>87331</v>
      </c>
      <c r="T437" s="6"/>
      <c r="U437" s="243">
        <f t="shared" ref="U437" si="147">+S437/K437</f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ref="K438" si="148">SUM(E438:I438)</f>
        <v>3452650</v>
      </c>
      <c r="L438" s="6"/>
      <c r="M438" s="438">
        <f t="shared" ref="M438" si="149">+(K438-K437)/K437</f>
        <v>6.94731661707127E-4</v>
      </c>
      <c r="N438" s="29"/>
      <c r="O438" s="29"/>
      <c r="P438" s="29"/>
      <c r="Q438" s="332">
        <f t="shared" ref="Q438" si="150">+K438-K437</f>
        <v>2397</v>
      </c>
      <c r="R438" s="6"/>
      <c r="S438" s="7">
        <f>53095+26070+8212</f>
        <v>87377</v>
      </c>
      <c r="T438" s="6"/>
      <c r="U438" s="243">
        <f t="shared" ref="U438" si="151">+S438/K438</f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ref="K439" si="152">SUM(E439:I439)</f>
        <v>3454357</v>
      </c>
      <c r="L439" s="6"/>
      <c r="M439" s="438">
        <f t="shared" ref="M439" si="153">+(K439-K438)/K438</f>
        <v>4.9440284998479426E-4</v>
      </c>
      <c r="N439" s="29"/>
      <c r="O439" s="29"/>
      <c r="P439" s="29"/>
      <c r="Q439" s="332">
        <f t="shared" ref="Q439" si="154">+K439-K438</f>
        <v>1707</v>
      </c>
      <c r="R439" s="6"/>
      <c r="S439" s="7">
        <f>53112+26084+8212</f>
        <v>87408</v>
      </c>
      <c r="T439" s="6"/>
      <c r="U439" s="243">
        <f t="shared" ref="U439" si="155">+S439/K439</f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ref="K440" si="156">SUM(E440:I440)</f>
        <v>3455732</v>
      </c>
      <c r="L440" s="6"/>
      <c r="M440" s="438">
        <f t="shared" ref="M440" si="157">+(K440-K439)/K439</f>
        <v>3.9804803035702448E-4</v>
      </c>
      <c r="N440" s="29"/>
      <c r="O440" s="29"/>
      <c r="P440" s="29"/>
      <c r="Q440" s="332">
        <f t="shared" ref="Q440" si="158">+K440-K439</f>
        <v>1375</v>
      </c>
      <c r="R440" s="6"/>
      <c r="S440" s="7">
        <f>53131+26091+8212</f>
        <v>87434</v>
      </c>
      <c r="T440" s="6"/>
      <c r="U440" s="243">
        <f t="shared" ref="U440" si="159">+S440/K440</f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/>
      <c r="F441" s="7"/>
      <c r="G441" s="7"/>
      <c r="H441" s="7"/>
      <c r="I441" s="7"/>
      <c r="J441" s="244"/>
      <c r="K441" s="7"/>
      <c r="L441" s="6"/>
      <c r="M441" s="438"/>
      <c r="N441" s="29"/>
      <c r="O441" s="29"/>
      <c r="P441" s="29"/>
      <c r="Q441" s="332"/>
      <c r="R441" s="6"/>
      <c r="S441" s="7"/>
      <c r="T441" s="6"/>
      <c r="U441" s="243"/>
      <c r="Y441" s="56"/>
    </row>
    <row r="442" spans="3:25" ht="15" thickBot="1" x14ac:dyDescent="0.35">
      <c r="C442" s="157">
        <f t="shared" si="75"/>
        <v>44341</v>
      </c>
      <c r="E442" s="245"/>
      <c r="F442" s="246"/>
      <c r="G442" s="246"/>
      <c r="H442" s="246"/>
      <c r="I442" s="246"/>
      <c r="J442" s="246"/>
      <c r="K442" s="246"/>
      <c r="L442" s="247"/>
      <c r="M442" s="248"/>
      <c r="N442" s="248"/>
      <c r="O442" s="248"/>
      <c r="P442" s="248"/>
      <c r="Q442" s="331"/>
      <c r="R442" s="247"/>
      <c r="S442" s="247"/>
      <c r="T442" s="247"/>
      <c r="U442" s="249"/>
      <c r="W442">
        <f>+W405+1</f>
        <v>396</v>
      </c>
      <c r="Y442" s="59"/>
    </row>
    <row r="443" spans="3:25" x14ac:dyDescent="0.3">
      <c r="E443" s="56"/>
      <c r="F443" s="1"/>
      <c r="G443" s="56"/>
      <c r="H443" s="56"/>
      <c r="I443" s="56"/>
      <c r="J443" s="1"/>
      <c r="K443" s="56"/>
      <c r="S443" s="56"/>
    </row>
    <row r="444" spans="3:25" x14ac:dyDescent="0.3">
      <c r="C444" s="166" t="s">
        <v>73</v>
      </c>
      <c r="E444" s="56">
        <f>+E440</f>
        <v>2095319</v>
      </c>
      <c r="F444" s="56"/>
      <c r="G444" s="56">
        <f t="shared" ref="G444:U444" si="160">+G440</f>
        <v>1014088</v>
      </c>
      <c r="H444" s="56">
        <f t="shared" si="160"/>
        <v>0</v>
      </c>
      <c r="I444" s="56">
        <f t="shared" si="160"/>
        <v>346325</v>
      </c>
      <c r="J444" s="56">
        <f t="shared" si="160"/>
        <v>0</v>
      </c>
      <c r="K444" s="56">
        <f t="shared" si="160"/>
        <v>3455732</v>
      </c>
      <c r="L444" s="56">
        <f t="shared" si="160"/>
        <v>0</v>
      </c>
      <c r="M444" s="56">
        <f t="shared" si="160"/>
        <v>3.9804803035702448E-4</v>
      </c>
      <c r="N444" s="56">
        <f t="shared" si="160"/>
        <v>0</v>
      </c>
      <c r="O444" s="56">
        <f t="shared" si="160"/>
        <v>0</v>
      </c>
      <c r="P444" s="56">
        <f t="shared" si="160"/>
        <v>0</v>
      </c>
      <c r="Q444" s="56">
        <f t="shared" si="160"/>
        <v>1375</v>
      </c>
      <c r="R444" s="56">
        <f t="shared" si="160"/>
        <v>0</v>
      </c>
      <c r="S444" s="56">
        <f t="shared" si="160"/>
        <v>87434</v>
      </c>
      <c r="T444" s="56">
        <f t="shared" si="160"/>
        <v>0</v>
      </c>
      <c r="U444" s="56">
        <f t="shared" si="160"/>
        <v>2.5301151825430909E-2</v>
      </c>
      <c r="V444" s="56">
        <f>+V259</f>
        <v>0</v>
      </c>
    </row>
    <row r="445" spans="3:25" x14ac:dyDescent="0.3">
      <c r="E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</row>
    <row r="446" spans="3:25" x14ac:dyDescent="0.3">
      <c r="E446" s="59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</row>
    <row r="447" spans="3:25" x14ac:dyDescent="0.3">
      <c r="C447" s="111"/>
      <c r="D447" s="112"/>
      <c r="E447" s="349"/>
      <c r="F447" s="10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</row>
    <row r="448" spans="3:25" x14ac:dyDescent="0.3">
      <c r="E448" s="56"/>
      <c r="K448" s="56"/>
      <c r="Q448" s="56"/>
    </row>
    <row r="449" spans="3:41" x14ac:dyDescent="0.3">
      <c r="D449" s="549" t="s">
        <v>26</v>
      </c>
      <c r="E449" t="s">
        <v>158</v>
      </c>
      <c r="K449" s="549"/>
      <c r="Q449" s="56"/>
      <c r="S449" s="59"/>
    </row>
    <row r="452" spans="3:41" x14ac:dyDescent="0.3">
      <c r="AO452" s="1">
        <v>3797000</v>
      </c>
    </row>
    <row r="453" spans="3:41" x14ac:dyDescent="0.3">
      <c r="C453" s="1"/>
    </row>
    <row r="454" spans="3:41" x14ac:dyDescent="0.3">
      <c r="C454" s="1"/>
      <c r="AO454" s="1">
        <v>30000</v>
      </c>
    </row>
    <row r="455" spans="3:41" x14ac:dyDescent="0.3">
      <c r="C455" s="59"/>
    </row>
    <row r="456" spans="3:41" x14ac:dyDescent="0.3">
      <c r="AO456" s="235">
        <f>+AO454/AO452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34"/>
  <sheetViews>
    <sheetView topLeftCell="A371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6.6820709087671336E-3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Table'!H430</f>
        <v>33296751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Table'!AA444</f>
        <v>592197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6980</v>
      </c>
      <c r="J22" s="116"/>
      <c r="K22" s="127"/>
      <c r="L22" s="238">
        <v>7056</v>
      </c>
      <c r="M22" s="127"/>
      <c r="N22" s="147">
        <f>+(I22-L22)/I22</f>
        <v>-1.0888252148997135E-2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32697574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Table'!AP444</f>
        <v>27502255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5195319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27502255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32697574</v>
      </c>
      <c r="J27" s="116"/>
      <c r="K27" s="725">
        <v>32658631</v>
      </c>
      <c r="L27" s="725"/>
      <c r="M27" s="127"/>
      <c r="N27" s="137">
        <f>+I27-K27</f>
        <v>38943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0.9756476393901099</v>
      </c>
      <c r="J28" s="127"/>
      <c r="K28" s="127"/>
      <c r="L28" s="127"/>
      <c r="M28" s="98"/>
      <c r="N28" s="463">
        <f>+N27/K27</f>
        <v>1.1924259776841227E-3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Table'!H444</f>
        <v>33513712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32697574</v>
      </c>
      <c r="J34" s="698"/>
      <c r="K34" s="22"/>
      <c r="L34" s="25">
        <f>+I34/$I$32</f>
        <v>0.9756476393901099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592197</v>
      </c>
      <c r="J35" s="705"/>
      <c r="K35" s="22"/>
      <c r="L35" s="25">
        <f>+I35/$I$32</f>
        <v>1.7670289701122933E-2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223941</v>
      </c>
      <c r="J36" s="700"/>
      <c r="K36" s="259"/>
      <c r="L36" s="234">
        <f>+I36/$I$32</f>
        <v>6.6820709087671336E-3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Table'!AP462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Table'!AP503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6.6820709087671336E-3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6.6820709087671336E-3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6.6820709087671336E-3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6.6820709087671336E-3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398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ref="AA375" si="22">+W374-W375</f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ref="AA376" si="23">+W375-W376</f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ref="AA377" si="24">+W376-W377</f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ref="AA378" si="25">+W377-W378</f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ref="AA379" si="26">+W378-W379</f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ref="AA380" si="27">+W379-W380</f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ref="AA381" si="28">+W380-W381</f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ref="AA382" si="29">+W381-W382</f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ref="AA383" si="30">+W382-W383</f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ref="AA384" si="31">+W383-W384</f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ref="AA385" si="32">+W384-W385</f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ref="AA386" si="33">+W385-W386</f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ref="AA387" si="34">+W386-W387</f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ref="AA388" si="35">+W387-W388</f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ref="AA389" si="36">+W388-W389</f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ref="AA390" si="37">+W389-W390</f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ref="AA391" si="38">+W390-W391</f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ref="AA392" si="39">+W391-W392</f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ref="AA393" si="40">+W392-W393</f>
        <v>56338</v>
      </c>
      <c r="AB393" s="6"/>
      <c r="AC393" s="258"/>
      <c r="AD393" s="251"/>
    </row>
    <row r="394" spans="15:30" x14ac:dyDescent="0.3">
      <c r="O394" s="98"/>
      <c r="T394" s="250"/>
      <c r="U394" s="252">
        <f t="shared" si="21"/>
        <v>44339</v>
      </c>
      <c r="V394" s="6"/>
      <c r="W394" s="253">
        <f>+I$36</f>
        <v>223941</v>
      </c>
      <c r="X394" s="6"/>
      <c r="Y394" s="44">
        <f>+L$36</f>
        <v>6.6820709087671336E-3</v>
      </c>
      <c r="Z394" s="6"/>
      <c r="AA394" s="254">
        <f t="shared" ref="AA394" si="41">+W393-W394</f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/>
      <c r="X395" s="6"/>
      <c r="Y395" s="44"/>
      <c r="Z395" s="6"/>
      <c r="AA395" s="254"/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/>
      <c r="X396" s="6"/>
      <c r="Y396" s="44"/>
      <c r="Z396" s="6"/>
      <c r="AA396" s="254"/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/>
      <c r="X397" s="6"/>
      <c r="Y397" s="44"/>
      <c r="Z397" s="6"/>
      <c r="AA397" s="254"/>
      <c r="AB397" s="6"/>
      <c r="AC397" s="258"/>
      <c r="AD397" s="251"/>
    </row>
    <row r="398" spans="15:30" ht="15" thickBot="1" x14ac:dyDescent="0.35">
      <c r="O398" s="98"/>
      <c r="T398" s="255"/>
      <c r="U398" s="350">
        <f t="shared" si="21"/>
        <v>44343</v>
      </c>
      <c r="V398" s="247"/>
      <c r="W398" s="351"/>
      <c r="X398" s="247"/>
      <c r="Y398" s="256"/>
      <c r="Z398" s="247"/>
      <c r="AA398" s="352"/>
      <c r="AB398" s="247"/>
      <c r="AC398" s="353"/>
      <c r="AD398" s="257"/>
    </row>
    <row r="399" spans="15:30" x14ac:dyDescent="0.3">
      <c r="O399" s="98"/>
    </row>
    <row r="400" spans="15:30" x14ac:dyDescent="0.3">
      <c r="O400" s="98"/>
      <c r="P400" s="57"/>
      <c r="Q400" s="57"/>
      <c r="R400" s="57"/>
    </row>
    <row r="401" spans="4:36" x14ac:dyDescent="0.3">
      <c r="O401" s="98"/>
    </row>
    <row r="402" spans="4:36" ht="15" thickBot="1" x14ac:dyDescent="0.35">
      <c r="O402" s="98"/>
    </row>
    <row r="403" spans="4:36" ht="15.6" thickTop="1" thickBot="1" x14ac:dyDescent="0.35">
      <c r="Q403" s="441"/>
      <c r="R403" s="442"/>
      <c r="S403" s="442"/>
      <c r="T403" s="442"/>
      <c r="U403" s="442"/>
      <c r="V403" s="442"/>
      <c r="W403" s="442"/>
      <c r="X403" s="442"/>
      <c r="Y403" s="442"/>
      <c r="Z403" s="442"/>
      <c r="AA403" s="442"/>
      <c r="AB403" s="443"/>
    </row>
    <row r="404" spans="4:36" ht="15" thickBot="1" x14ac:dyDescent="0.35">
      <c r="E404" s="666" t="s">
        <v>106</v>
      </c>
      <c r="F404" s="667"/>
      <c r="G404" s="667"/>
      <c r="H404" s="667"/>
      <c r="I404" s="667"/>
      <c r="J404" s="667"/>
      <c r="K404" s="667"/>
      <c r="L404" s="667"/>
      <c r="M404" s="668"/>
      <c r="Q404" s="444"/>
      <c r="R404" s="6"/>
      <c r="S404" s="6"/>
      <c r="T404" s="6"/>
      <c r="U404" s="5" t="s">
        <v>132</v>
      </c>
      <c r="V404" s="5"/>
      <c r="W404" s="5"/>
      <c r="X404" s="5"/>
      <c r="Y404" s="5"/>
      <c r="Z404" s="5"/>
      <c r="AA404" s="5" t="s">
        <v>28</v>
      </c>
      <c r="AB404" s="445"/>
    </row>
    <row r="405" spans="4:36" x14ac:dyDescent="0.3">
      <c r="E405" s="395"/>
      <c r="F405" s="396" t="s">
        <v>107</v>
      </c>
      <c r="G405" s="396"/>
      <c r="H405" s="396"/>
      <c r="I405" s="669">
        <v>21477737</v>
      </c>
      <c r="J405" s="669"/>
      <c r="K405" s="669"/>
      <c r="L405" s="669"/>
      <c r="M405" s="397"/>
      <c r="Q405" s="444"/>
      <c r="R405" s="437" t="s">
        <v>134</v>
      </c>
      <c r="S405" s="6"/>
      <c r="T405" s="6"/>
      <c r="U405" s="437" t="s">
        <v>133</v>
      </c>
      <c r="V405" s="5"/>
      <c r="W405" s="437" t="s">
        <v>20</v>
      </c>
      <c r="X405" s="5"/>
      <c r="Y405" s="437" t="s">
        <v>4</v>
      </c>
      <c r="Z405" s="5"/>
      <c r="AA405" s="446" t="s">
        <v>131</v>
      </c>
      <c r="AB405" s="445"/>
    </row>
    <row r="406" spans="4:36" x14ac:dyDescent="0.3">
      <c r="E406" s="395"/>
      <c r="F406" s="396" t="s">
        <v>97</v>
      </c>
      <c r="G406" s="396"/>
      <c r="H406" s="396"/>
      <c r="I406" s="396"/>
      <c r="J406" s="396"/>
      <c r="K406" s="396"/>
      <c r="L406" s="398">
        <f>+I418/I405</f>
        <v>4.5847474526762295E-4</v>
      </c>
      <c r="M406" s="397"/>
      <c r="Q406" s="444"/>
      <c r="R406" s="6" t="s">
        <v>121</v>
      </c>
      <c r="S406" s="6"/>
      <c r="T406" s="6"/>
      <c r="U406" s="7">
        <v>2003</v>
      </c>
      <c r="V406" s="6"/>
      <c r="W406" s="7">
        <v>389666</v>
      </c>
      <c r="X406" s="6"/>
      <c r="Y406" s="7">
        <v>31257</v>
      </c>
      <c r="Z406" s="6"/>
      <c r="AA406" s="253">
        <f>+AJ406</f>
        <v>19500</v>
      </c>
      <c r="AB406" s="445"/>
      <c r="AJ406" s="1">
        <v>19500</v>
      </c>
    </row>
    <row r="407" spans="4:36" x14ac:dyDescent="0.3">
      <c r="E407" s="395"/>
      <c r="F407" s="670" t="s">
        <v>95</v>
      </c>
      <c r="G407" s="670"/>
      <c r="H407" s="396"/>
      <c r="I407" s="396"/>
      <c r="J407" s="396"/>
      <c r="K407" s="396"/>
      <c r="L407" s="399">
        <f>+I418/(I405/100000)</f>
        <v>45.847474526762298</v>
      </c>
      <c r="M407" s="397"/>
      <c r="Q407" s="444"/>
      <c r="R407" s="6" t="s">
        <v>122</v>
      </c>
      <c r="S407" s="6"/>
      <c r="T407" s="6"/>
      <c r="U407" s="7">
        <v>1913</v>
      </c>
      <c r="V407" s="6"/>
      <c r="W407" s="7">
        <v>169892</v>
      </c>
      <c r="X407" s="6"/>
      <c r="Y407" s="7">
        <v>13076</v>
      </c>
      <c r="Z407" s="6"/>
      <c r="AA407" s="253">
        <f t="shared" ref="AA407:AA415" si="42">+AJ407</f>
        <v>8900</v>
      </c>
      <c r="AB407" s="445"/>
      <c r="AJ407" s="1">
        <v>8900</v>
      </c>
    </row>
    <row r="408" spans="4:36" x14ac:dyDescent="0.3">
      <c r="E408" s="395"/>
      <c r="F408" s="400"/>
      <c r="G408" s="400"/>
      <c r="H408" s="396"/>
      <c r="I408" s="396"/>
      <c r="J408" s="396"/>
      <c r="K408" s="396"/>
      <c r="L408" s="399"/>
      <c r="M408" s="397"/>
      <c r="Q408" s="444"/>
      <c r="R408" s="6" t="s">
        <v>123</v>
      </c>
      <c r="S408" s="6"/>
      <c r="T408" s="6"/>
      <c r="U408" s="7">
        <v>1568</v>
      </c>
      <c r="V408" s="6"/>
      <c r="W408" s="7">
        <v>16606</v>
      </c>
      <c r="X408" s="6"/>
      <c r="Y408" s="7">
        <v>912</v>
      </c>
      <c r="Z408" s="6"/>
      <c r="AA408" s="253">
        <f t="shared" si="42"/>
        <v>1100</v>
      </c>
      <c r="AB408" s="445"/>
      <c r="AJ408" s="1">
        <v>1100</v>
      </c>
    </row>
    <row r="409" spans="4:36" x14ac:dyDescent="0.3">
      <c r="E409" s="395"/>
      <c r="F409" s="400" t="s">
        <v>108</v>
      </c>
      <c r="G409" s="400"/>
      <c r="H409" s="670" t="s">
        <v>109</v>
      </c>
      <c r="I409" s="670"/>
      <c r="J409" s="396"/>
      <c r="K409" s="396"/>
      <c r="L409" s="399"/>
      <c r="M409" s="397"/>
      <c r="Q409" s="444"/>
      <c r="R409" s="6" t="s">
        <v>56</v>
      </c>
      <c r="S409" s="6"/>
      <c r="T409" s="6"/>
      <c r="U409" s="7">
        <v>1561</v>
      </c>
      <c r="V409" s="6"/>
      <c r="W409" s="7">
        <v>107611</v>
      </c>
      <c r="X409" s="6"/>
      <c r="Y409" s="7">
        <v>7937</v>
      </c>
      <c r="Z409" s="6"/>
      <c r="AA409" s="253">
        <f t="shared" si="42"/>
        <v>7000</v>
      </c>
      <c r="AB409" s="445"/>
      <c r="AJ409" s="1">
        <v>7000</v>
      </c>
    </row>
    <row r="410" spans="4:36" ht="15" thickBot="1" x14ac:dyDescent="0.35">
      <c r="E410" s="401"/>
      <c r="F410" s="402"/>
      <c r="G410" s="402"/>
      <c r="H410" s="402"/>
      <c r="I410" s="402"/>
      <c r="J410" s="402"/>
      <c r="K410" s="402"/>
      <c r="L410" s="402"/>
      <c r="M410" s="403"/>
      <c r="Q410" s="444"/>
      <c r="R410" s="6" t="s">
        <v>128</v>
      </c>
      <c r="S410" s="6"/>
      <c r="T410" s="6"/>
      <c r="U410" s="7">
        <v>1435</v>
      </c>
      <c r="V410" s="6"/>
      <c r="W410" s="7">
        <v>10128</v>
      </c>
      <c r="X410" s="6"/>
      <c r="Y410" s="7">
        <v>541</v>
      </c>
      <c r="Z410" s="6"/>
      <c r="AA410" s="253">
        <f t="shared" si="42"/>
        <v>700</v>
      </c>
      <c r="AB410" s="445"/>
      <c r="AJ410" s="1">
        <v>700</v>
      </c>
    </row>
    <row r="411" spans="4:36" x14ac:dyDescent="0.3">
      <c r="Q411" s="444"/>
      <c r="R411" s="6" t="s">
        <v>124</v>
      </c>
      <c r="S411" s="6"/>
      <c r="T411" s="6"/>
      <c r="U411" s="7">
        <v>1288</v>
      </c>
      <c r="V411" s="6"/>
      <c r="W411" s="7">
        <v>45913</v>
      </c>
      <c r="X411" s="6"/>
      <c r="Y411" s="7">
        <v>4287</v>
      </c>
      <c r="Z411" s="6"/>
      <c r="AA411" s="253">
        <f t="shared" si="42"/>
        <v>3600</v>
      </c>
      <c r="AB411" s="445"/>
      <c r="AJ411" s="1">
        <v>3600</v>
      </c>
    </row>
    <row r="412" spans="4:36" ht="15" thickBot="1" x14ac:dyDescent="0.35">
      <c r="D412" s="78"/>
      <c r="E412" s="139"/>
      <c r="F412" s="139"/>
      <c r="G412" s="139"/>
      <c r="H412" s="139"/>
      <c r="I412" s="310"/>
      <c r="J412" s="78"/>
      <c r="K412" s="98"/>
      <c r="L412" s="98"/>
      <c r="M412" s="98"/>
      <c r="N412" s="98"/>
      <c r="Q412" s="444"/>
      <c r="R412" s="6" t="s">
        <v>129</v>
      </c>
      <c r="S412" s="6"/>
      <c r="T412" s="6"/>
      <c r="U412" s="7">
        <v>1129</v>
      </c>
      <c r="V412" s="6"/>
      <c r="W412" s="7">
        <v>52477</v>
      </c>
      <c r="X412" s="6"/>
      <c r="Y412" s="7">
        <v>3152</v>
      </c>
      <c r="Z412" s="6"/>
      <c r="AA412" s="253">
        <f t="shared" si="42"/>
        <v>4600</v>
      </c>
      <c r="AB412" s="445"/>
      <c r="AJ412" s="1">
        <v>4600</v>
      </c>
    </row>
    <row r="413" spans="4:36" ht="16.2" thickBot="1" x14ac:dyDescent="0.35">
      <c r="D413" s="381"/>
      <c r="E413" s="671" t="s">
        <v>119</v>
      </c>
      <c r="F413" s="672"/>
      <c r="G413" s="672"/>
      <c r="H413" s="672"/>
      <c r="I413" s="672"/>
      <c r="J413" s="673"/>
      <c r="K413" s="382"/>
      <c r="L413" s="394" t="s">
        <v>10</v>
      </c>
      <c r="M413" s="383"/>
      <c r="N413" s="98"/>
      <c r="Q413" s="444"/>
      <c r="R413" s="6" t="s">
        <v>125</v>
      </c>
      <c r="S413" s="6"/>
      <c r="T413" s="6"/>
      <c r="U413" s="7">
        <v>1118</v>
      </c>
      <c r="V413" s="6"/>
      <c r="W413" s="7">
        <v>10889</v>
      </c>
      <c r="X413" s="6"/>
      <c r="Y413" s="7">
        <v>505</v>
      </c>
      <c r="Z413" s="6"/>
      <c r="AA413" s="253">
        <f t="shared" si="42"/>
        <v>980</v>
      </c>
      <c r="AB413" s="445"/>
      <c r="AJ413" s="1">
        <v>980</v>
      </c>
    </row>
    <row r="414" spans="4:36" x14ac:dyDescent="0.3">
      <c r="D414" s="360"/>
      <c r="E414" s="384" t="s">
        <v>75</v>
      </c>
      <c r="F414" s="16"/>
      <c r="G414" s="16"/>
      <c r="H414" s="16"/>
      <c r="I414" s="674">
        <f>+K81</f>
        <v>48675</v>
      </c>
      <c r="J414" s="674"/>
      <c r="K414" s="16"/>
      <c r="L414" s="60">
        <f>+I414/$I$414</f>
        <v>1</v>
      </c>
      <c r="M414" s="385"/>
      <c r="N414" s="98"/>
      <c r="Q414" s="444"/>
      <c r="R414" s="6" t="s">
        <v>126</v>
      </c>
      <c r="S414" s="6"/>
      <c r="T414" s="6"/>
      <c r="U414" s="7">
        <v>1093</v>
      </c>
      <c r="V414" s="6"/>
      <c r="W414" s="7">
        <v>138546</v>
      </c>
      <c r="X414" s="6"/>
      <c r="Y414" s="7">
        <v>6770</v>
      </c>
      <c r="Z414" s="6"/>
      <c r="AA414" s="253">
        <f t="shared" si="42"/>
        <v>12700</v>
      </c>
      <c r="AB414" s="445"/>
      <c r="AJ414" s="1">
        <v>12700</v>
      </c>
    </row>
    <row r="415" spans="4:36" x14ac:dyDescent="0.3">
      <c r="D415" s="360"/>
      <c r="E415" s="384"/>
      <c r="F415" s="16"/>
      <c r="G415" s="16"/>
      <c r="H415" s="16"/>
      <c r="I415" s="16"/>
      <c r="J415" s="16"/>
      <c r="K415" s="16"/>
      <c r="L415" s="16"/>
      <c r="M415" s="385"/>
      <c r="N415" s="98"/>
      <c r="Q415" s="444"/>
      <c r="R415" s="6" t="s">
        <v>127</v>
      </c>
      <c r="S415" s="6"/>
      <c r="T415" s="6"/>
      <c r="U415" s="447">
        <v>1081</v>
      </c>
      <c r="V415" s="6"/>
      <c r="W415" s="447">
        <v>65337</v>
      </c>
      <c r="X415" s="6"/>
      <c r="Y415" s="447">
        <v>3108</v>
      </c>
      <c r="Z415" s="6"/>
      <c r="AA415" s="448">
        <f t="shared" si="42"/>
        <v>6100</v>
      </c>
      <c r="AB415" s="445"/>
      <c r="AJ415" s="439">
        <v>6100</v>
      </c>
    </row>
    <row r="416" spans="4:36" x14ac:dyDescent="0.3">
      <c r="D416" s="372"/>
      <c r="E416" s="15"/>
      <c r="F416" s="386" t="s">
        <v>100</v>
      </c>
      <c r="G416" s="386"/>
      <c r="H416" s="15"/>
      <c r="I416" s="675">
        <f>+I81</f>
        <v>36684</v>
      </c>
      <c r="J416" s="676"/>
      <c r="K416" s="15"/>
      <c r="L416" s="60">
        <f>+I416/$I$414</f>
        <v>0.75365177195685673</v>
      </c>
      <c r="M416" s="365"/>
      <c r="N416" s="98"/>
      <c r="Q416" s="444"/>
      <c r="R416" s="5" t="s">
        <v>31</v>
      </c>
      <c r="S416" s="6"/>
      <c r="T416" s="6"/>
      <c r="U416" s="253">
        <f>+W416/(AA416/100)</f>
        <v>1545.0521632402579</v>
      </c>
      <c r="V416" s="6"/>
      <c r="W416" s="253">
        <f>SUM(W406:W415)</f>
        <v>1007065</v>
      </c>
      <c r="X416" s="6"/>
      <c r="Y416" s="253">
        <f>SUM(Y406:Y415)</f>
        <v>71545</v>
      </c>
      <c r="Z416" s="6"/>
      <c r="AA416" s="253">
        <f>SUM(AA406:AA415)</f>
        <v>65180</v>
      </c>
      <c r="AB416" s="445"/>
      <c r="AJ416" s="56">
        <f>SUM(AJ406:AJ415)</f>
        <v>65180</v>
      </c>
    </row>
    <row r="417" spans="4:36" x14ac:dyDescent="0.3">
      <c r="D417" s="372"/>
      <c r="E417" s="15"/>
      <c r="F417" s="15" t="s">
        <v>76</v>
      </c>
      <c r="G417" s="15"/>
      <c r="H417" s="15"/>
      <c r="I417" s="677">
        <f>+I75</f>
        <v>2144</v>
      </c>
      <c r="J417" s="678"/>
      <c r="K417" s="15"/>
      <c r="L417" s="60">
        <f>+I417/$I$414</f>
        <v>4.4047252182845401E-2</v>
      </c>
      <c r="M417" s="365"/>
      <c r="N417" s="98"/>
      <c r="Q417" s="444"/>
      <c r="R417" s="5"/>
      <c r="S417" s="6"/>
      <c r="T417" s="6"/>
      <c r="U417" s="6"/>
      <c r="V417" s="6"/>
      <c r="W417" s="253"/>
      <c r="X417" s="6"/>
      <c r="Y417" s="253"/>
      <c r="Z417" s="6"/>
      <c r="AA417" s="6"/>
      <c r="AB417" s="445"/>
      <c r="AJ417" s="56"/>
    </row>
    <row r="418" spans="4:36" ht="15" thickBot="1" x14ac:dyDescent="0.35">
      <c r="D418" s="372"/>
      <c r="E418" s="663" t="s">
        <v>101</v>
      </c>
      <c r="F418" s="663"/>
      <c r="G418" s="663"/>
      <c r="H418" s="15"/>
      <c r="I418" s="664">
        <f>+I414-I416-I417</f>
        <v>9847</v>
      </c>
      <c r="J418" s="665"/>
      <c r="K418" s="387"/>
      <c r="L418" s="388">
        <f>+I418/$I$414</f>
        <v>0.20230097586029788</v>
      </c>
      <c r="M418" s="365"/>
      <c r="N418" s="98"/>
      <c r="Q418" s="444"/>
      <c r="R418" s="5" t="s">
        <v>57</v>
      </c>
      <c r="S418" s="6"/>
      <c r="T418" s="6"/>
      <c r="U418" s="7">
        <v>7441</v>
      </c>
      <c r="V418" s="6"/>
      <c r="W418" s="7">
        <f>+'Main Table'!H106</f>
        <v>3029734</v>
      </c>
      <c r="X418" s="6"/>
      <c r="Y418" s="7">
        <f>+'Main Table'!AA106</f>
        <v>129682</v>
      </c>
      <c r="Z418" s="6"/>
      <c r="AA418" s="253">
        <v>331000</v>
      </c>
      <c r="AB418" s="445"/>
      <c r="AJ418" s="56">
        <v>333000</v>
      </c>
    </row>
    <row r="419" spans="4:36" ht="15.6" thickTop="1" thickBot="1" x14ac:dyDescent="0.35">
      <c r="D419" s="372"/>
      <c r="E419" s="389"/>
      <c r="F419" s="389"/>
      <c r="G419" s="389"/>
      <c r="H419" s="15"/>
      <c r="I419" s="390"/>
      <c r="J419" s="389"/>
      <c r="K419" s="387"/>
      <c r="L419" s="391"/>
      <c r="M419" s="365"/>
      <c r="N419" s="98"/>
      <c r="Q419" s="444"/>
      <c r="R419" s="5" t="s">
        <v>130</v>
      </c>
      <c r="S419" s="6"/>
      <c r="T419" s="6"/>
      <c r="U419" s="449"/>
      <c r="V419" s="6"/>
      <c r="W419" s="450">
        <f>+W416/W418</f>
        <v>0.33239386692033029</v>
      </c>
      <c r="X419" s="6"/>
      <c r="Y419" s="450">
        <f>+Y416/Y418</f>
        <v>0.55169568637127742</v>
      </c>
      <c r="Z419" s="6"/>
      <c r="AA419" s="450">
        <f>+AA416/AA418</f>
        <v>0.19691842900302114</v>
      </c>
      <c r="AB419" s="445"/>
      <c r="AJ419" s="440">
        <f>+AJ416/AJ418</f>
        <v>0.19573573573573574</v>
      </c>
    </row>
    <row r="420" spans="4:36" ht="15.6" thickTop="1" thickBot="1" x14ac:dyDescent="0.35">
      <c r="D420" s="392"/>
      <c r="E420" s="393"/>
      <c r="F420" s="393"/>
      <c r="G420" s="393"/>
      <c r="H420" s="393"/>
      <c r="I420" s="393"/>
      <c r="J420" s="393"/>
      <c r="K420" s="393"/>
      <c r="L420" s="393"/>
      <c r="M420" s="380"/>
      <c r="N420" s="98"/>
      <c r="Q420" s="451"/>
      <c r="R420" s="452"/>
      <c r="S420" s="452"/>
      <c r="T420" s="452"/>
      <c r="U420" s="452"/>
      <c r="V420" s="452"/>
      <c r="W420" s="452"/>
      <c r="X420" s="452"/>
      <c r="Y420" s="452"/>
      <c r="Z420" s="452"/>
      <c r="AA420" s="452"/>
      <c r="AB420" s="453"/>
    </row>
    <row r="424" spans="4:36" x14ac:dyDescent="0.3">
      <c r="F424" s="1">
        <v>1248371</v>
      </c>
    </row>
    <row r="425" spans="4:36" x14ac:dyDescent="0.3">
      <c r="W425" s="1"/>
    </row>
    <row r="426" spans="4:36" x14ac:dyDescent="0.3">
      <c r="F426">
        <v>700</v>
      </c>
    </row>
    <row r="427" spans="4:36" x14ac:dyDescent="0.3">
      <c r="F427" s="76">
        <f>+F426/F424</f>
        <v>5.6073074430597954E-4</v>
      </c>
    </row>
    <row r="429" spans="4:36" x14ac:dyDescent="0.3">
      <c r="F429" s="1">
        <v>60000</v>
      </c>
    </row>
    <row r="430" spans="4:36" x14ac:dyDescent="0.3">
      <c r="F430">
        <f>+F427*F429</f>
        <v>33.643844658358773</v>
      </c>
    </row>
    <row r="432" spans="4:36" x14ac:dyDescent="0.3">
      <c r="F432" s="1">
        <v>331000000</v>
      </c>
    </row>
    <row r="433" spans="6:6" x14ac:dyDescent="0.3">
      <c r="F433" s="56">
        <f>+W86</f>
        <v>811067</v>
      </c>
    </row>
    <row r="434" spans="6:6" x14ac:dyDescent="0.3">
      <c r="F434" s="57">
        <f>+F433/F432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18:G418"/>
    <mergeCell ref="I418:J418"/>
    <mergeCell ref="E404:M404"/>
    <mergeCell ref="I405:L405"/>
    <mergeCell ref="F407:G407"/>
    <mergeCell ref="E413:J413"/>
    <mergeCell ref="I414:J414"/>
    <mergeCell ref="I416:J416"/>
    <mergeCell ref="I417:J417"/>
    <mergeCell ref="H409:I409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2021-05-24T23:37:07Z</dcterms:modified>
</cp:coreProperties>
</file>