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409FA35A-19B1-4282-BCCC-3A3FF17EB1E3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Table'!$A$1:$CJ$837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836" i="1" l="1"/>
  <c r="BK836" i="1"/>
  <c r="BI836" i="1"/>
  <c r="AY836" i="1"/>
  <c r="AU836" i="1"/>
  <c r="AS836" i="1"/>
  <c r="AQ836" i="1"/>
  <c r="AM836" i="1"/>
  <c r="AK836" i="1"/>
  <c r="AI836" i="1"/>
  <c r="W836" i="1"/>
  <c r="U836" i="1"/>
  <c r="M836" i="1"/>
  <c r="K836" i="1"/>
  <c r="BO835" i="1"/>
  <c r="BM835" i="1"/>
  <c r="BM836" i="1" s="1"/>
  <c r="BL835" i="1"/>
  <c r="BL836" i="1" s="1"/>
  <c r="BK835" i="1"/>
  <c r="BJ835" i="1"/>
  <c r="BJ836" i="1" s="1"/>
  <c r="BI835" i="1"/>
  <c r="BH835" i="1"/>
  <c r="BH836" i="1" s="1"/>
  <c r="BF835" i="1"/>
  <c r="BF836" i="1" s="1"/>
  <c r="BE835" i="1"/>
  <c r="BD835" i="1"/>
  <c r="BD836" i="1" s="1"/>
  <c r="BC835" i="1"/>
  <c r="BC836" i="1" s="1"/>
  <c r="BB835" i="1"/>
  <c r="BB836" i="1" s="1"/>
  <c r="BA835" i="1"/>
  <c r="BA836" i="1" s="1"/>
  <c r="AZ835" i="1"/>
  <c r="AZ836" i="1" s="1"/>
  <c r="AY835" i="1"/>
  <c r="AW835" i="1"/>
  <c r="AW836" i="1" s="1"/>
  <c r="AU835" i="1"/>
  <c r="AT835" i="1"/>
  <c r="AT836" i="1" s="1"/>
  <c r="AS835" i="1"/>
  <c r="AQ835" i="1"/>
  <c r="AP835" i="1"/>
  <c r="AP836" i="1" s="1"/>
  <c r="AO835" i="1"/>
  <c r="AO836" i="1" s="1"/>
  <c r="AN835" i="1"/>
  <c r="AN836" i="1" s="1"/>
  <c r="AM835" i="1"/>
  <c r="AK835" i="1"/>
  <c r="AJ835" i="1"/>
  <c r="AJ836" i="1" s="1"/>
  <c r="AI835" i="1"/>
  <c r="AH835" i="1"/>
  <c r="AH836" i="1" s="1"/>
  <c r="AG835" i="1"/>
  <c r="AG836" i="1" s="1"/>
  <c r="AF835" i="1"/>
  <c r="AF836" i="1" s="1"/>
  <c r="AD835" i="1"/>
  <c r="AD836" i="1" s="1"/>
  <c r="AB835" i="1"/>
  <c r="AB836" i="1" s="1"/>
  <c r="Y835" i="1"/>
  <c r="Y836" i="1" s="1"/>
  <c r="X835" i="1"/>
  <c r="X836" i="1" s="1"/>
  <c r="W835" i="1"/>
  <c r="V835" i="1"/>
  <c r="V836" i="1" s="1"/>
  <c r="U835" i="1"/>
  <c r="T835" i="1"/>
  <c r="T836" i="1" s="1"/>
  <c r="R835" i="1"/>
  <c r="R836" i="1" s="1"/>
  <c r="P835" i="1"/>
  <c r="P836" i="1" s="1"/>
  <c r="M835" i="1"/>
  <c r="L835" i="1"/>
  <c r="L836" i="1" s="1"/>
  <c r="K835" i="1"/>
  <c r="I835" i="1"/>
  <c r="I836" i="1" s="1"/>
  <c r="D835" i="1"/>
  <c r="D836" i="1" s="1"/>
  <c r="BW831" i="1"/>
  <c r="BN831" i="1" s="1"/>
  <c r="BN835" i="1" s="1"/>
  <c r="BN836" i="1" s="1"/>
  <c r="BE831" i="1"/>
  <c r="BA831" i="1"/>
  <c r="BG831" i="1" s="1"/>
  <c r="BG835" i="1" s="1"/>
  <c r="AL831" i="1"/>
  <c r="AR831" i="1" s="1"/>
  <c r="AR835" i="1" s="1"/>
  <c r="AR836" i="1" s="1"/>
  <c r="AA831" i="1"/>
  <c r="AE831" i="1" s="1"/>
  <c r="AE835" i="1" s="1"/>
  <c r="Z831" i="1"/>
  <c r="Z835" i="1" s="1"/>
  <c r="V831" i="1"/>
  <c r="Q831" i="1"/>
  <c r="S831" i="1" s="1"/>
  <c r="S835" i="1" s="1"/>
  <c r="S836" i="1" s="1"/>
  <c r="N831" i="1"/>
  <c r="N835" i="1" s="1"/>
  <c r="N836" i="1" s="1"/>
  <c r="J831" i="1"/>
  <c r="J835" i="1" s="1"/>
  <c r="J836" i="1" s="1"/>
  <c r="I20" i="3"/>
  <c r="BW830" i="1"/>
  <c r="BN830" i="1" s="1"/>
  <c r="BE830" i="1"/>
  <c r="BP830" i="1" s="1"/>
  <c r="BR830" i="1" s="1"/>
  <c r="BA830" i="1"/>
  <c r="AL830" i="1"/>
  <c r="AR830" i="1" s="1"/>
  <c r="AA830" i="1"/>
  <c r="AE830" i="1" s="1"/>
  <c r="AE836" i="1" s="1"/>
  <c r="Z830" i="1"/>
  <c r="V830" i="1"/>
  <c r="Q830" i="1"/>
  <c r="S830" i="1" s="1"/>
  <c r="N830" i="1"/>
  <c r="J830" i="1"/>
  <c r="H830" i="1"/>
  <c r="O830" i="1" s="1"/>
  <c r="BW829" i="1"/>
  <c r="BN829" i="1"/>
  <c r="BE829" i="1"/>
  <c r="BP829" i="1" s="1"/>
  <c r="BR829" i="1" s="1"/>
  <c r="BA829" i="1"/>
  <c r="AX829" i="1"/>
  <c r="AL829" i="1"/>
  <c r="AR829" i="1" s="1"/>
  <c r="AA829" i="1"/>
  <c r="AE829" i="1" s="1"/>
  <c r="Z829" i="1"/>
  <c r="V829" i="1"/>
  <c r="Q829" i="1"/>
  <c r="S829" i="1" s="1"/>
  <c r="N829" i="1"/>
  <c r="J829" i="1"/>
  <c r="H829" i="1"/>
  <c r="AV829" i="1" s="1"/>
  <c r="BW828" i="1"/>
  <c r="BN828" i="1" s="1"/>
  <c r="BG828" i="1"/>
  <c r="BE828" i="1"/>
  <c r="BP828" i="1" s="1"/>
  <c r="BR828" i="1" s="1"/>
  <c r="BA828" i="1"/>
  <c r="AX828" i="1"/>
  <c r="AL828" i="1"/>
  <c r="AR828" i="1" s="1"/>
  <c r="AC828" i="1"/>
  <c r="AA828" i="1"/>
  <c r="AE828" i="1" s="1"/>
  <c r="Z828" i="1"/>
  <c r="V828" i="1"/>
  <c r="Q828" i="1"/>
  <c r="S828" i="1" s="1"/>
  <c r="N828" i="1"/>
  <c r="J828" i="1"/>
  <c r="H828" i="1"/>
  <c r="AV828" i="1" s="1"/>
  <c r="BW827" i="1"/>
  <c r="BN827" i="1" s="1"/>
  <c r="BP827" i="1"/>
  <c r="BR827" i="1" s="1"/>
  <c r="BE827" i="1"/>
  <c r="BA827" i="1"/>
  <c r="AX827" i="1"/>
  <c r="AL827" i="1"/>
  <c r="AR827" i="1" s="1"/>
  <c r="AA827" i="1"/>
  <c r="AE827" i="1" s="1"/>
  <c r="Z827" i="1"/>
  <c r="V827" i="1"/>
  <c r="S827" i="1"/>
  <c r="Q827" i="1"/>
  <c r="N827" i="1"/>
  <c r="J827" i="1"/>
  <c r="H827" i="1"/>
  <c r="AV827" i="1" s="1"/>
  <c r="BW826" i="1"/>
  <c r="BN826" i="1" s="1"/>
  <c r="BE826" i="1"/>
  <c r="BA826" i="1"/>
  <c r="AL826" i="1"/>
  <c r="AR826" i="1" s="1"/>
  <c r="AA826" i="1"/>
  <c r="AE826" i="1" s="1"/>
  <c r="Z826" i="1"/>
  <c r="V826" i="1"/>
  <c r="Q826" i="1"/>
  <c r="S826" i="1" s="1"/>
  <c r="N826" i="1"/>
  <c r="J826" i="1"/>
  <c r="H826" i="1"/>
  <c r="O826" i="1" s="1"/>
  <c r="BW825" i="1"/>
  <c r="BN825" i="1" s="1"/>
  <c r="BE825" i="1"/>
  <c r="BP825" i="1" s="1"/>
  <c r="BR825" i="1" s="1"/>
  <c r="BA825" i="1"/>
  <c r="AX825" i="1"/>
  <c r="AL825" i="1"/>
  <c r="AR825" i="1" s="1"/>
  <c r="AA825" i="1"/>
  <c r="AE825" i="1" s="1"/>
  <c r="Z825" i="1"/>
  <c r="V825" i="1"/>
  <c r="S825" i="1"/>
  <c r="Q825" i="1"/>
  <c r="N825" i="1"/>
  <c r="J825" i="1"/>
  <c r="H825" i="1"/>
  <c r="AV825" i="1" s="1"/>
  <c r="B826" i="1"/>
  <c r="B827" i="1" s="1"/>
  <c r="B828" i="1" s="1"/>
  <c r="B829" i="1" s="1"/>
  <c r="B830" i="1" s="1"/>
  <c r="B831" i="1" s="1"/>
  <c r="B832" i="1" s="1"/>
  <c r="U784" i="3"/>
  <c r="U785" i="3" s="1"/>
  <c r="U786" i="3" s="1"/>
  <c r="U787" i="3" s="1"/>
  <c r="U788" i="3" s="1"/>
  <c r="U783" i="3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E836" i="2"/>
  <c r="W832" i="2"/>
  <c r="S832" i="2"/>
  <c r="K832" i="2"/>
  <c r="Q832" i="2" s="1"/>
  <c r="S831" i="2"/>
  <c r="W831" i="2"/>
  <c r="Q831" i="2"/>
  <c r="K831" i="2"/>
  <c r="M831" i="2" s="1"/>
  <c r="S829" i="2"/>
  <c r="S830" i="2"/>
  <c r="W830" i="2"/>
  <c r="M830" i="2"/>
  <c r="K830" i="2"/>
  <c r="Q830" i="2" s="1"/>
  <c r="W829" i="2"/>
  <c r="Q829" i="2"/>
  <c r="K829" i="2"/>
  <c r="M829" i="2" s="1"/>
  <c r="S828" i="2"/>
  <c r="W828" i="2"/>
  <c r="K828" i="2"/>
  <c r="Q828" i="2" s="1"/>
  <c r="S827" i="2"/>
  <c r="W827" i="2"/>
  <c r="K827" i="2"/>
  <c r="Q827" i="2" s="1"/>
  <c r="S826" i="2"/>
  <c r="W826" i="2"/>
  <c r="M826" i="2"/>
  <c r="K826" i="2"/>
  <c r="Q826" i="2" s="1"/>
  <c r="C828" i="2"/>
  <c r="C829" i="2" s="1"/>
  <c r="C830" i="2" s="1"/>
  <c r="C831" i="2" s="1"/>
  <c r="C832" i="2" s="1"/>
  <c r="C833" i="2" s="1"/>
  <c r="C827" i="2"/>
  <c r="BE824" i="1"/>
  <c r="BA824" i="1"/>
  <c r="AL824" i="1"/>
  <c r="AR824" i="1" s="1"/>
  <c r="Z824" i="1"/>
  <c r="Q824" i="1"/>
  <c r="S824" i="1" s="1"/>
  <c r="N824" i="1"/>
  <c r="BE823" i="1"/>
  <c r="BA823" i="1"/>
  <c r="AR823" i="1"/>
  <c r="AL823" i="1"/>
  <c r="Z823" i="1"/>
  <c r="Q823" i="1"/>
  <c r="N823" i="1"/>
  <c r="BE822" i="1"/>
  <c r="BA822" i="1"/>
  <c r="AR822" i="1"/>
  <c r="AL822" i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S820" i="1" s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S815" i="1" s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Q825" i="2" s="1"/>
  <c r="S824" i="2"/>
  <c r="K824" i="2"/>
  <c r="Q824" i="2" s="1"/>
  <c r="S823" i="2"/>
  <c r="K823" i="2"/>
  <c r="Q823" i="2" s="1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AL835" i="1" l="1"/>
  <c r="AL836" i="1" s="1"/>
  <c r="AA835" i="1"/>
  <c r="AA836" i="1" s="1"/>
  <c r="Z836" i="1"/>
  <c r="Q835" i="1"/>
  <c r="Q836" i="1" s="1"/>
  <c r="BE836" i="1"/>
  <c r="BP831" i="1"/>
  <c r="H831" i="1"/>
  <c r="AX831" i="1"/>
  <c r="AX835" i="1" s="1"/>
  <c r="AX836" i="1" s="1"/>
  <c r="AV830" i="1"/>
  <c r="AX830" i="1"/>
  <c r="AC830" i="1"/>
  <c r="BG830" i="1"/>
  <c r="BG836" i="1" s="1"/>
  <c r="AC829" i="1"/>
  <c r="BG829" i="1"/>
  <c r="O829" i="1"/>
  <c r="O828" i="1"/>
  <c r="BG827" i="1"/>
  <c r="O827" i="1"/>
  <c r="AC827" i="1"/>
  <c r="BG826" i="1"/>
  <c r="BP826" i="1"/>
  <c r="AC826" i="1"/>
  <c r="AV826" i="1"/>
  <c r="AX826" i="1"/>
  <c r="AC825" i="1"/>
  <c r="BG825" i="1"/>
  <c r="O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O831" i="1" l="1"/>
  <c r="O835" i="1" s="1"/>
  <c r="O836" i="1" s="1"/>
  <c r="AC831" i="1"/>
  <c r="AC835" i="1" s="1"/>
  <c r="AC836" i="1" s="1"/>
  <c r="AV831" i="1"/>
  <c r="AV835" i="1" s="1"/>
  <c r="AV836" i="1" s="1"/>
  <c r="H835" i="1"/>
  <c r="H836" i="1" s="1"/>
  <c r="BR831" i="1"/>
  <c r="BP835" i="1"/>
  <c r="BP836" i="1" s="1"/>
  <c r="BR826" i="1"/>
  <c r="BE803" i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N838" i="1" s="1"/>
  <c r="N839" i="1" s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N847" i="1" s="1"/>
  <c r="N848" i="1" s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N849" i="1" s="1"/>
  <c r="N850" i="1" s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840" i="1" l="1"/>
  <c r="W839" i="1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36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35" i="1"/>
  <c r="BQ836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838" i="1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27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840" i="1"/>
  <c r="BE840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840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26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35" i="1"/>
  <c r="BU836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35" i="1"/>
  <c r="BV836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61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09" i="3"/>
  <c r="AJ807" i="3"/>
  <c r="AJ810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25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847" i="1"/>
  <c r="D84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26" i="1"/>
  <c r="BG946" i="1"/>
  <c r="BG947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46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61" i="1"/>
  <c r="BP947" i="1"/>
  <c r="BG948" i="1" s="1"/>
  <c r="BN944" i="1"/>
  <c r="BP944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25" i="1"/>
  <c r="BP925" i="1" s="1"/>
  <c r="BP927" i="1"/>
  <c r="BP928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48" i="1"/>
  <c r="BG949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45" i="1"/>
  <c r="BP945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49" i="1" l="1"/>
  <c r="BY949" i="1" s="1"/>
  <c r="Q358" i="2"/>
  <c r="M357" i="2"/>
  <c r="U357" i="2"/>
  <c r="M358" i="2"/>
  <c r="CL955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29" i="1" l="1"/>
  <c r="BG953" i="1"/>
  <c r="BP952" i="1"/>
  <c r="BP954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20" i="1"/>
  <c r="N922" i="1" s="1"/>
  <c r="N923" i="1" l="1"/>
  <c r="D923" i="1" s="1"/>
  <c r="N924" i="1"/>
  <c r="N925" i="1"/>
  <c r="D924" i="1" l="1"/>
  <c r="D925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11" i="1"/>
  <c r="BG911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56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41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35" i="1"/>
  <c r="G836" i="1" s="1"/>
  <c r="F835" i="1"/>
  <c r="F836" i="1" s="1"/>
  <c r="E835" i="1"/>
  <c r="E836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59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56" i="1" l="1"/>
  <c r="AR855" i="1"/>
  <c r="AP855" i="1"/>
  <c r="AR854" i="1"/>
  <c r="AP854" i="1"/>
  <c r="AV854" i="1" l="1"/>
  <c r="AV855" i="1"/>
  <c r="AV856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00" i="1"/>
  <c r="N214" i="1"/>
  <c r="N204" i="1"/>
  <c r="BA899" i="1" s="1"/>
  <c r="N174" i="1"/>
  <c r="BA898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99" i="1" l="1"/>
  <c r="BE899" i="1" s="1"/>
  <c r="Q218" i="2"/>
  <c r="BC900" i="1"/>
  <c r="BE900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68" i="1"/>
  <c r="H868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87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40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38" i="1"/>
  <c r="BK841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88" i="1"/>
  <c r="AP889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83" i="1"/>
  <c r="H884" i="1"/>
  <c r="J884" i="1" s="1"/>
  <c r="H885" i="1"/>
  <c r="J885" i="1" s="1"/>
  <c r="S154" i="2"/>
  <c r="M156" i="2" l="1"/>
  <c r="Q156" i="2"/>
  <c r="O885" i="1"/>
  <c r="AI154" i="1"/>
  <c r="AI161" i="1"/>
  <c r="BK160" i="1"/>
  <c r="BM160" i="1" s="1"/>
  <c r="AR154" i="1"/>
  <c r="BG154" i="1"/>
  <c r="U155" i="2"/>
  <c r="J883" i="1"/>
  <c r="J890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86" i="1"/>
  <c r="AA885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24" i="3"/>
  <c r="F825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61" i="1" l="1"/>
  <c r="AR853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60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65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52" i="1" s="1"/>
  <c r="AH113" i="1"/>
  <c r="AP852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52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72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59" i="1"/>
  <c r="AP853" i="1" s="1"/>
  <c r="AV853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97" i="1"/>
  <c r="BC898" i="1" s="1"/>
  <c r="BE898" i="1" s="1"/>
  <c r="BE909" i="1"/>
  <c r="BE913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00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09" i="1" s="1"/>
  <c r="AL113" i="1"/>
  <c r="K114" i="2"/>
  <c r="V578" i="1" l="1"/>
  <c r="BA913" i="1"/>
  <c r="BC911" i="1"/>
  <c r="BG909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06" i="3"/>
  <c r="AA805" i="3"/>
  <c r="AA804" i="3"/>
  <c r="AA803" i="3"/>
  <c r="AA802" i="3"/>
  <c r="AA801" i="3"/>
  <c r="AA800" i="3"/>
  <c r="AA799" i="3"/>
  <c r="AA798" i="3"/>
  <c r="AA797" i="3"/>
  <c r="Y807" i="3"/>
  <c r="W807" i="3"/>
  <c r="S107" i="2"/>
  <c r="V621" i="1" l="1"/>
  <c r="V622" i="1" s="1"/>
  <c r="V623" i="1" s="1"/>
  <c r="V624" i="1" s="1"/>
  <c r="V625" i="1" s="1"/>
  <c r="V626" i="1" s="1"/>
  <c r="V627" i="1" s="1"/>
  <c r="V628" i="1" s="1"/>
  <c r="AA807" i="3"/>
  <c r="AA810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07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18" i="3"/>
  <c r="F821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51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S78" i="2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51" i="1"/>
  <c r="AV851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08" i="3" l="1"/>
  <c r="I805" i="3"/>
  <c r="L805" i="3" s="1"/>
  <c r="I78" i="3"/>
  <c r="I80" i="3" s="1"/>
  <c r="I77" i="3"/>
  <c r="BE64" i="1"/>
  <c r="BA64" i="1"/>
  <c r="AL64" i="1"/>
  <c r="AR64" i="1" s="1"/>
  <c r="K65" i="2"/>
  <c r="Y19" i="3"/>
  <c r="Q66" i="2" l="1"/>
  <c r="M66" i="2"/>
  <c r="L808" i="3"/>
  <c r="I79" i="3"/>
  <c r="I81" i="3" s="1"/>
  <c r="I82" i="3" s="1"/>
  <c r="BG64" i="1"/>
  <c r="U65" i="2"/>
  <c r="S64" i="2"/>
  <c r="N81" i="3" l="1"/>
  <c r="N82" i="3" s="1"/>
  <c r="I807" i="3"/>
  <c r="L807" i="3" s="1"/>
  <c r="K64" i="2"/>
  <c r="BE63" i="1"/>
  <c r="BA63" i="1"/>
  <c r="AL63" i="1"/>
  <c r="AR63" i="1" s="1"/>
  <c r="Y18" i="3"/>
  <c r="Q65" i="2" l="1"/>
  <c r="M65" i="2"/>
  <c r="I809" i="3"/>
  <c r="U64" i="2"/>
  <c r="BG63" i="1"/>
  <c r="L798" i="3" l="1"/>
  <c r="L809" i="3"/>
  <c r="L797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48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96" i="1"/>
  <c r="B899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50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58" i="1"/>
  <c r="AR860" i="1" s="1"/>
  <c r="AV860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50" i="1"/>
  <c r="AV850" i="1" s="1"/>
  <c r="BA856" i="1" s="1"/>
  <c r="BA857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34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C834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09" i="3"/>
  <c r="Y810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U789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09" i="3"/>
  <c r="W810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833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69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22" i="1" s="1"/>
  <c r="O173" i="1"/>
  <c r="AV173" i="1"/>
  <c r="AC173" i="1"/>
  <c r="BE922" i="1" l="1"/>
  <c r="BA944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44" i="1" l="1"/>
  <c r="BP922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44" i="1" l="1"/>
  <c r="CA944" i="1" s="1"/>
  <c r="BC944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35" i="1" s="1"/>
  <c r="BA923" i="1" s="1"/>
  <c r="J235" i="1"/>
  <c r="O234" i="1"/>
  <c r="AC234" i="1"/>
  <c r="BE923" i="1" l="1"/>
  <c r="BA945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23" i="1" l="1"/>
  <c r="BE945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45" i="1" l="1"/>
  <c r="BC945" i="1"/>
  <c r="BC949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849" i="1"/>
  <c r="AV269" i="1"/>
  <c r="H850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37" i="1"/>
  <c r="BA924" i="1" s="1"/>
  <c r="BA928" i="1" s="1"/>
  <c r="BR932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30" i="1"/>
  <c r="AA403" i="1"/>
  <c r="AA404" i="1" s="1"/>
  <c r="AE402" i="1"/>
  <c r="BE924" i="1"/>
  <c r="BA946" i="1"/>
  <c r="BA947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31" i="1"/>
  <c r="AA405" i="1"/>
  <c r="AE404" i="1"/>
  <c r="AE403" i="1"/>
  <c r="BE928" i="1"/>
  <c r="BE946" i="1"/>
  <c r="BP924" i="1"/>
  <c r="AC329" i="1"/>
  <c r="J330" i="1"/>
  <c r="H330" i="1"/>
  <c r="AV329" i="1"/>
  <c r="O329" i="1"/>
  <c r="BE948" i="1" l="1"/>
  <c r="BA949" i="1"/>
  <c r="BE949" i="1" s="1"/>
  <c r="BR949" i="1" s="1"/>
  <c r="CL950" i="1" s="1"/>
  <c r="BE947" i="1"/>
  <c r="BC946" i="1"/>
  <c r="AX439" i="1"/>
  <c r="BW440" i="1"/>
  <c r="BW441" i="1" s="1"/>
  <c r="BN439" i="1"/>
  <c r="BR424" i="1"/>
  <c r="BP425" i="1"/>
  <c r="BP426" i="1" s="1"/>
  <c r="AE405" i="1"/>
  <c r="AA406" i="1"/>
  <c r="AA407" i="1" s="1"/>
  <c r="BR946" i="1"/>
  <c r="D928" i="1"/>
  <c r="AH580" i="1" s="1"/>
  <c r="BG928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47" i="1"/>
  <c r="BC947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28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832" i="1"/>
  <c r="BW833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48" i="1"/>
  <c r="CL964" i="1" s="1"/>
  <c r="CL966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52" i="1"/>
  <c r="BC952" i="1" s="1"/>
  <c r="CL952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4" i="1" l="1"/>
  <c r="AX824" i="1"/>
  <c r="BR800" i="1"/>
  <c r="BP801" i="1"/>
  <c r="AE789" i="1"/>
  <c r="AA790" i="1"/>
  <c r="AE788" i="1"/>
  <c r="O618" i="1"/>
  <c r="J619" i="1"/>
  <c r="H619" i="1"/>
  <c r="AV618" i="1"/>
  <c r="AC618" i="1"/>
  <c r="BR801" i="1" l="1"/>
  <c r="BP802" i="1"/>
  <c r="AA791" i="1"/>
  <c r="AE790" i="1"/>
  <c r="AV619" i="1"/>
  <c r="J620" i="1"/>
  <c r="H620" i="1"/>
  <c r="O619" i="1"/>
  <c r="AC619" i="1"/>
  <c r="BR802" i="1" l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R804" i="1" l="1"/>
  <c r="BP805" i="1"/>
  <c r="BR803" i="1"/>
  <c r="AE793" i="1"/>
  <c r="AA794" i="1"/>
  <c r="AE792" i="1"/>
  <c r="J622" i="1"/>
  <c r="H622" i="1"/>
  <c r="O621" i="1"/>
  <c r="AV621" i="1"/>
  <c r="AC621" i="1"/>
  <c r="BR805" i="1" l="1"/>
  <c r="BP806" i="1"/>
  <c r="AE794" i="1"/>
  <c r="AA795" i="1"/>
  <c r="O622" i="1"/>
  <c r="H623" i="1"/>
  <c r="J623" i="1"/>
  <c r="AV622" i="1"/>
  <c r="AC622" i="1"/>
  <c r="BR806" i="1" l="1"/>
  <c r="BP807" i="1"/>
  <c r="AE795" i="1"/>
  <c r="AA796" i="1"/>
  <c r="AA797" i="1" s="1"/>
  <c r="O623" i="1"/>
  <c r="H624" i="1"/>
  <c r="J624" i="1"/>
  <c r="AV623" i="1"/>
  <c r="AC623" i="1"/>
  <c r="BR807" i="1" l="1"/>
  <c r="BP808" i="1"/>
  <c r="BP809" i="1" s="1"/>
  <c r="AA798" i="1"/>
  <c r="AE797" i="1"/>
  <c r="AA846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R809" i="1" l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R810" i="1" l="1"/>
  <c r="BP811" i="1"/>
  <c r="AE800" i="1"/>
  <c r="AA801" i="1"/>
  <c r="AE799" i="1"/>
  <c r="AC626" i="1"/>
  <c r="J627" i="1"/>
  <c r="AV626" i="1"/>
  <c r="H627" i="1"/>
  <c r="O626" i="1"/>
  <c r="BR811" i="1" l="1"/>
  <c r="BP812" i="1"/>
  <c r="AE801" i="1"/>
  <c r="AA802" i="1"/>
  <c r="O627" i="1"/>
  <c r="H628" i="1"/>
  <c r="J628" i="1"/>
  <c r="AV627" i="1"/>
  <c r="AC627" i="1"/>
  <c r="BR812" i="1" l="1"/>
  <c r="BP813" i="1"/>
  <c r="BP814" i="1" s="1"/>
  <c r="AE802" i="1"/>
  <c r="AA803" i="1"/>
  <c r="AA804" i="1" s="1"/>
  <c r="AC628" i="1"/>
  <c r="H629" i="1"/>
  <c r="J629" i="1"/>
  <c r="O628" i="1"/>
  <c r="AV628" i="1"/>
  <c r="BR814" i="1" l="1"/>
  <c r="BP815" i="1"/>
  <c r="BR813" i="1"/>
  <c r="AE804" i="1"/>
  <c r="AA805" i="1"/>
  <c r="AE803" i="1"/>
  <c r="J630" i="1"/>
  <c r="H630" i="1"/>
  <c r="AV629" i="1"/>
  <c r="O629" i="1"/>
  <c r="AC629" i="1"/>
  <c r="BR815" i="1" l="1"/>
  <c r="BP816" i="1"/>
  <c r="AA806" i="1"/>
  <c r="AE805" i="1"/>
  <c r="H631" i="1"/>
  <c r="J631" i="1"/>
  <c r="AV630" i="1"/>
  <c r="O630" i="1"/>
  <c r="AC630" i="1"/>
  <c r="BR816" i="1" l="1"/>
  <c r="BP817" i="1"/>
  <c r="BP818" i="1" s="1"/>
  <c r="AE806" i="1"/>
  <c r="AA807" i="1"/>
  <c r="O631" i="1"/>
  <c r="J632" i="1"/>
  <c r="H632" i="1"/>
  <c r="AV631" i="1"/>
  <c r="AC631" i="1"/>
  <c r="BR818" i="1" l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R819" i="1" l="1"/>
  <c r="BP820" i="1"/>
  <c r="AA810" i="1"/>
  <c r="AE809" i="1"/>
  <c r="AE808" i="1"/>
  <c r="O633" i="1"/>
  <c r="J634" i="1"/>
  <c r="H634" i="1"/>
  <c r="AV633" i="1"/>
  <c r="AC633" i="1"/>
  <c r="AA588" i="3"/>
  <c r="BR820" i="1" l="1"/>
  <c r="BP821" i="1"/>
  <c r="BP822" i="1" s="1"/>
  <c r="AE810" i="1"/>
  <c r="AA811" i="1"/>
  <c r="H635" i="1"/>
  <c r="J635" i="1"/>
  <c r="O634" i="1"/>
  <c r="AV634" i="1"/>
  <c r="AC634" i="1"/>
  <c r="BR822" i="1" l="1"/>
  <c r="BP823" i="1"/>
  <c r="BR821" i="1"/>
  <c r="AE811" i="1"/>
  <c r="AA812" i="1"/>
  <c r="AV635" i="1"/>
  <c r="H636" i="1"/>
  <c r="J636" i="1"/>
  <c r="O635" i="1"/>
  <c r="AC635" i="1"/>
  <c r="BR823" i="1" l="1"/>
  <c r="BP824" i="1"/>
  <c r="AE812" i="1"/>
  <c r="AA813" i="1"/>
  <c r="AA814" i="1" s="1"/>
  <c r="J637" i="1"/>
  <c r="H637" i="1"/>
  <c r="O636" i="1"/>
  <c r="AV636" i="1"/>
  <c r="AC636" i="1"/>
  <c r="BR824" i="1" l="1"/>
  <c r="AA815" i="1"/>
  <c r="AE814" i="1"/>
  <c r="AE813" i="1"/>
  <c r="J638" i="1"/>
  <c r="O637" i="1"/>
  <c r="AV637" i="1"/>
  <c r="H638" i="1"/>
  <c r="AC637" i="1"/>
  <c r="AA591" i="3"/>
  <c r="AA590" i="3"/>
  <c r="AE815" i="1" l="1"/>
  <c r="AA816" i="1"/>
  <c r="AV638" i="1"/>
  <c r="J639" i="1"/>
  <c r="H639" i="1"/>
  <c r="O638" i="1"/>
  <c r="AC638" i="1"/>
  <c r="AE816" i="1" l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AE818" i="1" l="1"/>
  <c r="AA819" i="1"/>
  <c r="AE817" i="1"/>
  <c r="H641" i="1"/>
  <c r="J641" i="1"/>
  <c r="O640" i="1"/>
  <c r="AV640" i="1"/>
  <c r="AC640" i="1"/>
  <c r="AE819" i="1" l="1"/>
  <c r="AA820" i="1"/>
  <c r="J642" i="1"/>
  <c r="H642" i="1"/>
  <c r="O641" i="1"/>
  <c r="AV641" i="1"/>
  <c r="AC641" i="1"/>
  <c r="AE820" i="1" l="1"/>
  <c r="AA821" i="1"/>
  <c r="AA822" i="1" s="1"/>
  <c r="J643" i="1"/>
  <c r="AV642" i="1"/>
  <c r="H643" i="1"/>
  <c r="O642" i="1"/>
  <c r="AC642" i="1"/>
  <c r="AE822" i="1" l="1"/>
  <c r="AA823" i="1"/>
  <c r="AE821" i="1"/>
  <c r="J644" i="1"/>
  <c r="H644" i="1"/>
  <c r="AV643" i="1"/>
  <c r="O643" i="1"/>
  <c r="AC643" i="1"/>
  <c r="AA824" i="1" l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AE824" i="1" l="1"/>
  <c r="J646" i="1"/>
  <c r="H646" i="1"/>
  <c r="O645" i="1"/>
  <c r="AV645" i="1"/>
  <c r="AC645" i="1"/>
  <c r="AJ21" i="2" l="1"/>
  <c r="I21" i="3"/>
  <c r="I35" i="3" s="1"/>
  <c r="AD49" i="2"/>
  <c r="AD51" i="2" s="1"/>
  <c r="AD53" i="2" s="1"/>
  <c r="AD55" i="2" s="1"/>
  <c r="AD57" i="2" s="1"/>
  <c r="O646" i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I23" i="3" s="1"/>
  <c r="I25" i="3" s="1"/>
  <c r="I27" i="3" s="1"/>
  <c r="AC812" i="1"/>
  <c r="I34" i="3" l="1"/>
  <c r="N27" i="3"/>
  <c r="N28" i="3" s="1"/>
  <c r="H814" i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AV824" i="1" l="1"/>
  <c r="O824" i="1"/>
  <c r="AC824" i="1"/>
  <c r="AA778" i="3"/>
  <c r="AA779" i="3"/>
  <c r="AA777" i="3"/>
  <c r="AF21" i="2" l="1"/>
  <c r="I32" i="3"/>
  <c r="L35" i="3" l="1"/>
  <c r="L32" i="3"/>
  <c r="I28" i="3"/>
  <c r="I36" i="3"/>
  <c r="L34" i="3"/>
  <c r="AA785" i="3" l="1"/>
  <c r="W786" i="3"/>
  <c r="AA786" i="3" s="1"/>
  <c r="AA783" i="3"/>
  <c r="AA784" i="3"/>
  <c r="AA781" i="3"/>
  <c r="AA782" i="3"/>
  <c r="AA780" i="3"/>
  <c r="L36" i="3"/>
  <c r="Y350" i="3" l="1"/>
  <c r="Y244" i="3"/>
  <c r="Y214" i="3"/>
  <c r="Y12" i="3"/>
  <c r="Y121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<sst xmlns="http://schemas.openxmlformats.org/spreadsheetml/2006/main" count="395" uniqueCount="190">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</sst>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Table'!$BA$939:$BA$943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Table'!$BA$944:$BA$949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Table'!$BC$939:$BC$943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Table'!$BC$944:$BC$949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Table'!$BJ$939:$BJ$943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Table'!$BJ$944:$BJ$948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Table'!$BK$939:$BK$943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Table'!$BK$944:$BK$948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Table'!$BL$939:$BL$943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Table'!$BL$944:$BL$948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Table'!$BM$939:$BM$943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Table'!$BM$944:$BM$948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Table'!$BP$939:$BP$943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Table'!$AS$944:$AT$949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Table'!$BP$944:$BP$949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Table'!$AU$939:$AU$943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Table'!$AU$944:$AU$949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Table'!$AV$939:$AV$943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Table'!$AV$944:$AV$948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Table'!$AW$939:$AW$943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Table'!$AW$944:$AW$948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Table'!$AX$939:$AX$943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Table'!$AX$944:$AX$948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Table'!$AY$939:$AY$943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Table'!$AY$944:$AY$948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Table'!$AZ$939:$AZ$943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Table'!$AZ$944:$AZ$948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Table'!$BB$939:$BB$943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Table'!$BB$944:$BB$948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Table'!$BD$939:$BD$943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Table'!$BD$944:$BD$948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Table'!$BE$939:$BE$943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Table'!$BE$944:$BE$948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Table'!$BF$939:$BF$943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Table'!$BF$944:$BF$948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Table'!$BG$939:$BG$943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Table'!$BG$944:$BG$948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Table'!$BH$939:$BH$943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Table'!$BH$944:$BH$948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Table'!$BI$939:$BI$943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Table'!$BI$944:$BI$948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Table'!$BN$939:$BN$943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Table'!$BN$944:$BN$948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Table'!$BO$939:$BO$943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Table'!$BO$944:$BO$948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Table'!$BQ$939:$BQ$943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Table'!$BQ$944:$BQ$948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Table'!$BR$939:$BR$943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Table'!$BR$944:$BR$948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Table'!$BS$939:$BS$943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Table'!$BS$944:$BS$948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Table'!$BT$939:$BT$943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Table'!$BR$944:$BR$949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Table'!$BU$939:$BU$943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Table'!$BU$944:$BU$948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Table'!$BV$939:$BV$943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Table'!$AS$944:$AT$949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Table'!$BV$944:$BV$948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848</xdr:row>
      <xdr:rowOff>99060</xdr:rowOff>
    </xdr:from>
    <xdr:to>
      <xdr:col>22</xdr:col>
      <xdr:colOff>312420</xdr:colOff>
      <xdr:row>849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848</xdr:row>
      <xdr:rowOff>129540</xdr:rowOff>
    </xdr:from>
    <xdr:to>
      <xdr:col>23</xdr:col>
      <xdr:colOff>68580</xdr:colOff>
      <xdr:row>849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866</xdr:row>
      <xdr:rowOff>125730</xdr:rowOff>
    </xdr:from>
    <xdr:to>
      <xdr:col>54</xdr:col>
      <xdr:colOff>213360</xdr:colOff>
      <xdr:row>881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956</xdr:row>
      <xdr:rowOff>91440</xdr:rowOff>
    </xdr:from>
    <xdr:to>
      <xdr:col>76</xdr:col>
      <xdr:colOff>472440</xdr:colOff>
      <xdr:row>979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960</xdr:row>
      <xdr:rowOff>60960</xdr:rowOff>
    </xdr:from>
    <xdr:to>
      <xdr:col>76</xdr:col>
      <xdr:colOff>60960</xdr:colOff>
      <xdr:row>960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80"/>
  <sheetViews>
    <sheetView tabSelected="1" topLeftCell="A816" zoomScaleNormal="100" workbookViewId="0">
      <selection activeCell="Q838" sqref="Q838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2" t="s">
        <v>5</v>
      </c>
      <c r="C1" s="612"/>
      <c r="D1" s="612"/>
    </row>
    <row r="2" spans="2:90" ht="15.6" x14ac:dyDescent="0.3">
      <c r="B2" s="612" t="s">
        <v>6</v>
      </c>
      <c r="C2" s="612"/>
      <c r="D2" s="612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5" t="s">
        <v>13</v>
      </c>
      <c r="C3" s="615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3" t="s">
        <v>11</v>
      </c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11"/>
      <c r="AE4" s="282"/>
      <c r="AF4" s="404"/>
      <c r="AG4" s="404"/>
      <c r="AH4" s="404"/>
      <c r="AI4" s="404"/>
      <c r="AJ4" s="12"/>
      <c r="AL4" s="592" t="s">
        <v>14</v>
      </c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  <c r="BK4" s="593"/>
      <c r="BL4" s="593"/>
      <c r="BM4" s="593"/>
      <c r="BN4" s="593"/>
      <c r="BO4" s="593"/>
      <c r="BP4" s="593"/>
      <c r="BQ4" s="593"/>
      <c r="BR4" s="593"/>
      <c r="BS4" s="593"/>
      <c r="BT4" s="593"/>
      <c r="BU4" s="594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6" t="s">
        <v>12</v>
      </c>
      <c r="G6" s="616"/>
      <c r="H6" s="616"/>
      <c r="I6" s="616"/>
      <c r="J6" s="616"/>
      <c r="K6" s="616"/>
      <c r="L6" s="616"/>
      <c r="M6" s="292"/>
      <c r="N6" s="499"/>
      <c r="O6" s="292"/>
      <c r="P6" s="293"/>
      <c r="Q6" s="622" t="s">
        <v>111</v>
      </c>
      <c r="R6" s="616"/>
      <c r="S6" s="616"/>
      <c r="T6" s="616"/>
      <c r="U6" s="623"/>
      <c r="V6" s="3"/>
      <c r="W6" s="8" t="s">
        <v>7</v>
      </c>
      <c r="X6" s="30"/>
      <c r="Y6" s="617">
        <v>1.2500000000000001E-2</v>
      </c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8"/>
      <c r="AK6" s="3"/>
      <c r="AL6" s="601" t="s">
        <v>25</v>
      </c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3"/>
      <c r="AZ6" s="3"/>
      <c r="BA6" s="604" t="s">
        <v>7</v>
      </c>
      <c r="BB6" s="596"/>
      <c r="BC6" s="596"/>
      <c r="BD6" s="85"/>
      <c r="BE6" s="595" t="s">
        <v>24</v>
      </c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6"/>
      <c r="BS6" s="596"/>
      <c r="BT6" s="596"/>
      <c r="BU6" s="597"/>
      <c r="BV6" s="3"/>
    </row>
    <row r="7" spans="2:90" ht="16.2" x14ac:dyDescent="0.3">
      <c r="D7" s="598" t="s">
        <v>20</v>
      </c>
      <c r="E7" s="599"/>
      <c r="F7" s="599"/>
      <c r="G7" s="599"/>
      <c r="H7" s="599"/>
      <c r="I7" s="599"/>
      <c r="J7" s="599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9" t="s">
        <v>33</v>
      </c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1"/>
      <c r="AK7" s="3"/>
      <c r="AL7" s="598" t="s">
        <v>68</v>
      </c>
      <c r="AM7" s="599"/>
      <c r="AN7" s="599"/>
      <c r="AO7" s="599"/>
      <c r="AP7" s="599"/>
      <c r="AQ7" s="599"/>
      <c r="AR7" s="599"/>
      <c r="AS7" s="599"/>
      <c r="AT7" s="599"/>
      <c r="AU7" s="599"/>
      <c r="AV7" s="599"/>
      <c r="AW7" s="599"/>
      <c r="AX7" s="599"/>
      <c r="AY7" s="600"/>
      <c r="BA7" s="598" t="s">
        <v>23</v>
      </c>
      <c r="BB7" s="599"/>
      <c r="BC7" s="599"/>
      <c r="BD7" s="599"/>
      <c r="BE7" s="599"/>
      <c r="BF7" s="599"/>
      <c r="BG7" s="599"/>
      <c r="BH7" s="599"/>
      <c r="BI7" s="599"/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599"/>
      <c r="BU7" s="60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90" t="s">
        <v>1</v>
      </c>
      <c r="BB8" s="591"/>
      <c r="BC8" s="591"/>
      <c r="BD8" s="63"/>
      <c r="BE8" s="591" t="s">
        <v>22</v>
      </c>
      <c r="BF8" s="591"/>
      <c r="BG8" s="591"/>
      <c r="BH8" s="591"/>
      <c r="BI8" s="605"/>
      <c r="BJ8" s="606" t="s">
        <v>111</v>
      </c>
      <c r="BK8" s="607"/>
      <c r="BL8" s="607"/>
      <c r="BM8" s="608"/>
      <c r="BN8" s="590" t="s">
        <v>22</v>
      </c>
      <c r="BO8" s="591"/>
      <c r="BP8" s="591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SUM(D102:D834)</f>
        <v>72915647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SUM(D109:D841)</f>
        <v>72693583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SUM(D116:D848)</f>
        <v>73145258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 t="shared" ref="AH152:AH183" si="112">SUM(D123:D858)</f>
        <v>403750388</v>
      </c>
      <c r="AI152" s="213">
        <f t="shared" ref="AI152:AI164" si="113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 t="shared" si="112"/>
        <v>403688669</v>
      </c>
      <c r="AI153" s="213" t="e">
        <f t="shared" si="113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 t="shared" si="112"/>
        <v>403630320</v>
      </c>
      <c r="AI154" s="213" t="e">
        <f t="shared" si="113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 t="shared" si="112"/>
        <v>403564832</v>
      </c>
      <c r="AI155" s="213" t="e">
        <f t="shared" si="113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 t="shared" si="112"/>
        <v>403498784</v>
      </c>
      <c r="AI156" s="213" t="e">
        <f t="shared" si="113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 t="shared" si="112"/>
        <v>403426789</v>
      </c>
      <c r="AI157" s="213" t="e">
        <f t="shared" si="113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 t="shared" si="112"/>
        <v>480353401</v>
      </c>
      <c r="AI158" s="213" t="e">
        <f t="shared" si="113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4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 t="shared" si="112"/>
        <v>480278414.23262841</v>
      </c>
      <c r="AI159" s="213">
        <f t="shared" si="113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4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 t="shared" si="112"/>
        <v>480215155.23262841</v>
      </c>
      <c r="AI160" s="213">
        <f t="shared" si="113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4"/>
        <v>345286</v>
      </c>
      <c r="O161" s="16">
        <f t="shared" ref="O161:O169" si="115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 t="shared" si="112"/>
        <v>811149876.23262835</v>
      </c>
      <c r="AI161" s="213">
        <f t="shared" si="113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4"/>
        <v>335914</v>
      </c>
      <c r="O162" s="16">
        <f t="shared" si="115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 t="shared" si="112"/>
        <v>855440997.23262835</v>
      </c>
      <c r="AI162" s="213">
        <f t="shared" si="113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4"/>
        <v>325907</v>
      </c>
      <c r="O163" s="16">
        <f t="shared" si="115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 t="shared" si="112"/>
        <v>855373518.30462837</v>
      </c>
      <c r="AI163" s="213">
        <f t="shared" si="113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4"/>
        <v>315788</v>
      </c>
      <c r="O164" s="16">
        <f t="shared" si="115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 t="shared" si="112"/>
        <v>855301551.30462837</v>
      </c>
      <c r="AI164" s="213">
        <f t="shared" si="113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6">+H164+D165</f>
        <v>6456256</v>
      </c>
      <c r="I165" s="16"/>
      <c r="J165" s="436">
        <f t="shared" ref="J165:J182" si="117">+D165/H164</f>
        <v>6.8350095837348326E-3</v>
      </c>
      <c r="K165" s="16"/>
      <c r="L165" s="16"/>
      <c r="M165" s="16"/>
      <c r="N165" s="16">
        <f t="shared" ref="N165:N182" si="118">SUM(D159:D165)</f>
        <v>306094</v>
      </c>
      <c r="O165" s="16">
        <f t="shared" si="115"/>
        <v>41386.256410256414</v>
      </c>
      <c r="P165" s="41"/>
      <c r="Q165" s="17">
        <f t="shared" ref="Q165:Q182" si="119">SUM(D159:D165)</f>
        <v>306094</v>
      </c>
      <c r="R165" s="16"/>
      <c r="S165" s="60">
        <f t="shared" ref="S165:S182" si="120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1">+AA164+W165</f>
        <v>182894</v>
      </c>
      <c r="AB165" s="33"/>
      <c r="AC165" s="46">
        <f t="shared" ref="AC165:AC182" si="122">+AA165/H165</f>
        <v>2.8328182773421622E-2</v>
      </c>
      <c r="AD165" s="33"/>
      <c r="AE165" s="33">
        <f t="shared" ref="AE165:AE182" si="123">+AA165/BW165</f>
        <v>1172.3974358974358</v>
      </c>
      <c r="AF165" s="50"/>
      <c r="AG165" s="33">
        <f t="shared" ref="AG165:AG182" si="124">SUM(W159:W165)</f>
        <v>6994</v>
      </c>
      <c r="AH165" s="33">
        <f t="shared" si="112"/>
        <v>855232108.34662843</v>
      </c>
      <c r="AI165" s="213">
        <f t="shared" ref="AI165:AI182" si="125">+(AG165-AG158)/AG158</f>
        <v>-6.3470808784145683E-2</v>
      </c>
      <c r="AJ165" s="50"/>
      <c r="AK165" s="10"/>
      <c r="AL165" s="23">
        <f t="shared" ref="AL165:AL182" si="126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7">+AL165/AP164</f>
        <v>6.606727978159619E-3</v>
      </c>
      <c r="AS165" s="25"/>
      <c r="AT165" s="25"/>
      <c r="AU165" s="24"/>
      <c r="AV165" s="298">
        <f t="shared" ref="AV165:AV182" si="128">+AP165/H165</f>
        <v>0.48760148296473993</v>
      </c>
      <c r="AW165" s="298"/>
      <c r="AX165" s="24">
        <f t="shared" ref="AX165:AX182" si="129">+AP165/BW165</f>
        <v>20180</v>
      </c>
      <c r="AY165" s="308"/>
      <c r="AZ165" s="10"/>
      <c r="BA165" s="65">
        <f t="shared" ref="BA165:BA182" si="130">+BC165-BC164</f>
        <v>756595</v>
      </c>
      <c r="BB165" s="66"/>
      <c r="BC165" s="66">
        <v>75475175</v>
      </c>
      <c r="BD165" s="66"/>
      <c r="BE165" s="66">
        <f t="shared" ref="BE165:BE182" si="131">+D165</f>
        <v>43829</v>
      </c>
      <c r="BF165" s="66"/>
      <c r="BG165" s="144">
        <f t="shared" ref="BG165:BG182" si="132">+BE165/BA165</f>
        <v>5.7929275239725346E-2</v>
      </c>
      <c r="BH165" s="66"/>
      <c r="BI165" s="170"/>
      <c r="BJ165" s="66"/>
      <c r="BK165" s="66">
        <f t="shared" ref="BK165:BK182" si="133">SUM(BA159:BA165)</f>
        <v>5250502</v>
      </c>
      <c r="BL165" s="66"/>
      <c r="BM165" s="144">
        <f t="shared" ref="BM165:BM182" si="134">+Q165/BK165</f>
        <v>5.8298044644112125E-2</v>
      </c>
      <c r="BN165" s="65">
        <f t="shared" ref="BN165:BN182" si="135">+BC165/BW165</f>
        <v>483815.22435897437</v>
      </c>
      <c r="BO165" s="66"/>
      <c r="BP165" s="66">
        <f t="shared" ref="BP165:BP182" si="136">+BP164+BE165</f>
        <v>5549278</v>
      </c>
      <c r="BQ165" s="66"/>
      <c r="BR165" s="435">
        <f t="shared" ref="BR165:BR182" si="137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6"/>
        <v>6488974</v>
      </c>
      <c r="I166" s="16"/>
      <c r="J166" s="436">
        <f t="shared" si="117"/>
        <v>5.0676429187442385E-3</v>
      </c>
      <c r="K166" s="16"/>
      <c r="L166" s="16"/>
      <c r="M166" s="16"/>
      <c r="N166" s="16">
        <f t="shared" si="118"/>
        <v>301969</v>
      </c>
      <c r="O166" s="16">
        <f t="shared" si="115"/>
        <v>41331.044585987263</v>
      </c>
      <c r="P166" s="41"/>
      <c r="Q166" s="17">
        <f t="shared" si="119"/>
        <v>301969</v>
      </c>
      <c r="R166" s="16"/>
      <c r="S166" s="60">
        <f t="shared" si="120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1"/>
        <v>183324</v>
      </c>
      <c r="AB166" s="33"/>
      <c r="AC166" s="46">
        <f t="shared" si="122"/>
        <v>2.8251615740793538E-2</v>
      </c>
      <c r="AD166" s="33"/>
      <c r="AE166" s="33">
        <f t="shared" si="123"/>
        <v>1167.6687898089172</v>
      </c>
      <c r="AF166" s="50"/>
      <c r="AG166" s="33">
        <f t="shared" si="124"/>
        <v>6902</v>
      </c>
      <c r="AH166" s="33">
        <f t="shared" si="112"/>
        <v>856155074.34662843</v>
      </c>
      <c r="AI166" s="213">
        <f t="shared" si="125"/>
        <v>-7.430257510729614E-2</v>
      </c>
      <c r="AJ166" s="50"/>
      <c r="AK166" s="10"/>
      <c r="AL166" s="23">
        <f t="shared" si="126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7"/>
        <v>6.0300246499453633E-3</v>
      </c>
      <c r="AS166" s="25"/>
      <c r="AT166" s="25"/>
      <c r="AU166" s="24"/>
      <c r="AV166" s="298">
        <f t="shared" si="128"/>
        <v>0.48806837567849709</v>
      </c>
      <c r="AW166" s="298"/>
      <c r="AX166" s="24">
        <f t="shared" si="129"/>
        <v>20172.375796178345</v>
      </c>
      <c r="AY166" s="308"/>
      <c r="AZ166" s="348"/>
      <c r="BA166" s="65">
        <f t="shared" si="130"/>
        <v>684203</v>
      </c>
      <c r="BB166" s="66"/>
      <c r="BC166" s="66">
        <v>76159378</v>
      </c>
      <c r="BD166" s="66"/>
      <c r="BE166" s="66">
        <f t="shared" si="131"/>
        <v>32718</v>
      </c>
      <c r="BF166" s="66"/>
      <c r="BG166" s="144">
        <f t="shared" si="132"/>
        <v>4.7819141395170732E-2</v>
      </c>
      <c r="BH166" s="66"/>
      <c r="BI166" s="170"/>
      <c r="BJ166" s="66"/>
      <c r="BK166" s="66">
        <f t="shared" si="133"/>
        <v>5198748</v>
      </c>
      <c r="BL166" s="66"/>
      <c r="BM166" s="144">
        <f t="shared" si="134"/>
        <v>5.8084946606375226E-2</v>
      </c>
      <c r="BN166" s="65">
        <f t="shared" si="135"/>
        <v>485091.57961783442</v>
      </c>
      <c r="BO166" s="66"/>
      <c r="BP166" s="66">
        <f t="shared" si="136"/>
        <v>5581996</v>
      </c>
      <c r="BQ166" s="66"/>
      <c r="BR166" s="435">
        <f t="shared" si="137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6"/>
        <v>6530458</v>
      </c>
      <c r="I167" s="16"/>
      <c r="J167" s="436">
        <f t="shared" si="117"/>
        <v>6.3929983384122049E-3</v>
      </c>
      <c r="K167" s="16"/>
      <c r="L167" s="16"/>
      <c r="M167" s="16"/>
      <c r="N167" s="16">
        <f t="shared" si="118"/>
        <v>302841</v>
      </c>
      <c r="O167" s="16">
        <f t="shared" si="115"/>
        <v>41332.012658227846</v>
      </c>
      <c r="P167" s="41"/>
      <c r="Q167" s="17">
        <f t="shared" si="119"/>
        <v>302841</v>
      </c>
      <c r="R167" s="16"/>
      <c r="S167" s="60">
        <f t="shared" si="120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1"/>
        <v>183834</v>
      </c>
      <c r="AB167" s="33"/>
      <c r="AC167" s="46">
        <f t="shared" si="122"/>
        <v>2.8150246123625631E-2</v>
      </c>
      <c r="AD167" s="33"/>
      <c r="AE167" s="33">
        <f t="shared" si="123"/>
        <v>1163.506329113924</v>
      </c>
      <c r="AF167" s="50"/>
      <c r="AG167" s="33">
        <f t="shared" si="124"/>
        <v>6823</v>
      </c>
      <c r="AH167" s="33">
        <f t="shared" si="112"/>
        <v>856087661.34662843</v>
      </c>
      <c r="AI167" s="213">
        <f t="shared" si="125"/>
        <v>-8.7346174424826103E-2</v>
      </c>
      <c r="AJ167" s="50"/>
      <c r="AK167" s="10"/>
      <c r="AL167" s="23">
        <f t="shared" si="126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7"/>
        <v>1.607735621299608E-2</v>
      </c>
      <c r="AS167" s="25"/>
      <c r="AT167" s="25"/>
      <c r="AU167" s="24"/>
      <c r="AV167" s="298">
        <f t="shared" si="128"/>
        <v>0.49276497911785055</v>
      </c>
      <c r="AW167" s="298"/>
      <c r="AX167" s="24">
        <f t="shared" si="129"/>
        <v>20366.968354430381</v>
      </c>
      <c r="AY167" s="308"/>
      <c r="AZ167" s="10"/>
      <c r="BA167" s="65">
        <f t="shared" si="130"/>
        <v>724101</v>
      </c>
      <c r="BB167" s="66"/>
      <c r="BC167" s="66">
        <v>76883479</v>
      </c>
      <c r="BD167" s="66"/>
      <c r="BE167" s="66">
        <f t="shared" si="131"/>
        <v>41484</v>
      </c>
      <c r="BF167" s="66"/>
      <c r="BG167" s="144">
        <f t="shared" si="132"/>
        <v>5.7290350379297916E-2</v>
      </c>
      <c r="BH167" s="66"/>
      <c r="BI167" s="170"/>
      <c r="BJ167" s="66"/>
      <c r="BK167" s="66">
        <f t="shared" si="133"/>
        <v>5195698</v>
      </c>
      <c r="BL167" s="66"/>
      <c r="BM167" s="144">
        <f t="shared" si="134"/>
        <v>5.8286875026223615E-2</v>
      </c>
      <c r="BN167" s="65">
        <f t="shared" si="135"/>
        <v>486604.2974683544</v>
      </c>
      <c r="BO167" s="66"/>
      <c r="BP167" s="66">
        <f t="shared" si="136"/>
        <v>5623480</v>
      </c>
      <c r="BQ167" s="66"/>
      <c r="BR167" s="435">
        <f t="shared" si="137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6"/>
        <v>6570556</v>
      </c>
      <c r="I168" s="16"/>
      <c r="J168" s="436">
        <f t="shared" si="117"/>
        <v>6.140151272697872E-3</v>
      </c>
      <c r="K168" s="16"/>
      <c r="L168" s="16"/>
      <c r="M168" s="16"/>
      <c r="N168" s="16">
        <f t="shared" si="118"/>
        <v>298940</v>
      </c>
      <c r="O168" s="16">
        <f t="shared" si="115"/>
        <v>41324.251572327041</v>
      </c>
      <c r="P168" s="41"/>
      <c r="Q168" s="17">
        <f t="shared" si="119"/>
        <v>298940</v>
      </c>
      <c r="R168" s="16"/>
      <c r="S168" s="60">
        <f t="shared" si="120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1"/>
        <v>185124</v>
      </c>
      <c r="AB168" s="33"/>
      <c r="AC168" s="46">
        <f t="shared" si="122"/>
        <v>2.8174784599659452E-2</v>
      </c>
      <c r="AD168" s="33"/>
      <c r="AE168" s="33">
        <f t="shared" si="123"/>
        <v>1164.3018867924529</v>
      </c>
      <c r="AF168" s="50"/>
      <c r="AG168" s="33">
        <f t="shared" si="124"/>
        <v>6755</v>
      </c>
      <c r="AH168" s="33">
        <f t="shared" si="112"/>
        <v>856031531.34662843</v>
      </c>
      <c r="AI168" s="213">
        <f t="shared" si="125"/>
        <v>-7.8444747612551158E-2</v>
      </c>
      <c r="AJ168" s="50"/>
      <c r="AK168" s="10"/>
      <c r="AL168" s="23">
        <f t="shared" si="126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7"/>
        <v>1.1280675678321283E-2</v>
      </c>
      <c r="AS168" s="25"/>
      <c r="AT168" s="25"/>
      <c r="AU168" s="24"/>
      <c r="AV168" s="298">
        <f t="shared" si="128"/>
        <v>0.49528259100143124</v>
      </c>
      <c r="AW168" s="298"/>
      <c r="AX168" s="24">
        <f t="shared" si="129"/>
        <v>20467.182389937108</v>
      </c>
      <c r="AY168" s="308"/>
      <c r="AZ168" s="10"/>
      <c r="BA168" s="65">
        <f t="shared" si="130"/>
        <v>1047928</v>
      </c>
      <c r="BB168" s="66"/>
      <c r="BC168" s="66">
        <v>77931407</v>
      </c>
      <c r="BD168" s="66"/>
      <c r="BE168" s="66">
        <f t="shared" si="131"/>
        <v>40098</v>
      </c>
      <c r="BF168" s="66"/>
      <c r="BG168" s="144">
        <f t="shared" si="132"/>
        <v>3.8264079211548882E-2</v>
      </c>
      <c r="BH168" s="66"/>
      <c r="BI168" s="170"/>
      <c r="BJ168" s="66"/>
      <c r="BK168" s="66">
        <f t="shared" si="133"/>
        <v>5563756</v>
      </c>
      <c r="BL168" s="66"/>
      <c r="BM168" s="144">
        <f t="shared" si="134"/>
        <v>5.3729890383402867E-2</v>
      </c>
      <c r="BN168" s="65">
        <f t="shared" si="135"/>
        <v>490134.63522012578</v>
      </c>
      <c r="BO168" s="66"/>
      <c r="BP168" s="66">
        <f t="shared" si="136"/>
        <v>5663578</v>
      </c>
      <c r="BQ168" s="66"/>
      <c r="BR168" s="435">
        <f t="shared" si="137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6"/>
        <v>6615193</v>
      </c>
      <c r="I169" s="16"/>
      <c r="J169" s="436">
        <f t="shared" si="117"/>
        <v>6.7934890137151252E-3</v>
      </c>
      <c r="K169" s="16"/>
      <c r="L169" s="16"/>
      <c r="M169" s="16"/>
      <c r="N169" s="16">
        <f t="shared" si="118"/>
        <v>298604</v>
      </c>
      <c r="O169" s="16">
        <f t="shared" si="115"/>
        <v>41344.956250000003</v>
      </c>
      <c r="P169" s="41"/>
      <c r="Q169" s="17">
        <f t="shared" si="119"/>
        <v>298604</v>
      </c>
      <c r="R169" s="16"/>
      <c r="S169" s="60">
        <f t="shared" si="120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1"/>
        <v>186404</v>
      </c>
      <c r="AB169" s="33"/>
      <c r="AC169" s="46">
        <f t="shared" si="122"/>
        <v>2.8178165021035668E-2</v>
      </c>
      <c r="AD169" s="33"/>
      <c r="AE169" s="33">
        <f t="shared" si="123"/>
        <v>1165.0250000000001</v>
      </c>
      <c r="AF169" s="50"/>
      <c r="AG169" s="33">
        <f t="shared" si="124"/>
        <v>6751</v>
      </c>
      <c r="AH169" s="33">
        <f t="shared" si="112"/>
        <v>855969960.34662843</v>
      </c>
      <c r="AI169" s="213">
        <f t="shared" si="125"/>
        <v>-6.5993359158826786E-2</v>
      </c>
      <c r="AJ169" s="50"/>
      <c r="AK169" s="10"/>
      <c r="AL169" s="23">
        <f t="shared" si="126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7"/>
        <v>1.8307878665708748E-2</v>
      </c>
      <c r="AS169" s="25"/>
      <c r="AT169" s="25"/>
      <c r="AU169" s="24"/>
      <c r="AV169" s="298">
        <f t="shared" si="128"/>
        <v>0.50094698673190641</v>
      </c>
      <c r="AW169" s="298"/>
      <c r="AX169" s="24">
        <f t="shared" si="129"/>
        <v>20711.631249999999</v>
      </c>
      <c r="AY169" s="308"/>
      <c r="AZ169" s="10"/>
      <c r="BA169" s="65">
        <f t="shared" si="130"/>
        <v>701159</v>
      </c>
      <c r="BB169" s="66"/>
      <c r="BC169" s="66">
        <v>78632566</v>
      </c>
      <c r="BD169" s="66"/>
      <c r="BE169" s="66">
        <f t="shared" si="131"/>
        <v>44637</v>
      </c>
      <c r="BF169" s="66"/>
      <c r="BG169" s="144">
        <f t="shared" si="132"/>
        <v>6.3661737209391875E-2</v>
      </c>
      <c r="BH169" s="66"/>
      <c r="BI169" s="170"/>
      <c r="BJ169" s="66"/>
      <c r="BK169" s="66">
        <f t="shared" si="133"/>
        <v>5516857</v>
      </c>
      <c r="BL169" s="66"/>
      <c r="BM169" s="144">
        <f t="shared" si="134"/>
        <v>5.4125745873057796E-2</v>
      </c>
      <c r="BN169" s="65">
        <f t="shared" si="135"/>
        <v>491453.53749999998</v>
      </c>
      <c r="BO169" s="66"/>
      <c r="BP169" s="66">
        <f t="shared" si="136"/>
        <v>5708215</v>
      </c>
      <c r="BQ169" s="66"/>
      <c r="BR169" s="435">
        <f t="shared" si="137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6"/>
        <v>6661199</v>
      </c>
      <c r="I170" s="16"/>
      <c r="J170" s="436">
        <f t="shared" si="117"/>
        <v>6.9545967895418923E-3</v>
      </c>
      <c r="K170" s="16"/>
      <c r="L170" s="16"/>
      <c r="M170" s="16"/>
      <c r="N170" s="16">
        <f t="shared" si="118"/>
        <v>299253</v>
      </c>
      <c r="O170" s="16">
        <f t="shared" ref="O170:O182" si="138">+H170/BW170</f>
        <v>41373.90683229814</v>
      </c>
      <c r="P170" s="41"/>
      <c r="Q170" s="17">
        <f t="shared" si="119"/>
        <v>299253</v>
      </c>
      <c r="R170" s="16"/>
      <c r="S170" s="60">
        <f t="shared" si="120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1"/>
        <v>187547</v>
      </c>
      <c r="AB170" s="33"/>
      <c r="AC170" s="46">
        <f t="shared" si="122"/>
        <v>2.8155141439251401E-2</v>
      </c>
      <c r="AD170" s="33"/>
      <c r="AE170" s="33">
        <f t="shared" si="123"/>
        <v>1164.888198757764</v>
      </c>
      <c r="AF170" s="50"/>
      <c r="AG170" s="33">
        <f t="shared" si="124"/>
        <v>6797</v>
      </c>
      <c r="AH170" s="33">
        <f t="shared" si="112"/>
        <v>855905231.34662843</v>
      </c>
      <c r="AI170" s="213">
        <f t="shared" si="125"/>
        <v>-3.4654168441982672E-2</v>
      </c>
      <c r="AJ170" s="50"/>
      <c r="AK170" s="10"/>
      <c r="AL170" s="23">
        <f t="shared" si="126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7"/>
        <v>1.0283774726821675E-2</v>
      </c>
      <c r="AS170" s="25"/>
      <c r="AT170" s="25"/>
      <c r="AU170" s="24"/>
      <c r="AV170" s="298">
        <f t="shared" si="128"/>
        <v>0.50260321002270014</v>
      </c>
      <c r="AW170" s="298"/>
      <c r="AX170" s="24">
        <f t="shared" si="129"/>
        <v>20794.658385093167</v>
      </c>
      <c r="AY170" s="308"/>
      <c r="AZ170" s="10"/>
      <c r="BA170" s="65">
        <f t="shared" si="130"/>
        <v>839920</v>
      </c>
      <c r="BB170" s="66"/>
      <c r="BC170" s="66">
        <v>79472486</v>
      </c>
      <c r="BD170" s="66"/>
      <c r="BE170" s="66">
        <f t="shared" si="131"/>
        <v>46006</v>
      </c>
      <c r="BF170" s="66"/>
      <c r="BG170" s="144">
        <f t="shared" si="132"/>
        <v>5.4774264215639586E-2</v>
      </c>
      <c r="BH170" s="66"/>
      <c r="BI170" s="170"/>
      <c r="BJ170" s="66"/>
      <c r="BK170" s="66">
        <f t="shared" si="133"/>
        <v>5604154</v>
      </c>
      <c r="BL170" s="66"/>
      <c r="BM170" s="144">
        <f t="shared" si="134"/>
        <v>5.3398425525065872E-2</v>
      </c>
      <c r="BN170" s="65">
        <f t="shared" si="135"/>
        <v>493617.92546583852</v>
      </c>
      <c r="BO170" s="66"/>
      <c r="BP170" s="66">
        <f t="shared" si="136"/>
        <v>5754221</v>
      </c>
      <c r="BQ170" s="66"/>
      <c r="BR170" s="435">
        <f t="shared" si="137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6"/>
        <v>6710800</v>
      </c>
      <c r="I171" s="16"/>
      <c r="J171" s="436">
        <f t="shared" si="117"/>
        <v>7.4462570477176852E-3</v>
      </c>
      <c r="K171" s="16"/>
      <c r="L171" s="16"/>
      <c r="M171" s="16"/>
      <c r="N171" s="16">
        <f t="shared" si="118"/>
        <v>298373</v>
      </c>
      <c r="O171" s="16">
        <f t="shared" si="138"/>
        <v>41424.691358024691</v>
      </c>
      <c r="P171" s="41"/>
      <c r="Q171" s="17">
        <f t="shared" si="119"/>
        <v>298373</v>
      </c>
      <c r="R171" s="16"/>
      <c r="S171" s="60">
        <f t="shared" si="120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1"/>
        <v>188652</v>
      </c>
      <c r="AB171" s="33"/>
      <c r="AC171" s="46">
        <f t="shared" si="122"/>
        <v>2.8111700542409249E-2</v>
      </c>
      <c r="AD171" s="33"/>
      <c r="AE171" s="33">
        <f t="shared" si="123"/>
        <v>1164.5185185185185</v>
      </c>
      <c r="AF171" s="50"/>
      <c r="AG171" s="33">
        <f t="shared" si="124"/>
        <v>6732</v>
      </c>
      <c r="AH171" s="33">
        <f t="shared" si="112"/>
        <v>855838310.34662843</v>
      </c>
      <c r="AI171" s="213">
        <f t="shared" si="125"/>
        <v>-5.0627556056973631E-2</v>
      </c>
      <c r="AJ171" s="50"/>
      <c r="AK171" s="10"/>
      <c r="AL171" s="23">
        <f t="shared" si="126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7"/>
        <v>8.3328852966301666E-3</v>
      </c>
      <c r="AS171" s="25"/>
      <c r="AT171" s="25"/>
      <c r="AU171" s="24"/>
      <c r="AV171" s="298">
        <f t="shared" si="128"/>
        <v>0.50304553853489897</v>
      </c>
      <c r="AW171" s="298"/>
      <c r="AX171" s="24">
        <f t="shared" si="129"/>
        <v>20838.506172839505</v>
      </c>
      <c r="AY171" s="308"/>
      <c r="AZ171" s="10"/>
      <c r="BA171" s="65">
        <f t="shared" si="130"/>
        <v>827184</v>
      </c>
      <c r="BB171" s="66"/>
      <c r="BC171" s="66">
        <v>80299670</v>
      </c>
      <c r="BD171" s="66"/>
      <c r="BE171" s="66">
        <f t="shared" si="131"/>
        <v>49601</v>
      </c>
      <c r="BF171" s="66"/>
      <c r="BG171" s="144">
        <f t="shared" si="132"/>
        <v>5.9963684017098978E-2</v>
      </c>
      <c r="BH171" s="66"/>
      <c r="BI171" s="170"/>
      <c r="BJ171" s="66"/>
      <c r="BK171" s="66">
        <f t="shared" si="133"/>
        <v>5581090</v>
      </c>
      <c r="BL171" s="66"/>
      <c r="BM171" s="144">
        <f t="shared" si="134"/>
        <v>5.346142061855301E-2</v>
      </c>
      <c r="BN171" s="65">
        <f t="shared" si="135"/>
        <v>495676.97530864197</v>
      </c>
      <c r="BO171" s="66"/>
      <c r="BP171" s="66">
        <f t="shared" si="136"/>
        <v>5803822</v>
      </c>
      <c r="BQ171" s="66"/>
      <c r="BR171" s="435">
        <f t="shared" si="137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6"/>
        <v>6753460</v>
      </c>
      <c r="I172" s="16"/>
      <c r="J172" s="436">
        <f t="shared" si="117"/>
        <v>6.3569172080824941E-3</v>
      </c>
      <c r="K172" s="16"/>
      <c r="L172" s="16"/>
      <c r="M172" s="16"/>
      <c r="N172" s="16">
        <f t="shared" si="118"/>
        <v>297204</v>
      </c>
      <c r="O172" s="16">
        <f t="shared" si="138"/>
        <v>41432.269938650308</v>
      </c>
      <c r="P172" s="41"/>
      <c r="Q172" s="17">
        <f t="shared" si="119"/>
        <v>297204</v>
      </c>
      <c r="R172" s="16"/>
      <c r="S172" s="60">
        <f t="shared" si="120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1"/>
        <v>189606</v>
      </c>
      <c r="AB172" s="33"/>
      <c r="AC172" s="46">
        <f t="shared" si="122"/>
        <v>2.8075386542601867E-2</v>
      </c>
      <c r="AD172" s="33"/>
      <c r="AE172" s="33">
        <f t="shared" si="123"/>
        <v>1163.2269938650306</v>
      </c>
      <c r="AF172" s="50"/>
      <c r="AG172" s="33">
        <f t="shared" si="124"/>
        <v>6712</v>
      </c>
      <c r="AH172" s="33">
        <f t="shared" si="112"/>
        <v>855769741.34662843</v>
      </c>
      <c r="AI172" s="213">
        <f t="shared" si="125"/>
        <v>-4.0320274521018017E-2</v>
      </c>
      <c r="AJ172" s="50"/>
      <c r="AK172" s="10"/>
      <c r="AL172" s="23">
        <f t="shared" si="126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7"/>
        <v>9.7637979073640375E-3</v>
      </c>
      <c r="AS172" s="25"/>
      <c r="AT172" s="25"/>
      <c r="AU172" s="24"/>
      <c r="AV172" s="298">
        <f t="shared" si="128"/>
        <v>0.50474852890222199</v>
      </c>
      <c r="AW172" s="298"/>
      <c r="AX172" s="24">
        <f t="shared" si="129"/>
        <v>20912.877300613498</v>
      </c>
      <c r="AY172" s="308"/>
      <c r="AZ172" s="10"/>
      <c r="BA172" s="65">
        <f t="shared" si="130"/>
        <v>802727</v>
      </c>
      <c r="BB172" s="66"/>
      <c r="BC172" s="66">
        <v>81102397</v>
      </c>
      <c r="BD172" s="66"/>
      <c r="BE172" s="66">
        <f t="shared" si="131"/>
        <v>42660</v>
      </c>
      <c r="BF172" s="66"/>
      <c r="BG172" s="144">
        <f t="shared" si="132"/>
        <v>5.3143845915236437E-2</v>
      </c>
      <c r="BH172" s="66"/>
      <c r="BI172" s="170"/>
      <c r="BJ172" s="66"/>
      <c r="BK172" s="66">
        <f t="shared" si="133"/>
        <v>5627222</v>
      </c>
      <c r="BL172" s="66"/>
      <c r="BM172" s="144">
        <f t="shared" si="134"/>
        <v>5.2815403408644622E-2</v>
      </c>
      <c r="BN172" s="65">
        <f t="shared" si="135"/>
        <v>497560.71779141104</v>
      </c>
      <c r="BO172" s="66"/>
      <c r="BP172" s="66">
        <f t="shared" si="136"/>
        <v>5846482</v>
      </c>
      <c r="BQ172" s="66"/>
      <c r="BR172" s="435">
        <f t="shared" si="137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6"/>
        <v>6787441</v>
      </c>
      <c r="I173" s="16"/>
      <c r="J173" s="436">
        <f t="shared" si="117"/>
        <v>5.0316430392717219E-3</v>
      </c>
      <c r="K173" s="16"/>
      <c r="L173" s="16"/>
      <c r="M173" s="16"/>
      <c r="N173" s="16">
        <f t="shared" si="118"/>
        <v>298467</v>
      </c>
      <c r="O173" s="16">
        <f t="shared" si="138"/>
        <v>41386.835365853658</v>
      </c>
      <c r="P173" s="41"/>
      <c r="Q173" s="17">
        <f t="shared" si="119"/>
        <v>298467</v>
      </c>
      <c r="R173" s="16"/>
      <c r="S173" s="60">
        <f t="shared" si="120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1"/>
        <v>189975</v>
      </c>
      <c r="AB173" s="33"/>
      <c r="AC173" s="46">
        <f t="shared" si="122"/>
        <v>2.7989193570890709E-2</v>
      </c>
      <c r="AD173" s="33"/>
      <c r="AE173" s="33">
        <f t="shared" si="123"/>
        <v>1158.3841463414635</v>
      </c>
      <c r="AF173" s="50"/>
      <c r="AG173" s="33">
        <f t="shared" si="124"/>
        <v>6651</v>
      </c>
      <c r="AH173" s="33">
        <f t="shared" si="112"/>
        <v>855698658.34662843</v>
      </c>
      <c r="AI173" s="213">
        <f t="shared" si="125"/>
        <v>-3.6366270646189511E-2</v>
      </c>
      <c r="AJ173" s="50"/>
      <c r="AK173" s="10"/>
      <c r="AL173" s="23">
        <f t="shared" si="126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7"/>
        <v>4.9647984524754905E-3</v>
      </c>
      <c r="AS173" s="25"/>
      <c r="AT173" s="25"/>
      <c r="AU173" s="24"/>
      <c r="AV173" s="298">
        <f t="shared" si="128"/>
        <v>0.50471495811160638</v>
      </c>
      <c r="AW173" s="298"/>
      <c r="AX173" s="24">
        <f t="shared" si="129"/>
        <v>20888.554878048781</v>
      </c>
      <c r="AY173" s="308"/>
      <c r="AZ173" s="348"/>
      <c r="BA173" s="65">
        <f t="shared" si="130"/>
        <v>727682</v>
      </c>
      <c r="BB173" s="66"/>
      <c r="BC173" s="66">
        <v>81830079</v>
      </c>
      <c r="BD173" s="66"/>
      <c r="BE173" s="66">
        <f t="shared" si="131"/>
        <v>33981</v>
      </c>
      <c r="BF173" s="66"/>
      <c r="BG173" s="144">
        <f t="shared" si="132"/>
        <v>4.6697595927891578E-2</v>
      </c>
      <c r="BH173" s="66"/>
      <c r="BI173" s="170"/>
      <c r="BJ173" s="66"/>
      <c r="BK173" s="66">
        <f t="shared" si="133"/>
        <v>5670701</v>
      </c>
      <c r="BL173" s="66"/>
      <c r="BM173" s="144">
        <f t="shared" si="134"/>
        <v>5.2633175334054823E-2</v>
      </c>
      <c r="BN173" s="65">
        <f t="shared" si="135"/>
        <v>498963.89634146343</v>
      </c>
      <c r="BO173" s="66"/>
      <c r="BP173" s="66">
        <f t="shared" si="136"/>
        <v>5880463</v>
      </c>
      <c r="BQ173" s="66"/>
      <c r="BR173" s="435">
        <f t="shared" si="137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6"/>
        <v>6826001</v>
      </c>
      <c r="I174" s="16"/>
      <c r="J174" s="436">
        <f t="shared" si="117"/>
        <v>5.6810806900568266E-3</v>
      </c>
      <c r="K174" s="16"/>
      <c r="L174" s="16"/>
      <c r="M174" s="16"/>
      <c r="N174" s="426">
        <f>SUM(D144:D174)</f>
        <v>1493931</v>
      </c>
      <c r="O174" s="16">
        <f t="shared" si="138"/>
        <v>41369.703030303033</v>
      </c>
      <c r="P174" s="41"/>
      <c r="Q174" s="17">
        <f t="shared" si="119"/>
        <v>295543</v>
      </c>
      <c r="R174" s="16"/>
      <c r="S174" s="60">
        <f t="shared" si="120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1"/>
        <v>190487</v>
      </c>
      <c r="AB174" s="33"/>
      <c r="AC174" s="46">
        <f t="shared" si="122"/>
        <v>2.7906090256945466E-2</v>
      </c>
      <c r="AD174" s="33"/>
      <c r="AE174" s="33">
        <f t="shared" si="123"/>
        <v>1154.4666666666667</v>
      </c>
      <c r="AF174" s="50"/>
      <c r="AG174" s="33">
        <f t="shared" si="124"/>
        <v>6653</v>
      </c>
      <c r="AH174" s="33">
        <f t="shared" si="112"/>
        <v>855640117.34662843</v>
      </c>
      <c r="AI174" s="213">
        <f t="shared" si="125"/>
        <v>-2.4915726220137768E-2</v>
      </c>
      <c r="AJ174" s="50"/>
      <c r="AK174" s="10"/>
      <c r="AL174" s="23">
        <f t="shared" si="126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7"/>
        <v>8.9149064299711336E-3</v>
      </c>
      <c r="AS174" s="25"/>
      <c r="AT174" s="25"/>
      <c r="AU174" s="24"/>
      <c r="AV174" s="298">
        <f t="shared" si="128"/>
        <v>0.50633789828041342</v>
      </c>
      <c r="AW174" s="298"/>
      <c r="AX174" s="24">
        <f t="shared" si="129"/>
        <v>20947.048484848485</v>
      </c>
      <c r="AY174" s="308"/>
      <c r="AZ174" s="10"/>
      <c r="BA174" s="65">
        <f t="shared" si="130"/>
        <v>794762</v>
      </c>
      <c r="BB174" s="66"/>
      <c r="BC174" s="66">
        <v>82624841</v>
      </c>
      <c r="BD174" s="66"/>
      <c r="BE174" s="66">
        <f t="shared" si="131"/>
        <v>38560</v>
      </c>
      <c r="BF174" s="66"/>
      <c r="BG174" s="144">
        <f t="shared" si="132"/>
        <v>4.8517669440662742E-2</v>
      </c>
      <c r="BH174" s="66"/>
      <c r="BI174" s="170"/>
      <c r="BJ174" s="66"/>
      <c r="BK174" s="66">
        <f t="shared" si="133"/>
        <v>5741362</v>
      </c>
      <c r="BL174" s="66"/>
      <c r="BM174" s="144">
        <f t="shared" si="134"/>
        <v>5.147611315921205E-2</v>
      </c>
      <c r="BN174" s="65">
        <f t="shared" si="135"/>
        <v>500756.61212121212</v>
      </c>
      <c r="BO174" s="66"/>
      <c r="BP174" s="66">
        <f t="shared" si="136"/>
        <v>5919023</v>
      </c>
      <c r="BQ174" s="66"/>
      <c r="BR174" s="435">
        <f t="shared" si="137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6"/>
        <v>6867980</v>
      </c>
      <c r="I175" s="16"/>
      <c r="J175" s="436">
        <f t="shared" si="117"/>
        <v>6.1498672502391955E-3</v>
      </c>
      <c r="K175" s="16"/>
      <c r="L175" s="16"/>
      <c r="M175" s="16"/>
      <c r="N175" s="16">
        <f t="shared" si="118"/>
        <v>297424</v>
      </c>
      <c r="O175" s="16">
        <f t="shared" si="138"/>
        <v>41373.373493975902</v>
      </c>
      <c r="P175" s="41"/>
      <c r="Q175" s="17">
        <f t="shared" si="119"/>
        <v>297424</v>
      </c>
      <c r="R175" s="16"/>
      <c r="S175" s="60">
        <f t="shared" si="120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1"/>
        <v>191651</v>
      </c>
      <c r="AB175" s="33"/>
      <c r="AC175" s="46">
        <f t="shared" si="122"/>
        <v>2.7905002635418275E-2</v>
      </c>
      <c r="AD175" s="33"/>
      <c r="AE175" s="33">
        <f t="shared" si="123"/>
        <v>1154.5240963855422</v>
      </c>
      <c r="AF175" s="50"/>
      <c r="AG175" s="33">
        <f t="shared" si="124"/>
        <v>6527</v>
      </c>
      <c r="AH175" s="33">
        <f t="shared" si="112"/>
        <v>855591079.34662843</v>
      </c>
      <c r="AI175" s="213">
        <f t="shared" si="125"/>
        <v>-3.3752775721687639E-2</v>
      </c>
      <c r="AJ175" s="50"/>
      <c r="AK175" s="10"/>
      <c r="AL175" s="23">
        <f t="shared" si="126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7"/>
        <v>1.1761257751507916E-2</v>
      </c>
      <c r="AS175" s="25"/>
      <c r="AT175" s="25"/>
      <c r="AU175" s="24"/>
      <c r="AV175" s="298">
        <f t="shared" si="128"/>
        <v>0.50916179138553108</v>
      </c>
      <c r="AW175" s="298"/>
      <c r="AX175" s="24">
        <f t="shared" si="129"/>
        <v>21065.74096385542</v>
      </c>
      <c r="AY175" s="308"/>
      <c r="AZ175" s="10"/>
      <c r="BA175" s="65">
        <f t="shared" si="130"/>
        <v>725278</v>
      </c>
      <c r="BB175" s="66"/>
      <c r="BC175" s="66">
        <v>83350119</v>
      </c>
      <c r="BD175" s="66"/>
      <c r="BE175" s="66">
        <f t="shared" si="131"/>
        <v>41979</v>
      </c>
      <c r="BF175" s="66"/>
      <c r="BG175" s="144">
        <f t="shared" si="132"/>
        <v>5.7879875027230937E-2</v>
      </c>
      <c r="BH175" s="66"/>
      <c r="BI175" s="170"/>
      <c r="BJ175" s="66"/>
      <c r="BK175" s="66">
        <f t="shared" si="133"/>
        <v>5418712</v>
      </c>
      <c r="BL175" s="66"/>
      <c r="BM175" s="144">
        <f t="shared" si="134"/>
        <v>5.4888320324091779E-2</v>
      </c>
      <c r="BN175" s="65">
        <f t="shared" si="135"/>
        <v>502109.15060240962</v>
      </c>
      <c r="BO175" s="66"/>
      <c r="BP175" s="66">
        <f t="shared" si="136"/>
        <v>5961002</v>
      </c>
      <c r="BQ175" s="66"/>
      <c r="BR175" s="435">
        <f t="shared" si="137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6"/>
        <v>6909191</v>
      </c>
      <c r="I176" s="16"/>
      <c r="J176" s="436">
        <f t="shared" si="117"/>
        <v>6.0004542820450849E-3</v>
      </c>
      <c r="K176" s="16"/>
      <c r="L176" s="16"/>
      <c r="M176" s="16"/>
      <c r="N176" s="16">
        <f t="shared" si="118"/>
        <v>293998</v>
      </c>
      <c r="O176" s="16">
        <f t="shared" si="138"/>
        <v>41372.401197604791</v>
      </c>
      <c r="P176" s="41"/>
      <c r="Q176" s="17">
        <f t="shared" si="119"/>
        <v>293998</v>
      </c>
      <c r="R176" s="16"/>
      <c r="S176" s="60">
        <f t="shared" si="120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1"/>
        <v>192741</v>
      </c>
      <c r="AB176" s="33"/>
      <c r="AC176" s="46">
        <f t="shared" si="122"/>
        <v>2.7896319554633821E-2</v>
      </c>
      <c r="AD176" s="33"/>
      <c r="AE176" s="33">
        <f t="shared" si="123"/>
        <v>1154.1377245508982</v>
      </c>
      <c r="AF176" s="50"/>
      <c r="AG176" s="33">
        <f t="shared" si="124"/>
        <v>6337</v>
      </c>
      <c r="AH176" s="33">
        <f t="shared" si="112"/>
        <v>855542433.34662843</v>
      </c>
      <c r="AI176" s="213">
        <f t="shared" si="125"/>
        <v>-6.1324248259517107E-2</v>
      </c>
      <c r="AJ176" s="50"/>
      <c r="AK176" s="10"/>
      <c r="AL176" s="23">
        <f t="shared" si="126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7"/>
        <v>1.4332355423197546E-2</v>
      </c>
      <c r="AS176" s="25"/>
      <c r="AT176" s="25"/>
      <c r="AU176" s="24"/>
      <c r="AV176" s="298">
        <f t="shared" si="128"/>
        <v>0.51337877328908699</v>
      </c>
      <c r="AW176" s="298"/>
      <c r="AX176" s="24">
        <f t="shared" si="129"/>
        <v>21239.712574850299</v>
      </c>
      <c r="AY176" s="308"/>
      <c r="AZ176" s="10"/>
      <c r="BA176" s="65">
        <f t="shared" si="130"/>
        <v>748292</v>
      </c>
      <c r="BB176" s="66"/>
      <c r="BC176" s="66">
        <v>84098411</v>
      </c>
      <c r="BD176" s="66"/>
      <c r="BE176" s="66">
        <f t="shared" si="131"/>
        <v>41211</v>
      </c>
      <c r="BF176" s="66"/>
      <c r="BG176" s="144">
        <f t="shared" si="132"/>
        <v>5.5073420536368156E-2</v>
      </c>
      <c r="BH176" s="66"/>
      <c r="BI176" s="170"/>
      <c r="BJ176" s="66"/>
      <c r="BK176" s="66">
        <f t="shared" si="133"/>
        <v>5465845</v>
      </c>
      <c r="BL176" s="66"/>
      <c r="BM176" s="144">
        <f t="shared" si="134"/>
        <v>5.3788206581050137E-2</v>
      </c>
      <c r="BN176" s="65">
        <f t="shared" si="135"/>
        <v>503583.29940119758</v>
      </c>
      <c r="BO176" s="66"/>
      <c r="BP176" s="66">
        <f t="shared" si="136"/>
        <v>6002213</v>
      </c>
      <c r="BQ176" s="66"/>
      <c r="BR176" s="435">
        <f t="shared" si="137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6"/>
        <v>6954655</v>
      </c>
      <c r="I177" s="16"/>
      <c r="J177" s="436">
        <f t="shared" si="117"/>
        <v>6.5802204628588211E-3</v>
      </c>
      <c r="K177" s="16"/>
      <c r="L177" s="16"/>
      <c r="M177" s="16"/>
      <c r="N177" s="16">
        <f t="shared" si="118"/>
        <v>293456</v>
      </c>
      <c r="O177" s="16">
        <f t="shared" si="138"/>
        <v>41396.755952380954</v>
      </c>
      <c r="P177" s="41"/>
      <c r="Q177" s="17">
        <f t="shared" si="119"/>
        <v>293456</v>
      </c>
      <c r="R177" s="16"/>
      <c r="S177" s="60">
        <f t="shared" si="120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1"/>
        <v>193855</v>
      </c>
      <c r="AB177" s="33"/>
      <c r="AC177" s="46">
        <f t="shared" si="122"/>
        <v>2.787413610020914E-2</v>
      </c>
      <c r="AD177" s="33"/>
      <c r="AE177" s="33">
        <f t="shared" si="123"/>
        <v>1153.8988095238096</v>
      </c>
      <c r="AF177" s="50"/>
      <c r="AG177" s="33">
        <f t="shared" si="124"/>
        <v>6308</v>
      </c>
      <c r="AH177" s="33">
        <f t="shared" si="112"/>
        <v>855487869.34662843</v>
      </c>
      <c r="AI177" s="213">
        <f t="shared" si="125"/>
        <v>-7.1943504487273796E-2</v>
      </c>
      <c r="AJ177" s="50"/>
      <c r="AK177" s="10"/>
      <c r="AL177" s="23">
        <f t="shared" si="126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7"/>
        <v>7.9119669628015758E-3</v>
      </c>
      <c r="AS177" s="25"/>
      <c r="AT177" s="25"/>
      <c r="AU177" s="24"/>
      <c r="AV177" s="298">
        <f t="shared" si="128"/>
        <v>0.51405799424989451</v>
      </c>
      <c r="AW177" s="298"/>
      <c r="AX177" s="24">
        <f t="shared" si="129"/>
        <v>21280.333333333332</v>
      </c>
      <c r="AY177" s="308"/>
      <c r="AZ177" s="10"/>
      <c r="BA177" s="65">
        <f t="shared" si="130"/>
        <v>783118</v>
      </c>
      <c r="BB177" s="66"/>
      <c r="BC177" s="66">
        <v>84881529</v>
      </c>
      <c r="BD177" s="66"/>
      <c r="BE177" s="66">
        <f t="shared" si="131"/>
        <v>45464</v>
      </c>
      <c r="BF177" s="66"/>
      <c r="BG177" s="144">
        <f t="shared" si="132"/>
        <v>5.8055107914771462E-2</v>
      </c>
      <c r="BH177" s="66"/>
      <c r="BI177" s="170"/>
      <c r="BJ177" s="66"/>
      <c r="BK177" s="66">
        <f t="shared" si="133"/>
        <v>5409043</v>
      </c>
      <c r="BL177" s="66"/>
      <c r="BM177" s="144">
        <f t="shared" si="134"/>
        <v>5.4252850273144436E-2</v>
      </c>
      <c r="BN177" s="65">
        <f t="shared" si="135"/>
        <v>505247.19642857142</v>
      </c>
      <c r="BO177" s="66"/>
      <c r="BP177" s="66">
        <f t="shared" si="136"/>
        <v>6047677</v>
      </c>
      <c r="BQ177" s="66"/>
      <c r="BR177" s="435">
        <f t="shared" si="137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6"/>
        <v>7007504</v>
      </c>
      <c r="I178" s="16"/>
      <c r="J178" s="436">
        <f t="shared" si="117"/>
        <v>7.5990829164063493E-3</v>
      </c>
      <c r="K178" s="16"/>
      <c r="L178" s="16"/>
      <c r="M178" s="16"/>
      <c r="N178" s="16">
        <f t="shared" si="118"/>
        <v>296704</v>
      </c>
      <c r="O178" s="16">
        <f t="shared" si="138"/>
        <v>41464.520710059172</v>
      </c>
      <c r="P178" s="41"/>
      <c r="Q178" s="17">
        <f t="shared" si="119"/>
        <v>296704</v>
      </c>
      <c r="R178" s="16"/>
      <c r="S178" s="60">
        <f t="shared" si="120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1"/>
        <v>194888</v>
      </c>
      <c r="AB178" s="33"/>
      <c r="AC178" s="46">
        <f t="shared" si="122"/>
        <v>2.7811329112334436E-2</v>
      </c>
      <c r="AD178" s="33"/>
      <c r="AE178" s="33">
        <f t="shared" si="123"/>
        <v>1153.1834319526627</v>
      </c>
      <c r="AF178" s="50"/>
      <c r="AG178" s="33">
        <f t="shared" si="124"/>
        <v>6236</v>
      </c>
      <c r="AH178" s="33">
        <f t="shared" si="112"/>
        <v>855432721.34662843</v>
      </c>
      <c r="AI178" s="213">
        <f t="shared" si="125"/>
        <v>-7.3677956030897204E-2</v>
      </c>
      <c r="AJ178" s="50"/>
      <c r="AK178" s="10"/>
      <c r="AL178" s="23">
        <f t="shared" si="126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7"/>
        <v>2.8383293763300343E-2</v>
      </c>
      <c r="AS178" s="25"/>
      <c r="AT178" s="25"/>
      <c r="AU178" s="24"/>
      <c r="AV178" s="298">
        <f t="shared" si="128"/>
        <v>0.52466170550883739</v>
      </c>
      <c r="AW178" s="298"/>
      <c r="AX178" s="24">
        <f t="shared" si="129"/>
        <v>21754.846153846152</v>
      </c>
      <c r="AY178" s="308"/>
      <c r="AZ178" s="10"/>
      <c r="BA178" s="65">
        <f t="shared" si="130"/>
        <v>1014188</v>
      </c>
      <c r="BB178" s="66"/>
      <c r="BC178" s="66">
        <v>85895717</v>
      </c>
      <c r="BD178" s="66"/>
      <c r="BE178" s="66">
        <f t="shared" si="131"/>
        <v>52849</v>
      </c>
      <c r="BF178" s="66"/>
      <c r="BG178" s="144">
        <f t="shared" si="132"/>
        <v>5.2109668029990494E-2</v>
      </c>
      <c r="BH178" s="66"/>
      <c r="BI178" s="170"/>
      <c r="BJ178" s="66"/>
      <c r="BK178" s="66">
        <f t="shared" si="133"/>
        <v>5596047</v>
      </c>
      <c r="BL178" s="66"/>
      <c r="BM178" s="144">
        <f t="shared" si="134"/>
        <v>5.3020283782462874E-2</v>
      </c>
      <c r="BN178" s="65">
        <f t="shared" si="135"/>
        <v>508258.68047337281</v>
      </c>
      <c r="BO178" s="66"/>
      <c r="BP178" s="66">
        <f t="shared" si="136"/>
        <v>6100526</v>
      </c>
      <c r="BQ178" s="66"/>
      <c r="BR178" s="435">
        <f t="shared" si="137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6"/>
        <v>7049596</v>
      </c>
      <c r="I179" s="16"/>
      <c r="J179" s="436">
        <f t="shared" si="117"/>
        <v>6.0067036708077509E-3</v>
      </c>
      <c r="K179" s="16"/>
      <c r="L179" s="16"/>
      <c r="M179" s="16"/>
      <c r="N179" s="16">
        <f t="shared" si="118"/>
        <v>296136</v>
      </c>
      <c r="O179" s="16">
        <f t="shared" si="138"/>
        <v>41468.211764705884</v>
      </c>
      <c r="P179" s="41"/>
      <c r="Q179" s="17">
        <f t="shared" si="119"/>
        <v>296136</v>
      </c>
      <c r="R179" s="16"/>
      <c r="S179" s="60">
        <f t="shared" si="120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1"/>
        <v>195595</v>
      </c>
      <c r="AB179" s="33"/>
      <c r="AC179" s="46">
        <f t="shared" si="122"/>
        <v>2.7745561589628681E-2</v>
      </c>
      <c r="AD179" s="33"/>
      <c r="AE179" s="33">
        <f t="shared" si="123"/>
        <v>1150.5588235294117</v>
      </c>
      <c r="AF179" s="50"/>
      <c r="AG179" s="33">
        <f t="shared" si="124"/>
        <v>5989</v>
      </c>
      <c r="AH179" s="33">
        <f t="shared" si="112"/>
        <v>855374011.34662843</v>
      </c>
      <c r="AI179" s="213">
        <f t="shared" si="125"/>
        <v>-0.10771752085816448</v>
      </c>
      <c r="AJ179" s="50"/>
      <c r="AK179" s="10"/>
      <c r="AL179" s="23">
        <f t="shared" si="126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7"/>
        <v>8.2770104409845158E-3</v>
      </c>
      <c r="AS179" s="25"/>
      <c r="AT179" s="25"/>
      <c r="AU179" s="24"/>
      <c r="AV179" s="298">
        <f t="shared" si="128"/>
        <v>0.52584573640815724</v>
      </c>
      <c r="AW179" s="298"/>
      <c r="AX179" s="24">
        <f t="shared" si="129"/>
        <v>21805.882352941175</v>
      </c>
      <c r="AY179" s="308"/>
      <c r="AZ179" s="10"/>
      <c r="BA179" s="65">
        <f t="shared" si="130"/>
        <v>863485</v>
      </c>
      <c r="BB179" s="66"/>
      <c r="BC179" s="66">
        <v>86759202</v>
      </c>
      <c r="BD179" s="66"/>
      <c r="BE179" s="66">
        <f t="shared" si="131"/>
        <v>42092</v>
      </c>
      <c r="BF179" s="66"/>
      <c r="BG179" s="144">
        <f t="shared" si="132"/>
        <v>4.8746648754755435E-2</v>
      </c>
      <c r="BH179" s="66"/>
      <c r="BI179" s="170"/>
      <c r="BJ179" s="66"/>
      <c r="BK179" s="66">
        <f t="shared" si="133"/>
        <v>5656805</v>
      </c>
      <c r="BL179" s="66"/>
      <c r="BM179" s="144">
        <f t="shared" si="134"/>
        <v>5.2350399209447736E-2</v>
      </c>
      <c r="BN179" s="65">
        <f t="shared" si="135"/>
        <v>510348.24705882353</v>
      </c>
      <c r="BO179" s="66"/>
      <c r="BP179" s="66">
        <f t="shared" si="136"/>
        <v>6142618</v>
      </c>
      <c r="BQ179" s="66"/>
      <c r="BR179" s="435">
        <f t="shared" si="137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6"/>
        <v>7080706</v>
      </c>
      <c r="I180" s="16"/>
      <c r="J180" s="436">
        <f t="shared" si="117"/>
        <v>4.41301884533525E-3</v>
      </c>
      <c r="K180" s="16"/>
      <c r="L180" s="16"/>
      <c r="M180" s="16"/>
      <c r="N180" s="16">
        <f t="shared" si="118"/>
        <v>293265</v>
      </c>
      <c r="O180" s="16">
        <f t="shared" si="138"/>
        <v>41407.637426900583</v>
      </c>
      <c r="P180" s="41"/>
      <c r="Q180" s="17">
        <f t="shared" si="119"/>
        <v>293265</v>
      </c>
      <c r="R180" s="16"/>
      <c r="S180" s="60">
        <f t="shared" si="120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1"/>
        <v>196025</v>
      </c>
      <c r="AB180" s="33"/>
      <c r="AC180" s="46">
        <f t="shared" si="122"/>
        <v>2.768438627447602E-2</v>
      </c>
      <c r="AD180" s="33"/>
      <c r="AE180" s="33">
        <f t="shared" si="123"/>
        <v>1146.3450292397661</v>
      </c>
      <c r="AF180" s="50"/>
      <c r="AG180" s="33">
        <f t="shared" si="124"/>
        <v>6050</v>
      </c>
      <c r="AH180" s="33">
        <f t="shared" si="112"/>
        <v>855310765.34662843</v>
      </c>
      <c r="AI180" s="213">
        <f t="shared" si="125"/>
        <v>-9.0362351526086307E-2</v>
      </c>
      <c r="AJ180" s="50"/>
      <c r="AK180" s="10"/>
      <c r="AL180" s="23">
        <f t="shared" si="126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7"/>
        <v>5.1173455624494201E-3</v>
      </c>
      <c r="AS180" s="25"/>
      <c r="AT180" s="25"/>
      <c r="AU180" s="24"/>
      <c r="AV180" s="298">
        <f t="shared" si="128"/>
        <v>0.52621447635306418</v>
      </c>
      <c r="AW180" s="298"/>
      <c r="AX180" s="24">
        <f t="shared" si="129"/>
        <v>21789.298245614034</v>
      </c>
      <c r="AY180" s="308"/>
      <c r="AZ180" s="348"/>
      <c r="BA180" s="65">
        <f t="shared" si="130"/>
        <v>715717</v>
      </c>
      <c r="BB180" s="66"/>
      <c r="BC180" s="66">
        <v>87474919</v>
      </c>
      <c r="BD180" s="66"/>
      <c r="BE180" s="66">
        <f t="shared" si="131"/>
        <v>31110</v>
      </c>
      <c r="BF180" s="66"/>
      <c r="BG180" s="144">
        <f t="shared" si="132"/>
        <v>4.3466901023728653E-2</v>
      </c>
      <c r="BH180" s="66"/>
      <c r="BI180" s="170"/>
      <c r="BJ180" s="66"/>
      <c r="BK180" s="66">
        <f t="shared" si="133"/>
        <v>5644840</v>
      </c>
      <c r="BL180" s="66"/>
      <c r="BM180" s="144">
        <f t="shared" si="134"/>
        <v>5.1952756854047238E-2</v>
      </c>
      <c r="BN180" s="65">
        <f t="shared" si="135"/>
        <v>511549.23391812865</v>
      </c>
      <c r="BO180" s="66"/>
      <c r="BP180" s="66">
        <f t="shared" si="136"/>
        <v>6173728</v>
      </c>
      <c r="BQ180" s="66"/>
      <c r="BR180" s="435">
        <f t="shared" si="137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6"/>
        <v>7106126</v>
      </c>
      <c r="I181" s="16"/>
      <c r="J181" s="436">
        <f t="shared" si="117"/>
        <v>3.5900374906118119E-3</v>
      </c>
      <c r="K181" s="16"/>
      <c r="L181" s="16"/>
      <c r="M181" s="16"/>
      <c r="N181" s="16">
        <f t="shared" si="118"/>
        <v>280125</v>
      </c>
      <c r="O181" s="16">
        <f t="shared" si="138"/>
        <v>41314.686046511626</v>
      </c>
      <c r="P181" s="41"/>
      <c r="Q181" s="17">
        <f t="shared" si="119"/>
        <v>280125</v>
      </c>
      <c r="R181" s="16"/>
      <c r="S181" s="60">
        <f t="shared" si="120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1"/>
        <v>196311</v>
      </c>
      <c r="AB181" s="33"/>
      <c r="AC181" s="46">
        <f t="shared" si="122"/>
        <v>2.7625600784449925E-2</v>
      </c>
      <c r="AD181" s="33"/>
      <c r="AE181" s="33">
        <f t="shared" si="123"/>
        <v>1141.3430232558139</v>
      </c>
      <c r="AF181" s="50"/>
      <c r="AG181" s="33">
        <f t="shared" si="124"/>
        <v>5824</v>
      </c>
      <c r="AH181" s="33">
        <f t="shared" si="112"/>
        <v>855256566.34662843</v>
      </c>
      <c r="AI181" s="213">
        <f t="shared" si="125"/>
        <v>-0.12460544115436645</v>
      </c>
      <c r="AJ181" s="50"/>
      <c r="AK181" s="10"/>
      <c r="AL181" s="23">
        <f t="shared" si="126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7"/>
        <v>8.7652342879840691E-3</v>
      </c>
      <c r="AS181" s="25"/>
      <c r="AT181" s="25"/>
      <c r="AU181" s="24"/>
      <c r="AV181" s="298">
        <f t="shared" si="128"/>
        <v>0.52892799818072467</v>
      </c>
      <c r="AW181" s="298"/>
      <c r="AX181" s="24">
        <f t="shared" si="129"/>
        <v>21852.494186046511</v>
      </c>
      <c r="AY181" s="308"/>
      <c r="AZ181" s="10"/>
      <c r="BA181" s="65">
        <f t="shared" si="130"/>
        <v>592931</v>
      </c>
      <c r="BB181" s="66"/>
      <c r="BC181" s="66">
        <v>88067850</v>
      </c>
      <c r="BD181" s="66"/>
      <c r="BE181" s="66">
        <f t="shared" si="131"/>
        <v>25420</v>
      </c>
      <c r="BF181" s="66"/>
      <c r="BG181" s="144">
        <f t="shared" si="132"/>
        <v>4.2871767541248475E-2</v>
      </c>
      <c r="BH181" s="66"/>
      <c r="BI181" s="170"/>
      <c r="BJ181" s="66"/>
      <c r="BK181" s="66">
        <f t="shared" si="133"/>
        <v>5443009</v>
      </c>
      <c r="BL181" s="66"/>
      <c r="BM181" s="144">
        <f t="shared" si="134"/>
        <v>5.1465099543285708E-2</v>
      </c>
      <c r="BN181" s="65">
        <f t="shared" si="135"/>
        <v>512022.38372093026</v>
      </c>
      <c r="BO181" s="66"/>
      <c r="BP181" s="66">
        <f t="shared" si="136"/>
        <v>6199148</v>
      </c>
      <c r="BQ181" s="66"/>
      <c r="BR181" s="435">
        <f t="shared" si="137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6"/>
        <v>7134565</v>
      </c>
      <c r="I182" s="16"/>
      <c r="J182" s="436">
        <f t="shared" si="117"/>
        <v>4.0020399300547162E-3</v>
      </c>
      <c r="K182" s="16"/>
      <c r="L182" s="16"/>
      <c r="M182" s="16"/>
      <c r="N182" s="16">
        <f t="shared" si="118"/>
        <v>266585</v>
      </c>
      <c r="O182" s="16">
        <f t="shared" si="138"/>
        <v>41240.260115606936</v>
      </c>
      <c r="P182" s="41"/>
      <c r="Q182" s="17">
        <f t="shared" si="119"/>
        <v>266585</v>
      </c>
      <c r="R182" s="16"/>
      <c r="S182" s="60">
        <f t="shared" si="120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1"/>
        <v>196807</v>
      </c>
      <c r="AB182" s="33"/>
      <c r="AC182" s="46">
        <f t="shared" si="122"/>
        <v>2.7585003430482449E-2</v>
      </c>
      <c r="AD182" s="33"/>
      <c r="AE182" s="33">
        <f t="shared" si="123"/>
        <v>1137.6127167630059</v>
      </c>
      <c r="AF182" s="50"/>
      <c r="AG182" s="33">
        <f t="shared" si="124"/>
        <v>5156</v>
      </c>
      <c r="AH182" s="33">
        <f t="shared" si="112"/>
        <v>855208717.34662843</v>
      </c>
      <c r="AI182" s="213">
        <f t="shared" si="125"/>
        <v>-0.21005055921556612</v>
      </c>
      <c r="AJ182" s="50"/>
      <c r="AK182" s="10"/>
      <c r="AL182" s="23">
        <f t="shared" si="126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7"/>
        <v>1.0144922523611669E-2</v>
      </c>
      <c r="AS182" s="25"/>
      <c r="AT182" s="25"/>
      <c r="AU182" s="24"/>
      <c r="AV182" s="298">
        <f t="shared" si="128"/>
        <v>0.53216418940748311</v>
      </c>
      <c r="AW182" s="298"/>
      <c r="AX182" s="24">
        <f t="shared" si="129"/>
        <v>21946.589595375721</v>
      </c>
      <c r="AY182" s="308"/>
      <c r="AZ182" s="10"/>
      <c r="BA182" s="65">
        <f t="shared" si="130"/>
        <v>589124</v>
      </c>
      <c r="BB182" s="66"/>
      <c r="BC182" s="66">
        <v>88656974</v>
      </c>
      <c r="BD182" s="66"/>
      <c r="BE182" s="66">
        <f t="shared" si="131"/>
        <v>28439</v>
      </c>
      <c r="BF182" s="66"/>
      <c r="BG182" s="144">
        <f t="shared" si="132"/>
        <v>4.8273368594727084E-2</v>
      </c>
      <c r="BH182" s="66"/>
      <c r="BI182" s="170"/>
      <c r="BJ182" s="66"/>
      <c r="BK182" s="66">
        <f t="shared" si="133"/>
        <v>5306855</v>
      </c>
      <c r="BL182" s="66"/>
      <c r="BM182" s="144">
        <f t="shared" si="134"/>
        <v>5.0234084029052987E-2</v>
      </c>
      <c r="BN182" s="65">
        <f t="shared" si="135"/>
        <v>512468.0578034682</v>
      </c>
      <c r="BO182" s="66"/>
      <c r="BP182" s="66">
        <f t="shared" si="136"/>
        <v>6227587</v>
      </c>
      <c r="BQ182" s="66"/>
      <c r="BR182" s="435">
        <f t="shared" si="137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9">+H182+D183</f>
        <v>7169808</v>
      </c>
      <c r="I183" s="16"/>
      <c r="J183" s="436">
        <f t="shared" ref="J183:J212" si="140">+D183/H182</f>
        <v>4.9397545610699459E-3</v>
      </c>
      <c r="K183" s="16"/>
      <c r="L183" s="16"/>
      <c r="M183" s="16"/>
      <c r="N183" s="16">
        <f t="shared" ref="N183:N212" si="141">SUM(D177:D183)</f>
        <v>260617</v>
      </c>
      <c r="O183" s="16">
        <f t="shared" ref="O183:O212" si="142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3">+AA182+W183</f>
        <v>198015</v>
      </c>
      <c r="AB183" s="33"/>
      <c r="AC183" s="46">
        <f t="shared" ref="AC183:AC212" si="144">+AA183/H183</f>
        <v>2.7617894370393182E-2</v>
      </c>
      <c r="AD183" s="33"/>
      <c r="AE183" s="33">
        <f t="shared" ref="AE183:AE212" si="145">+AA183/BW183</f>
        <v>1138.0172413793102</v>
      </c>
      <c r="AF183" s="50"/>
      <c r="AG183" s="33">
        <f t="shared" ref="AG183:AG195" si="146">SUM(W177:W183)</f>
        <v>5274</v>
      </c>
      <c r="AH183" s="33">
        <f t="shared" si="112"/>
        <v>855158917.34662843</v>
      </c>
      <c r="AI183" s="213">
        <f t="shared" ref="AI183:AI212" si="147">+(AG183-AG176)/AG176</f>
        <v>-0.16774498974278049</v>
      </c>
      <c r="AJ183" s="50"/>
      <c r="AK183" s="10"/>
      <c r="AL183" s="23">
        <f t="shared" ref="AL183:AL212" si="148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9">+AL183/AP182</f>
        <v>1.2993973809247885E-2</v>
      </c>
      <c r="AS183" s="25"/>
      <c r="AT183" s="25"/>
      <c r="AU183" s="24"/>
      <c r="AV183" s="298">
        <f t="shared" ref="AV183:AV212" si="150">+AP183/H183</f>
        <v>0.53642928792514388</v>
      </c>
      <c r="AW183" s="298"/>
      <c r="AX183" s="24">
        <f t="shared" ref="AX183:AX212" si="151">+AP183/BW183</f>
        <v>22103.994252873563</v>
      </c>
      <c r="AY183" s="308"/>
      <c r="AZ183" s="10"/>
      <c r="BA183" s="65">
        <f t="shared" ref="BA183:BA212" si="152">+BC183-BC182</f>
        <v>626098</v>
      </c>
      <c r="BB183" s="66"/>
      <c r="BC183" s="66">
        <v>89283072</v>
      </c>
      <c r="BD183" s="66"/>
      <c r="BE183" s="66">
        <f t="shared" ref="BE183:BE212" si="153">+D183</f>
        <v>35243</v>
      </c>
      <c r="BF183" s="66"/>
      <c r="BG183" s="144">
        <f t="shared" ref="BG183:BG212" si="154">+BE183/BA183</f>
        <v>5.6289909886311724E-2</v>
      </c>
      <c r="BH183" s="66"/>
      <c r="BI183" s="170"/>
      <c r="BJ183" s="66"/>
      <c r="BK183" s="66">
        <f t="shared" ref="BK183:BK212" si="155">SUM(BA177:BA183)</f>
        <v>5184661</v>
      </c>
      <c r="BL183" s="66"/>
      <c r="BM183" s="144">
        <f t="shared" ref="BM183:BM212" si="156">+Q183/BK183</f>
        <v>5.026693162773805E-2</v>
      </c>
      <c r="BN183" s="65">
        <f t="shared" ref="BN183:BN212" si="157">+BC183/BW183</f>
        <v>513121.10344827588</v>
      </c>
      <c r="BO183" s="66"/>
      <c r="BP183" s="66">
        <f t="shared" ref="BP183:BP212" si="158">+BP182+BE183</f>
        <v>6262830</v>
      </c>
      <c r="BQ183" s="66"/>
      <c r="BR183" s="435">
        <f t="shared" ref="BR183:BR212" si="159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9"/>
        <v>7208619</v>
      </c>
      <c r="I184" s="16"/>
      <c r="J184" s="436">
        <f t="shared" si="140"/>
        <v>5.4131156650219919E-3</v>
      </c>
      <c r="K184" s="16"/>
      <c r="L184" s="16"/>
      <c r="M184" s="16"/>
      <c r="N184" s="16">
        <f t="shared" si="141"/>
        <v>253964</v>
      </c>
      <c r="O184" s="16">
        <f t="shared" si="142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3"/>
        <v>199104</v>
      </c>
      <c r="AB184" s="33"/>
      <c r="AC184" s="46">
        <f t="shared" si="144"/>
        <v>2.7620269568970145E-2</v>
      </c>
      <c r="AD184" s="33"/>
      <c r="AE184" s="33">
        <f t="shared" si="145"/>
        <v>1137.7371428571428</v>
      </c>
      <c r="AF184" s="50"/>
      <c r="AG184" s="33">
        <f t="shared" si="146"/>
        <v>5249</v>
      </c>
      <c r="AH184" s="33">
        <f t="shared" ref="AH184:AH215" si="160">SUM(D155:D890)</f>
        <v>855104398.34662843</v>
      </c>
      <c r="AI184" s="213">
        <f t="shared" si="147"/>
        <v>-0.16788205453392518</v>
      </c>
      <c r="AJ184" s="50"/>
      <c r="AK184" s="10"/>
      <c r="AL184" s="23">
        <f t="shared" si="148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9"/>
        <v>8.8050347170311703E-3</v>
      </c>
      <c r="AS184" s="25"/>
      <c r="AT184" s="25"/>
      <c r="AU184" s="24"/>
      <c r="AV184" s="298">
        <f t="shared" si="150"/>
        <v>0.53823901637747817</v>
      </c>
      <c r="AW184" s="298"/>
      <c r="AX184" s="24">
        <f t="shared" si="151"/>
        <v>22171.200000000001</v>
      </c>
      <c r="AY184" s="308"/>
      <c r="AZ184" s="10"/>
      <c r="BA184" s="65">
        <f t="shared" si="152"/>
        <v>701717</v>
      </c>
      <c r="BB184" s="66"/>
      <c r="BC184" s="66">
        <v>89984789</v>
      </c>
      <c r="BD184" s="66"/>
      <c r="BE184" s="66">
        <f t="shared" si="153"/>
        <v>38811</v>
      </c>
      <c r="BF184" s="66"/>
      <c r="BG184" s="144">
        <f t="shared" si="154"/>
        <v>5.5308621566813973E-2</v>
      </c>
      <c r="BH184" s="66"/>
      <c r="BI184" s="170"/>
      <c r="BJ184" s="66"/>
      <c r="BK184" s="66">
        <f t="shared" si="155"/>
        <v>5103260</v>
      </c>
      <c r="BL184" s="66"/>
      <c r="BM184" s="144">
        <f t="shared" si="156"/>
        <v>4.9765052143139872E-2</v>
      </c>
      <c r="BN184" s="65">
        <f t="shared" si="157"/>
        <v>514198.79428571428</v>
      </c>
      <c r="BO184" s="66"/>
      <c r="BP184" s="66">
        <f t="shared" si="158"/>
        <v>6301641</v>
      </c>
      <c r="BQ184" s="66"/>
      <c r="BR184" s="435">
        <f t="shared" si="159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9"/>
        <v>7255219</v>
      </c>
      <c r="I185" s="16"/>
      <c r="J185" s="436">
        <f t="shared" si="140"/>
        <v>6.4644836965305008E-3</v>
      </c>
      <c r="K185" s="16"/>
      <c r="L185" s="16"/>
      <c r="M185" s="16"/>
      <c r="N185" s="16">
        <f t="shared" si="141"/>
        <v>247715</v>
      </c>
      <c r="O185" s="16">
        <f t="shared" si="142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3"/>
        <v>200198</v>
      </c>
      <c r="AB185" s="33"/>
      <c r="AC185" s="46">
        <f t="shared" si="144"/>
        <v>2.7593653616796405E-2</v>
      </c>
      <c r="AD185" s="33"/>
      <c r="AE185" s="33">
        <f t="shared" si="145"/>
        <v>1137.4886363636363</v>
      </c>
      <c r="AF185" s="50"/>
      <c r="AG185" s="33">
        <f t="shared" si="146"/>
        <v>5310</v>
      </c>
      <c r="AH185" s="33">
        <f t="shared" si="160"/>
        <v>855050053.34662843</v>
      </c>
      <c r="AI185" s="213">
        <f t="shared" si="147"/>
        <v>-0.14849262347658757</v>
      </c>
      <c r="AJ185" s="50"/>
      <c r="AK185" s="10"/>
      <c r="AL185" s="23">
        <f t="shared" si="148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9"/>
        <v>9.7944308704213442E-3</v>
      </c>
      <c r="AS185" s="25"/>
      <c r="AT185" s="25"/>
      <c r="AU185" s="24"/>
      <c r="AV185" s="298">
        <f t="shared" si="150"/>
        <v>0.54001981194502879</v>
      </c>
      <c r="AW185" s="298"/>
      <c r="AX185" s="24">
        <f t="shared" si="151"/>
        <v>22261.147727272728</v>
      </c>
      <c r="AY185" s="308"/>
      <c r="AZ185" s="10"/>
      <c r="BA185" s="65">
        <f t="shared" si="152"/>
        <v>860917</v>
      </c>
      <c r="BB185" s="66"/>
      <c r="BC185" s="66">
        <v>90845706</v>
      </c>
      <c r="BD185" s="66"/>
      <c r="BE185" s="66">
        <f t="shared" si="153"/>
        <v>46600</v>
      </c>
      <c r="BF185" s="66"/>
      <c r="BG185" s="144">
        <f t="shared" si="154"/>
        <v>5.412833060562168E-2</v>
      </c>
      <c r="BH185" s="66"/>
      <c r="BI185" s="170"/>
      <c r="BJ185" s="66"/>
      <c r="BK185" s="66">
        <f t="shared" si="155"/>
        <v>4949989</v>
      </c>
      <c r="BL185" s="66"/>
      <c r="BM185" s="144">
        <f t="shared" si="156"/>
        <v>5.0043545551313344E-2</v>
      </c>
      <c r="BN185" s="65">
        <f t="shared" si="157"/>
        <v>516168.78409090912</v>
      </c>
      <c r="BO185" s="66"/>
      <c r="BP185" s="66">
        <f t="shared" si="158"/>
        <v>6348241</v>
      </c>
      <c r="BQ185" s="66"/>
      <c r="BR185" s="435">
        <f t="shared" si="159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9"/>
        <v>7294501</v>
      </c>
      <c r="I186" s="16"/>
      <c r="J186" s="436">
        <f t="shared" si="140"/>
        <v>5.4143093406277603E-3</v>
      </c>
      <c r="K186" s="16"/>
      <c r="L186" s="16"/>
      <c r="M186" s="16"/>
      <c r="N186" s="16">
        <f t="shared" si="141"/>
        <v>244905</v>
      </c>
      <c r="O186" s="16">
        <f t="shared" si="142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3"/>
        <v>200905</v>
      </c>
      <c r="AB186" s="33"/>
      <c r="AC186" s="46">
        <f t="shared" si="144"/>
        <v>2.7541979910620344E-2</v>
      </c>
      <c r="AD186" s="33"/>
      <c r="AE186" s="33">
        <f t="shared" si="145"/>
        <v>1135.0564971751412</v>
      </c>
      <c r="AF186" s="50"/>
      <c r="AG186" s="33">
        <f t="shared" si="146"/>
        <v>5310</v>
      </c>
      <c r="AH186" s="33">
        <f t="shared" si="160"/>
        <v>854994689.34662843</v>
      </c>
      <c r="AI186" s="213">
        <f t="shared" si="147"/>
        <v>-0.11337451995324763</v>
      </c>
      <c r="AJ186" s="50"/>
      <c r="AK186" s="10"/>
      <c r="AL186" s="23">
        <f t="shared" si="148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9"/>
        <v>8.2675635955632033E-3</v>
      </c>
      <c r="AS186" s="25"/>
      <c r="AT186" s="25"/>
      <c r="AU186" s="24"/>
      <c r="AV186" s="298">
        <f t="shared" si="150"/>
        <v>0.54155232825384492</v>
      </c>
      <c r="AW186" s="298"/>
      <c r="AX186" s="24">
        <f t="shared" si="151"/>
        <v>22318.384180790959</v>
      </c>
      <c r="AY186" s="308"/>
      <c r="AZ186" s="10"/>
      <c r="BA186" s="65">
        <f t="shared" si="152"/>
        <v>857797</v>
      </c>
      <c r="BB186" s="66"/>
      <c r="BC186" s="66">
        <v>91703503</v>
      </c>
      <c r="BD186" s="66"/>
      <c r="BE186" s="66">
        <f t="shared" si="153"/>
        <v>39282</v>
      </c>
      <c r="BF186" s="66"/>
      <c r="BG186" s="144">
        <f t="shared" si="154"/>
        <v>4.5794051506358728E-2</v>
      </c>
      <c r="BH186" s="66"/>
      <c r="BI186" s="170"/>
      <c r="BJ186" s="66"/>
      <c r="BK186" s="66">
        <f t="shared" si="155"/>
        <v>4944301</v>
      </c>
      <c r="BL186" s="66"/>
      <c r="BM186" s="144">
        <f t="shared" si="156"/>
        <v>4.9532785321929229E-2</v>
      </c>
      <c r="BN186" s="65">
        <f t="shared" si="157"/>
        <v>518098.88700564974</v>
      </c>
      <c r="BO186" s="66"/>
      <c r="BP186" s="66">
        <f t="shared" si="158"/>
        <v>6387523</v>
      </c>
      <c r="BQ186" s="66"/>
      <c r="BR186" s="435">
        <f t="shared" si="159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9"/>
        <v>7326358</v>
      </c>
      <c r="I187" s="16"/>
      <c r="J187" s="436">
        <f t="shared" si="140"/>
        <v>4.3672624076684617E-3</v>
      </c>
      <c r="K187" s="16"/>
      <c r="L187" s="16"/>
      <c r="M187" s="16"/>
      <c r="N187" s="16">
        <f t="shared" si="141"/>
        <v>245652</v>
      </c>
      <c r="O187" s="16">
        <f t="shared" si="142"/>
        <v>41159.314606741573</v>
      </c>
      <c r="P187" s="41"/>
      <c r="Q187" s="17">
        <f t="shared" ref="Q187:Q236" si="161">SUM(D181:D187)</f>
        <v>245652</v>
      </c>
      <c r="R187" s="16"/>
      <c r="S187" s="60">
        <f t="shared" ref="S187:S236" si="162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3"/>
        <v>201297</v>
      </c>
      <c r="AB187" s="33"/>
      <c r="AC187" s="46">
        <f t="shared" si="144"/>
        <v>2.7475725319456135E-2</v>
      </c>
      <c r="AD187" s="33"/>
      <c r="AE187" s="33">
        <f t="shared" si="145"/>
        <v>1130.8820224719102</v>
      </c>
      <c r="AF187" s="50"/>
      <c r="AG187" s="33">
        <f t="shared" si="146"/>
        <v>5272</v>
      </c>
      <c r="AH187" s="33">
        <f t="shared" si="160"/>
        <v>854934089.34662843</v>
      </c>
      <c r="AI187" s="213">
        <f t="shared" si="147"/>
        <v>-0.12859504132231406</v>
      </c>
      <c r="AJ187" s="50"/>
      <c r="AK187" s="10"/>
      <c r="AL187" s="23">
        <f t="shared" si="148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9"/>
        <v>6.2260243006069839E-3</v>
      </c>
      <c r="AS187" s="25"/>
      <c r="AT187" s="25"/>
      <c r="AU187" s="24"/>
      <c r="AV187" s="298">
        <f t="shared" si="150"/>
        <v>0.54255456804049162</v>
      </c>
      <c r="AW187" s="298"/>
      <c r="AX187" s="24">
        <f t="shared" si="151"/>
        <v>22331.174157303372</v>
      </c>
      <c r="AY187" s="308"/>
      <c r="AZ187" s="348"/>
      <c r="BA187" s="65">
        <f t="shared" si="152"/>
        <v>699997</v>
      </c>
      <c r="BB187" s="66"/>
      <c r="BC187" s="66">
        <v>92403500</v>
      </c>
      <c r="BD187" s="66"/>
      <c r="BE187" s="66">
        <f t="shared" si="153"/>
        <v>31857</v>
      </c>
      <c r="BF187" s="66"/>
      <c r="BG187" s="144">
        <f t="shared" si="154"/>
        <v>4.5510195043693046E-2</v>
      </c>
      <c r="BH187" s="66"/>
      <c r="BI187" s="170"/>
      <c r="BJ187" s="66"/>
      <c r="BK187" s="66">
        <f t="shared" si="155"/>
        <v>4928581</v>
      </c>
      <c r="BL187" s="66"/>
      <c r="BM187" s="144">
        <f t="shared" si="156"/>
        <v>4.9842337987343617E-2</v>
      </c>
      <c r="BN187" s="65">
        <f t="shared" si="157"/>
        <v>519120.78651685396</v>
      </c>
      <c r="BO187" s="66"/>
      <c r="BP187" s="66">
        <f t="shared" si="158"/>
        <v>6419380</v>
      </c>
      <c r="BQ187" s="66"/>
      <c r="BR187" s="435">
        <f t="shared" si="159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3">1+B187</f>
        <v>44088</v>
      </c>
      <c r="C188" s="61"/>
      <c r="D188" s="17">
        <v>38072</v>
      </c>
      <c r="E188" s="16"/>
      <c r="F188" s="16"/>
      <c r="G188" s="16"/>
      <c r="H188" s="16">
        <f t="shared" si="139"/>
        <v>7364430</v>
      </c>
      <c r="I188" s="16"/>
      <c r="J188" s="436">
        <f t="shared" si="140"/>
        <v>5.1965792553407848E-3</v>
      </c>
      <c r="K188" s="16"/>
      <c r="L188" s="16"/>
      <c r="M188" s="16"/>
      <c r="N188" s="16">
        <f t="shared" si="141"/>
        <v>258304</v>
      </c>
      <c r="O188" s="16">
        <f t="shared" si="142"/>
        <v>41142.067039106143</v>
      </c>
      <c r="P188" s="41"/>
      <c r="Q188" s="17">
        <f t="shared" si="161"/>
        <v>258304</v>
      </c>
      <c r="R188" s="16"/>
      <c r="S188" s="60">
        <f t="shared" si="162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3"/>
        <v>201777</v>
      </c>
      <c r="AB188" s="33"/>
      <c r="AC188" s="46">
        <f t="shared" si="144"/>
        <v>2.7398861826373529E-2</v>
      </c>
      <c r="AD188" s="33"/>
      <c r="AE188" s="33">
        <f t="shared" si="145"/>
        <v>1127.2458100558658</v>
      </c>
      <c r="AF188" s="50"/>
      <c r="AG188" s="33">
        <f t="shared" si="146"/>
        <v>5466</v>
      </c>
      <c r="AH188" s="33">
        <f t="shared" si="160"/>
        <v>854880566.34662843</v>
      </c>
      <c r="AI188" s="213">
        <f t="shared" si="147"/>
        <v>-6.1469780219780217E-2</v>
      </c>
      <c r="AJ188" s="50"/>
      <c r="AK188" s="10"/>
      <c r="AL188" s="23">
        <f t="shared" si="148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9"/>
        <v>1.3302560611469481E-2</v>
      </c>
      <c r="AS188" s="25"/>
      <c r="AT188" s="25"/>
      <c r="AU188" s="24"/>
      <c r="AV188" s="298">
        <f t="shared" si="150"/>
        <v>0.54692976917426062</v>
      </c>
      <c r="AW188" s="298"/>
      <c r="AX188" s="24">
        <f t="shared" si="151"/>
        <v>22501.821229050278</v>
      </c>
      <c r="AY188" s="308"/>
      <c r="AZ188" s="10"/>
      <c r="BA188" s="65">
        <f t="shared" si="152"/>
        <v>486822</v>
      </c>
      <c r="BB188" s="66"/>
      <c r="BC188" s="66">
        <v>92890322</v>
      </c>
      <c r="BD188" s="66"/>
      <c r="BE188" s="66">
        <f t="shared" si="153"/>
        <v>38072</v>
      </c>
      <c r="BF188" s="66"/>
      <c r="BG188" s="144">
        <f t="shared" si="154"/>
        <v>7.8205175608333233E-2</v>
      </c>
      <c r="BH188" s="66"/>
      <c r="BI188" s="170"/>
      <c r="BJ188" s="66"/>
      <c r="BK188" s="66">
        <f t="shared" si="155"/>
        <v>4822472</v>
      </c>
      <c r="BL188" s="66"/>
      <c r="BM188" s="144">
        <f t="shared" si="156"/>
        <v>5.3562571229029431E-2</v>
      </c>
      <c r="BN188" s="65">
        <f t="shared" si="157"/>
        <v>518940.34636871511</v>
      </c>
      <c r="BO188" s="66"/>
      <c r="BP188" s="66">
        <f t="shared" si="158"/>
        <v>6457452</v>
      </c>
      <c r="BQ188" s="66"/>
      <c r="BR188" s="435">
        <f t="shared" si="159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3"/>
        <v>44089</v>
      </c>
      <c r="C189" s="61"/>
      <c r="D189" s="17">
        <v>36447</v>
      </c>
      <c r="E189" s="16"/>
      <c r="F189" s="16"/>
      <c r="G189" s="16"/>
      <c r="H189" s="16">
        <f t="shared" si="139"/>
        <v>7400877</v>
      </c>
      <c r="I189" s="16"/>
      <c r="J189" s="436">
        <f t="shared" si="140"/>
        <v>4.9490591939905732E-3</v>
      </c>
      <c r="K189" s="16"/>
      <c r="L189" s="16"/>
      <c r="M189" s="16"/>
      <c r="N189" s="16">
        <f t="shared" si="141"/>
        <v>266312</v>
      </c>
      <c r="O189" s="16">
        <f t="shared" si="142"/>
        <v>41115.98333333333</v>
      </c>
      <c r="P189" s="41"/>
      <c r="Q189" s="17">
        <f t="shared" si="161"/>
        <v>266312</v>
      </c>
      <c r="R189" s="16"/>
      <c r="S189" s="60">
        <f t="shared" si="162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3"/>
        <v>202974</v>
      </c>
      <c r="AB189" s="33"/>
      <c r="AC189" s="46">
        <f t="shared" si="144"/>
        <v>2.7425668606571897E-2</v>
      </c>
      <c r="AD189" s="33"/>
      <c r="AE189" s="33">
        <f t="shared" si="145"/>
        <v>1127.6333333333334</v>
      </c>
      <c r="AF189" s="50"/>
      <c r="AG189" s="33">
        <f t="shared" si="146"/>
        <v>6167</v>
      </c>
      <c r="AH189" s="33">
        <f t="shared" si="160"/>
        <v>854843723.34662843</v>
      </c>
      <c r="AI189" s="213">
        <f t="shared" si="147"/>
        <v>0.1960822342901474</v>
      </c>
      <c r="AJ189" s="50"/>
      <c r="AK189" s="10"/>
      <c r="AL189" s="23">
        <f t="shared" si="148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9"/>
        <v>9.9954665370351158E-3</v>
      </c>
      <c r="AS189" s="25"/>
      <c r="AT189" s="25"/>
      <c r="AU189" s="24"/>
      <c r="AV189" s="298">
        <f t="shared" si="150"/>
        <v>0.54967620729273026</v>
      </c>
      <c r="AW189" s="298"/>
      <c r="AX189" s="24">
        <f t="shared" si="151"/>
        <v>22600.477777777778</v>
      </c>
      <c r="AY189" s="308"/>
      <c r="AZ189" s="10"/>
      <c r="BA189" s="65">
        <f t="shared" si="152"/>
        <v>741636</v>
      </c>
      <c r="BB189" s="66"/>
      <c r="BC189" s="66">
        <v>93631958</v>
      </c>
      <c r="BD189" s="66"/>
      <c r="BE189" s="66">
        <f t="shared" si="153"/>
        <v>36447</v>
      </c>
      <c r="BF189" s="66"/>
      <c r="BG189" s="144">
        <f t="shared" si="154"/>
        <v>4.9144054495736451E-2</v>
      </c>
      <c r="BH189" s="66"/>
      <c r="BI189" s="170"/>
      <c r="BJ189" s="66"/>
      <c r="BK189" s="66">
        <f t="shared" si="155"/>
        <v>4974984</v>
      </c>
      <c r="BL189" s="66"/>
      <c r="BM189" s="144">
        <f t="shared" si="156"/>
        <v>5.3530222408755483E-2</v>
      </c>
      <c r="BN189" s="65">
        <f t="shared" si="157"/>
        <v>520177.54444444447</v>
      </c>
      <c r="BO189" s="66"/>
      <c r="BP189" s="66">
        <f t="shared" si="158"/>
        <v>6493899</v>
      </c>
      <c r="BQ189" s="66"/>
      <c r="BR189" s="435">
        <f t="shared" si="159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3"/>
        <v>44090</v>
      </c>
      <c r="C190" s="61"/>
      <c r="D190" s="17">
        <v>40154</v>
      </c>
      <c r="E190" s="16"/>
      <c r="F190" s="16"/>
      <c r="G190" s="16"/>
      <c r="H190" s="16">
        <f t="shared" si="139"/>
        <v>7441031</v>
      </c>
      <c r="I190" s="16"/>
      <c r="J190" s="436">
        <f t="shared" si="140"/>
        <v>5.4255732124719814E-3</v>
      </c>
      <c r="K190" s="16"/>
      <c r="L190" s="16"/>
      <c r="M190" s="16"/>
      <c r="N190" s="16">
        <f t="shared" si="141"/>
        <v>271223</v>
      </c>
      <c r="O190" s="16">
        <f t="shared" si="142"/>
        <v>41110.668508287294</v>
      </c>
      <c r="P190" s="41"/>
      <c r="Q190" s="17">
        <f t="shared" si="161"/>
        <v>271223</v>
      </c>
      <c r="R190" s="16"/>
      <c r="S190" s="60">
        <f t="shared" si="162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3"/>
        <v>204125</v>
      </c>
      <c r="AB190" s="33"/>
      <c r="AC190" s="46">
        <f t="shared" si="144"/>
        <v>2.743235446808379E-2</v>
      </c>
      <c r="AD190" s="33"/>
      <c r="AE190" s="33">
        <f t="shared" si="145"/>
        <v>1127.7624309392265</v>
      </c>
      <c r="AF190" s="50"/>
      <c r="AG190" s="33">
        <f t="shared" si="146"/>
        <v>6110</v>
      </c>
      <c r="AH190" s="33">
        <f t="shared" si="160"/>
        <v>854803111.34662843</v>
      </c>
      <c r="AI190" s="213">
        <f t="shared" si="147"/>
        <v>0.15851346226772847</v>
      </c>
      <c r="AJ190" s="50"/>
      <c r="AK190" s="10"/>
      <c r="AL190" s="23">
        <f t="shared" si="148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9"/>
        <v>1.2554306865685731E-2</v>
      </c>
      <c r="AS190" s="25"/>
      <c r="AT190" s="25"/>
      <c r="AU190" s="24"/>
      <c r="AV190" s="298">
        <f t="shared" si="150"/>
        <v>0.5535735572127034</v>
      </c>
      <c r="AW190" s="298"/>
      <c r="AX190" s="24">
        <f t="shared" si="151"/>
        <v>22757.779005524862</v>
      </c>
      <c r="AY190" s="308"/>
      <c r="AZ190" s="10"/>
      <c r="BA190" s="65">
        <f t="shared" si="152"/>
        <v>737109</v>
      </c>
      <c r="BB190" s="66"/>
      <c r="BC190" s="66">
        <v>94369067</v>
      </c>
      <c r="BD190" s="66"/>
      <c r="BE190" s="66">
        <f t="shared" si="153"/>
        <v>40154</v>
      </c>
      <c r="BF190" s="66"/>
      <c r="BG190" s="144">
        <f t="shared" si="154"/>
        <v>5.4474982668777615E-2</v>
      </c>
      <c r="BH190" s="66"/>
      <c r="BI190" s="170"/>
      <c r="BJ190" s="66"/>
      <c r="BK190" s="66">
        <f t="shared" si="155"/>
        <v>5085995</v>
      </c>
      <c r="BL190" s="66"/>
      <c r="BM190" s="144">
        <f t="shared" si="156"/>
        <v>5.3327421674618243E-2</v>
      </c>
      <c r="BN190" s="65">
        <f t="shared" si="157"/>
        <v>521376.06077348068</v>
      </c>
      <c r="BO190" s="66"/>
      <c r="BP190" s="66">
        <f t="shared" si="158"/>
        <v>6534053</v>
      </c>
      <c r="BQ190" s="66"/>
      <c r="BR190" s="435">
        <f t="shared" si="159"/>
        <v>6.9239351492157916E-2</v>
      </c>
      <c r="BS190" s="66"/>
      <c r="BT190" s="75"/>
      <c r="BU190" s="170"/>
      <c r="BV190" s="1"/>
      <c r="BW190" s="61">
        <f t="shared" ref="BW190:BW215" si="164">+BW189+1</f>
        <v>181</v>
      </c>
    </row>
    <row r="191" spans="2:75" x14ac:dyDescent="0.3">
      <c r="B191" s="158">
        <f t="shared" si="163"/>
        <v>44091</v>
      </c>
      <c r="C191" s="61"/>
      <c r="D191" s="17">
        <v>46295</v>
      </c>
      <c r="E191" s="16"/>
      <c r="F191" s="16"/>
      <c r="G191" s="16"/>
      <c r="H191" s="16">
        <f t="shared" si="139"/>
        <v>7487326</v>
      </c>
      <c r="I191" s="16"/>
      <c r="J191" s="436">
        <f t="shared" si="140"/>
        <v>6.2215840788729408E-3</v>
      </c>
      <c r="K191" s="16"/>
      <c r="L191" s="16"/>
      <c r="M191" s="16"/>
      <c r="N191" s="16">
        <f t="shared" si="141"/>
        <v>278707</v>
      </c>
      <c r="O191" s="16">
        <f t="shared" si="142"/>
        <v>41139.153846153844</v>
      </c>
      <c r="P191" s="41"/>
      <c r="Q191" s="17">
        <f t="shared" si="161"/>
        <v>278707</v>
      </c>
      <c r="R191" s="16"/>
      <c r="S191" s="60">
        <f t="shared" si="162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3"/>
        <v>205004</v>
      </c>
      <c r="AB191" s="33"/>
      <c r="AC191" s="46">
        <f t="shared" si="144"/>
        <v>2.7380135444883793E-2</v>
      </c>
      <c r="AD191" s="33"/>
      <c r="AE191" s="33">
        <f t="shared" si="145"/>
        <v>1126.3956043956043</v>
      </c>
      <c r="AF191" s="50"/>
      <c r="AG191" s="33">
        <f t="shared" si="146"/>
        <v>5900</v>
      </c>
      <c r="AH191" s="33">
        <f t="shared" si="160"/>
        <v>854759112.34662843</v>
      </c>
      <c r="AI191" s="213">
        <f t="shared" si="147"/>
        <v>0.12402362354734235</v>
      </c>
      <c r="AJ191" s="50"/>
      <c r="AK191" s="10"/>
      <c r="AL191" s="23">
        <f t="shared" si="148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9"/>
        <v>8.7107607914044573E-3</v>
      </c>
      <c r="AS191" s="25"/>
      <c r="AT191" s="25"/>
      <c r="AU191" s="24"/>
      <c r="AV191" s="298">
        <f t="shared" si="150"/>
        <v>0.55494297964319972</v>
      </c>
      <c r="AW191" s="298"/>
      <c r="AX191" s="24">
        <f t="shared" si="151"/>
        <v>22829.884615384617</v>
      </c>
      <c r="AY191" s="308"/>
      <c r="AZ191" s="10"/>
      <c r="BA191" s="65">
        <f t="shared" si="152"/>
        <v>865955</v>
      </c>
      <c r="BB191" s="66"/>
      <c r="BC191" s="66">
        <v>95235022</v>
      </c>
      <c r="BD191" s="66"/>
      <c r="BE191" s="66">
        <f t="shared" si="153"/>
        <v>46295</v>
      </c>
      <c r="BF191" s="66"/>
      <c r="BG191" s="144">
        <f t="shared" si="154"/>
        <v>5.3461207568522615E-2</v>
      </c>
      <c r="BH191" s="66"/>
      <c r="BI191" s="170"/>
      <c r="BJ191" s="66"/>
      <c r="BK191" s="66">
        <f t="shared" si="155"/>
        <v>5250233</v>
      </c>
      <c r="BL191" s="66"/>
      <c r="BM191" s="144">
        <f t="shared" si="156"/>
        <v>5.3084691669874458E-2</v>
      </c>
      <c r="BN191" s="65">
        <f t="shared" si="157"/>
        <v>523269.35164835164</v>
      </c>
      <c r="BO191" s="66"/>
      <c r="BP191" s="66">
        <f t="shared" si="158"/>
        <v>6580348</v>
      </c>
      <c r="BQ191" s="66"/>
      <c r="BR191" s="435">
        <f t="shared" si="159"/>
        <v>6.9095883655069662E-2</v>
      </c>
      <c r="BS191" s="66"/>
      <c r="BT191" s="75"/>
      <c r="BU191" s="170"/>
      <c r="BV191" s="1"/>
      <c r="BW191" s="61">
        <f t="shared" si="164"/>
        <v>182</v>
      </c>
    </row>
    <row r="192" spans="2:75" x14ac:dyDescent="0.3">
      <c r="B192" s="158">
        <f t="shared" si="163"/>
        <v>44092</v>
      </c>
      <c r="C192" s="61"/>
      <c r="D192" s="17">
        <v>51345</v>
      </c>
      <c r="E192" s="16"/>
      <c r="F192" s="16"/>
      <c r="G192" s="16"/>
      <c r="H192" s="16">
        <f t="shared" si="139"/>
        <v>7538671</v>
      </c>
      <c r="I192" s="16"/>
      <c r="J192" s="436">
        <f t="shared" si="140"/>
        <v>6.8575884100678932E-3</v>
      </c>
      <c r="K192" s="16"/>
      <c r="L192" s="16"/>
      <c r="M192" s="16"/>
      <c r="N192" s="16">
        <f t="shared" si="141"/>
        <v>283452</v>
      </c>
      <c r="O192" s="16">
        <f t="shared" si="142"/>
        <v>41194.923497267759</v>
      </c>
      <c r="P192" s="41"/>
      <c r="Q192" s="17">
        <f t="shared" si="161"/>
        <v>283452</v>
      </c>
      <c r="R192" s="16"/>
      <c r="S192" s="60">
        <f t="shared" si="162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3"/>
        <v>205962</v>
      </c>
      <c r="AB192" s="33"/>
      <c r="AC192" s="46">
        <f t="shared" si="144"/>
        <v>2.7320730669901896E-2</v>
      </c>
      <c r="AD192" s="33"/>
      <c r="AE192" s="33">
        <f t="shared" si="145"/>
        <v>1125.4754098360656</v>
      </c>
      <c r="AF192" s="50"/>
      <c r="AG192" s="33">
        <f t="shared" si="146"/>
        <v>5764</v>
      </c>
      <c r="AH192" s="33">
        <f t="shared" si="160"/>
        <v>854714139.34662843</v>
      </c>
      <c r="AI192" s="213">
        <f t="shared" si="147"/>
        <v>8.5499058380414314E-2</v>
      </c>
      <c r="AJ192" s="50"/>
      <c r="AK192" s="10"/>
      <c r="AL192" s="23">
        <f t="shared" si="148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9"/>
        <v>8.8699528452079509E-3</v>
      </c>
      <c r="AS192" s="25"/>
      <c r="AT192" s="25"/>
      <c r="AU192" s="24"/>
      <c r="AV192" s="298">
        <f t="shared" si="150"/>
        <v>0.5560521211232059</v>
      </c>
      <c r="AW192" s="298"/>
      <c r="AX192" s="24">
        <f t="shared" si="151"/>
        <v>22906.524590163935</v>
      </c>
      <c r="AY192" s="308"/>
      <c r="AZ192" s="10"/>
      <c r="BA192" s="65">
        <f t="shared" si="152"/>
        <v>988439</v>
      </c>
      <c r="BB192" s="66"/>
      <c r="BC192" s="66">
        <v>96223461</v>
      </c>
      <c r="BD192" s="66"/>
      <c r="BE192" s="66">
        <f t="shared" si="153"/>
        <v>51345</v>
      </c>
      <c r="BF192" s="66"/>
      <c r="BG192" s="144">
        <f t="shared" si="154"/>
        <v>5.1945542415869871E-2</v>
      </c>
      <c r="BH192" s="66"/>
      <c r="BI192" s="170"/>
      <c r="BJ192" s="66"/>
      <c r="BK192" s="66">
        <f t="shared" si="155"/>
        <v>5377755</v>
      </c>
      <c r="BL192" s="66"/>
      <c r="BM192" s="144">
        <f t="shared" si="156"/>
        <v>5.270823977663542E-2</v>
      </c>
      <c r="BN192" s="65">
        <f t="shared" si="157"/>
        <v>525811.26229508198</v>
      </c>
      <c r="BO192" s="66"/>
      <c r="BP192" s="66">
        <f t="shared" si="158"/>
        <v>6631693</v>
      </c>
      <c r="BQ192" s="66"/>
      <c r="BR192" s="435">
        <f t="shared" si="159"/>
        <v>6.8919709716115912E-2</v>
      </c>
      <c r="BS192" s="66"/>
      <c r="BT192" s="75"/>
      <c r="BU192" s="170"/>
      <c r="BV192" s="1"/>
      <c r="BW192" s="61">
        <f t="shared" si="164"/>
        <v>183</v>
      </c>
    </row>
    <row r="193" spans="2:75" x14ac:dyDescent="0.3">
      <c r="B193" s="158">
        <f t="shared" si="163"/>
        <v>44093</v>
      </c>
      <c r="C193" s="61"/>
      <c r="D193" s="17">
        <v>43613</v>
      </c>
      <c r="E193" s="16"/>
      <c r="F193" s="16"/>
      <c r="G193" s="16"/>
      <c r="H193" s="16">
        <f t="shared" si="139"/>
        <v>7582284</v>
      </c>
      <c r="I193" s="16"/>
      <c r="J193" s="436">
        <f t="shared" si="140"/>
        <v>5.7852372122354188E-3</v>
      </c>
      <c r="K193" s="16"/>
      <c r="L193" s="16"/>
      <c r="M193" s="16"/>
      <c r="N193" s="16">
        <f t="shared" si="141"/>
        <v>287783</v>
      </c>
      <c r="O193" s="16">
        <f t="shared" si="142"/>
        <v>41208.065217391304</v>
      </c>
      <c r="P193" s="41"/>
      <c r="Q193" s="17">
        <f t="shared" si="161"/>
        <v>287783</v>
      </c>
      <c r="R193" s="16"/>
      <c r="S193" s="60">
        <f t="shared" si="162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3"/>
        <v>206620</v>
      </c>
      <c r="AB193" s="33"/>
      <c r="AC193" s="46">
        <f t="shared" si="144"/>
        <v>2.7250364138299225E-2</v>
      </c>
      <c r="AD193" s="33"/>
      <c r="AE193" s="33">
        <f t="shared" si="145"/>
        <v>1122.9347826086957</v>
      </c>
      <c r="AF193" s="50"/>
      <c r="AG193" s="33">
        <f t="shared" si="146"/>
        <v>5715</v>
      </c>
      <c r="AH193" s="33">
        <f t="shared" si="160"/>
        <v>854668782.34662843</v>
      </c>
      <c r="AI193" s="213">
        <f t="shared" si="147"/>
        <v>7.6271186440677971E-2</v>
      </c>
      <c r="AJ193" s="50"/>
      <c r="AK193" s="10"/>
      <c r="AL193" s="23">
        <f t="shared" si="148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9"/>
        <v>7.5858311302719013E-3</v>
      </c>
      <c r="AS193" s="25"/>
      <c r="AT193" s="25"/>
      <c r="AU193" s="24"/>
      <c r="AV193" s="298">
        <f t="shared" si="150"/>
        <v>0.55704758618906913</v>
      </c>
      <c r="AW193" s="298"/>
      <c r="AX193" s="24">
        <f t="shared" si="151"/>
        <v>22954.853260869564</v>
      </c>
      <c r="AY193" s="308"/>
      <c r="AZ193" s="10"/>
      <c r="BA193" s="65">
        <f t="shared" si="152"/>
        <v>1086851</v>
      </c>
      <c r="BB193" s="66"/>
      <c r="BC193" s="66">
        <v>97310312</v>
      </c>
      <c r="BD193" s="66"/>
      <c r="BE193" s="66">
        <f t="shared" si="153"/>
        <v>43613</v>
      </c>
      <c r="BF193" s="66"/>
      <c r="BG193" s="144">
        <f t="shared" si="154"/>
        <v>4.0127855612222832E-2</v>
      </c>
      <c r="BH193" s="66"/>
      <c r="BI193" s="170"/>
      <c r="BJ193" s="66"/>
      <c r="BK193" s="66">
        <f t="shared" si="155"/>
        <v>5606809</v>
      </c>
      <c r="BL193" s="66"/>
      <c r="BM193" s="144">
        <f t="shared" si="156"/>
        <v>5.1327412793979607E-2</v>
      </c>
      <c r="BN193" s="65">
        <f t="shared" si="157"/>
        <v>528860.39130434778</v>
      </c>
      <c r="BO193" s="66"/>
      <c r="BP193" s="66">
        <f t="shared" si="158"/>
        <v>6675306</v>
      </c>
      <c r="BQ193" s="66"/>
      <c r="BR193" s="435">
        <f t="shared" si="159"/>
        <v>6.8598135827578066E-2</v>
      </c>
      <c r="BS193" s="66"/>
      <c r="BT193" s="75"/>
      <c r="BU193" s="170"/>
      <c r="BV193" s="1"/>
      <c r="BW193" s="61">
        <f t="shared" si="164"/>
        <v>184</v>
      </c>
    </row>
    <row r="194" spans="2:75" x14ac:dyDescent="0.3">
      <c r="B194" s="347">
        <f t="shared" si="163"/>
        <v>44094</v>
      </c>
      <c r="C194" s="61"/>
      <c r="D194" s="17">
        <v>33386</v>
      </c>
      <c r="E194" s="16"/>
      <c r="F194" s="16"/>
      <c r="G194" s="16"/>
      <c r="H194" s="16">
        <f t="shared" si="139"/>
        <v>7615670</v>
      </c>
      <c r="I194" s="16"/>
      <c r="J194" s="436">
        <f t="shared" si="140"/>
        <v>4.4031587315906395E-3</v>
      </c>
      <c r="K194" s="16"/>
      <c r="L194" s="16"/>
      <c r="M194" s="16"/>
      <c r="N194" s="16">
        <f t="shared" si="141"/>
        <v>289312</v>
      </c>
      <c r="O194" s="16">
        <f t="shared" si="142"/>
        <v>41165.783783783787</v>
      </c>
      <c r="P194" s="41"/>
      <c r="Q194" s="17">
        <f t="shared" si="161"/>
        <v>289312</v>
      </c>
      <c r="R194" s="16"/>
      <c r="S194" s="60">
        <f t="shared" si="162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3"/>
        <v>206914</v>
      </c>
      <c r="AB194" s="33"/>
      <c r="AC194" s="46">
        <f t="shared" si="144"/>
        <v>2.7169507082108336E-2</v>
      </c>
      <c r="AD194" s="33"/>
      <c r="AE194" s="33">
        <f t="shared" si="145"/>
        <v>1118.454054054054</v>
      </c>
      <c r="AF194" s="50"/>
      <c r="AG194" s="33">
        <f t="shared" si="146"/>
        <v>5617</v>
      </c>
      <c r="AH194" s="33">
        <f t="shared" si="160"/>
        <v>854618301.34662843</v>
      </c>
      <c r="AI194" s="213">
        <f t="shared" si="147"/>
        <v>6.5440060698027311E-2</v>
      </c>
      <c r="AJ194" s="50"/>
      <c r="AK194" s="10"/>
      <c r="AL194" s="23">
        <f t="shared" si="148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9"/>
        <v>6.2615819852437195E-3</v>
      </c>
      <c r="AS194" s="25"/>
      <c r="AT194" s="25"/>
      <c r="AU194" s="24"/>
      <c r="AV194" s="298">
        <f t="shared" si="150"/>
        <v>0.55807827807664989</v>
      </c>
      <c r="AW194" s="298"/>
      <c r="AX194" s="24">
        <f t="shared" si="151"/>
        <v>22973.72972972973</v>
      </c>
      <c r="AY194" s="308"/>
      <c r="AZ194" s="348"/>
      <c r="BA194" s="65">
        <f t="shared" si="152"/>
        <v>856297</v>
      </c>
      <c r="BB194" s="66"/>
      <c r="BC194" s="66">
        <v>98166609</v>
      </c>
      <c r="BD194" s="66"/>
      <c r="BE194" s="66">
        <f t="shared" si="153"/>
        <v>33386</v>
      </c>
      <c r="BF194" s="66"/>
      <c r="BG194" s="144">
        <f t="shared" si="154"/>
        <v>3.8988808789473743E-2</v>
      </c>
      <c r="BH194" s="66"/>
      <c r="BI194" s="170"/>
      <c r="BJ194" s="66"/>
      <c r="BK194" s="66">
        <f t="shared" si="155"/>
        <v>5763109</v>
      </c>
      <c r="BL194" s="66"/>
      <c r="BM194" s="144">
        <f t="shared" si="156"/>
        <v>5.0200681611262253E-2</v>
      </c>
      <c r="BN194" s="65">
        <f t="shared" si="157"/>
        <v>530630.31891891896</v>
      </c>
      <c r="BO194" s="66"/>
      <c r="BP194" s="66">
        <f t="shared" si="158"/>
        <v>6708692</v>
      </c>
      <c r="BQ194" s="66"/>
      <c r="BR194" s="435">
        <f t="shared" si="159"/>
        <v>6.8339856783684969E-2</v>
      </c>
      <c r="BS194" s="66"/>
      <c r="BT194" s="75"/>
      <c r="BU194" s="170"/>
      <c r="BV194" s="1"/>
      <c r="BW194" s="61">
        <f t="shared" si="164"/>
        <v>185</v>
      </c>
    </row>
    <row r="195" spans="2:75" x14ac:dyDescent="0.3">
      <c r="B195" s="158">
        <f t="shared" si="163"/>
        <v>44095</v>
      </c>
      <c r="C195" s="61"/>
      <c r="D195" s="17">
        <v>36804</v>
      </c>
      <c r="E195" s="16"/>
      <c r="F195" s="16"/>
      <c r="G195" s="16"/>
      <c r="H195" s="16">
        <f t="shared" si="139"/>
        <v>7652474</v>
      </c>
      <c r="I195" s="16"/>
      <c r="J195" s="436">
        <f t="shared" si="140"/>
        <v>4.8326673818587206E-3</v>
      </c>
      <c r="K195" s="16"/>
      <c r="L195" s="16"/>
      <c r="M195" s="16"/>
      <c r="N195" s="16">
        <f t="shared" si="141"/>
        <v>288044</v>
      </c>
      <c r="O195" s="16">
        <f t="shared" si="142"/>
        <v>41142.333333333336</v>
      </c>
      <c r="P195" s="41"/>
      <c r="Q195" s="17">
        <f t="shared" si="161"/>
        <v>288044</v>
      </c>
      <c r="R195" s="16"/>
      <c r="S195" s="60">
        <f t="shared" si="162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3"/>
        <v>207298</v>
      </c>
      <c r="AB195" s="33"/>
      <c r="AC195" s="46">
        <f t="shared" si="144"/>
        <v>2.7089017225017688E-2</v>
      </c>
      <c r="AD195" s="33"/>
      <c r="AE195" s="33">
        <f t="shared" si="145"/>
        <v>1114.505376344086</v>
      </c>
      <c r="AF195" s="50"/>
      <c r="AG195" s="33">
        <f t="shared" si="146"/>
        <v>5521</v>
      </c>
      <c r="AH195" s="33">
        <f t="shared" si="160"/>
        <v>854574472.34662843</v>
      </c>
      <c r="AI195" s="213">
        <f t="shared" si="147"/>
        <v>1.0062202707647273E-2</v>
      </c>
      <c r="AJ195" s="50"/>
      <c r="AK195" s="10"/>
      <c r="AL195" s="23">
        <f t="shared" si="148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9"/>
        <v>1.1619617236138104E-2</v>
      </c>
      <c r="AS195" s="25"/>
      <c r="AT195" s="25"/>
      <c r="AU195" s="24"/>
      <c r="AV195" s="298">
        <f t="shared" si="150"/>
        <v>0.56184771094942632</v>
      </c>
      <c r="AW195" s="298"/>
      <c r="AX195" s="24">
        <f t="shared" si="151"/>
        <v>23115.725806451614</v>
      </c>
      <c r="AY195" s="308"/>
      <c r="AZ195" s="10"/>
      <c r="BA195" s="65">
        <f t="shared" si="152"/>
        <v>743166</v>
      </c>
      <c r="BB195" s="66"/>
      <c r="BC195" s="66">
        <v>98909775</v>
      </c>
      <c r="BD195" s="66"/>
      <c r="BE195" s="66">
        <f t="shared" si="153"/>
        <v>36804</v>
      </c>
      <c r="BF195" s="66"/>
      <c r="BG195" s="144">
        <f t="shared" si="154"/>
        <v>4.9523255907832166E-2</v>
      </c>
      <c r="BH195" s="66"/>
      <c r="BI195" s="170"/>
      <c r="BJ195" s="66"/>
      <c r="BK195" s="66">
        <f t="shared" si="155"/>
        <v>6019453</v>
      </c>
      <c r="BL195" s="66"/>
      <c r="BM195" s="144">
        <f t="shared" si="156"/>
        <v>4.7852188562648466E-2</v>
      </c>
      <c r="BN195" s="65">
        <f t="shared" si="157"/>
        <v>531772.98387096776</v>
      </c>
      <c r="BO195" s="66"/>
      <c r="BP195" s="66">
        <f t="shared" si="158"/>
        <v>6745496</v>
      </c>
      <c r="BQ195" s="66"/>
      <c r="BR195" s="435">
        <f t="shared" si="159"/>
        <v>6.8198476844174405E-2</v>
      </c>
      <c r="BS195" s="66"/>
      <c r="BT195" s="75"/>
      <c r="BU195" s="170"/>
      <c r="BV195" s="1"/>
      <c r="BW195" s="61">
        <f t="shared" si="164"/>
        <v>186</v>
      </c>
    </row>
    <row r="196" spans="2:75" x14ac:dyDescent="0.3">
      <c r="B196" s="158">
        <f t="shared" si="163"/>
        <v>44096</v>
      </c>
      <c r="C196" s="61"/>
      <c r="D196" s="17">
        <v>35696</v>
      </c>
      <c r="E196" s="16"/>
      <c r="F196" s="16"/>
      <c r="G196" s="16"/>
      <c r="H196" s="16">
        <f t="shared" si="139"/>
        <v>7688170</v>
      </c>
      <c r="I196" s="16"/>
      <c r="J196" s="436">
        <f t="shared" si="140"/>
        <v>4.6646352539061221E-3</v>
      </c>
      <c r="K196" s="16"/>
      <c r="L196" s="16"/>
      <c r="M196" s="16"/>
      <c r="N196" s="16">
        <f t="shared" si="141"/>
        <v>287293</v>
      </c>
      <c r="O196" s="16">
        <f t="shared" si="142"/>
        <v>41113.20855614973</v>
      </c>
      <c r="P196" s="41"/>
      <c r="Q196" s="17">
        <f t="shared" si="161"/>
        <v>287293</v>
      </c>
      <c r="R196" s="16"/>
      <c r="S196" s="60">
        <f t="shared" si="162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3"/>
        <v>208277</v>
      </c>
      <c r="AB196" s="33"/>
      <c r="AC196" s="46">
        <f t="shared" si="144"/>
        <v>2.7090582024070747E-2</v>
      </c>
      <c r="AD196" s="33"/>
      <c r="AE196" s="33">
        <f t="shared" si="145"/>
        <v>1113.7807486631016</v>
      </c>
      <c r="AF196" s="50"/>
      <c r="AG196" s="33">
        <f t="shared" ref="AG196:AG204" si="165">SUM(W190:W196)</f>
        <v>5303</v>
      </c>
      <c r="AH196" s="33">
        <f t="shared" si="160"/>
        <v>854541754.34662843</v>
      </c>
      <c r="AI196" s="213">
        <f t="shared" si="147"/>
        <v>-0.14010053510621048</v>
      </c>
      <c r="AJ196" s="50"/>
      <c r="AK196" s="10"/>
      <c r="AL196" s="23">
        <f t="shared" si="148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9"/>
        <v>1.0834917810688389E-2</v>
      </c>
      <c r="AS196" s="25"/>
      <c r="AT196" s="25"/>
      <c r="AU196" s="24"/>
      <c r="AV196" s="298">
        <f t="shared" si="150"/>
        <v>0.56529837399537208</v>
      </c>
      <c r="AW196" s="298"/>
      <c r="AX196" s="24">
        <f t="shared" si="151"/>
        <v>23241.229946524065</v>
      </c>
      <c r="AY196" s="308"/>
      <c r="AZ196" s="10"/>
      <c r="BA196" s="65">
        <f t="shared" si="152"/>
        <v>772198</v>
      </c>
      <c r="BB196" s="66"/>
      <c r="BC196" s="66">
        <v>99681973</v>
      </c>
      <c r="BD196" s="66"/>
      <c r="BE196" s="66">
        <f t="shared" si="153"/>
        <v>35696</v>
      </c>
      <c r="BF196" s="66"/>
      <c r="BG196" s="144">
        <f t="shared" si="154"/>
        <v>4.6226485953084574E-2</v>
      </c>
      <c r="BH196" s="66"/>
      <c r="BI196" s="170"/>
      <c r="BJ196" s="66"/>
      <c r="BK196" s="66">
        <f t="shared" si="155"/>
        <v>6050015</v>
      </c>
      <c r="BL196" s="66"/>
      <c r="BM196" s="144">
        <f t="shared" si="156"/>
        <v>4.7486328546292859E-2</v>
      </c>
      <c r="BN196" s="65">
        <f t="shared" si="157"/>
        <v>533058.67914438504</v>
      </c>
      <c r="BO196" s="66"/>
      <c r="BP196" s="66">
        <f t="shared" si="158"/>
        <v>6781192</v>
      </c>
      <c r="BQ196" s="66"/>
      <c r="BR196" s="435">
        <f t="shared" si="159"/>
        <v>6.8028268260701463E-2</v>
      </c>
      <c r="BS196" s="66"/>
      <c r="BT196" s="75"/>
      <c r="BU196" s="170"/>
      <c r="BV196" s="1"/>
      <c r="BW196" s="61">
        <f t="shared" si="164"/>
        <v>187</v>
      </c>
    </row>
    <row r="197" spans="2:75" x14ac:dyDescent="0.3">
      <c r="B197" s="158">
        <f t="shared" si="163"/>
        <v>44097</v>
      </c>
      <c r="C197" s="61"/>
      <c r="D197" s="17">
        <v>41616</v>
      </c>
      <c r="E197" s="16"/>
      <c r="F197" s="16"/>
      <c r="G197" s="16"/>
      <c r="H197" s="16">
        <f t="shared" si="139"/>
        <v>7729786</v>
      </c>
      <c r="I197" s="16"/>
      <c r="J197" s="436">
        <f t="shared" si="140"/>
        <v>5.4129916482075708E-3</v>
      </c>
      <c r="K197" s="16"/>
      <c r="L197" s="16"/>
      <c r="M197" s="16"/>
      <c r="N197" s="16">
        <f t="shared" si="141"/>
        <v>288755</v>
      </c>
      <c r="O197" s="16">
        <f t="shared" si="142"/>
        <v>41115.882978723406</v>
      </c>
      <c r="P197" s="41"/>
      <c r="Q197" s="17">
        <f t="shared" si="161"/>
        <v>288755</v>
      </c>
      <c r="R197" s="16"/>
      <c r="S197" s="60">
        <f t="shared" si="162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3"/>
        <v>209392</v>
      </c>
      <c r="AB197" s="33"/>
      <c r="AC197" s="46">
        <f t="shared" si="144"/>
        <v>2.7088977624995052E-2</v>
      </c>
      <c r="AD197" s="33"/>
      <c r="AE197" s="33">
        <f t="shared" si="145"/>
        <v>1113.7872340425531</v>
      </c>
      <c r="AF197" s="50"/>
      <c r="AG197" s="33">
        <f t="shared" si="165"/>
        <v>5267</v>
      </c>
      <c r="AH197" s="33">
        <f t="shared" si="160"/>
        <v>854500270.34662843</v>
      </c>
      <c r="AI197" s="213">
        <f t="shared" si="147"/>
        <v>-0.13797054009819967</v>
      </c>
      <c r="AJ197" s="50"/>
      <c r="AK197" s="10"/>
      <c r="AL197" s="23">
        <f t="shared" si="148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9"/>
        <v>1.2148104856987052E-2</v>
      </c>
      <c r="AS197" s="25"/>
      <c r="AT197" s="25"/>
      <c r="AU197" s="24"/>
      <c r="AV197" s="298">
        <f t="shared" si="150"/>
        <v>0.56908522435161857</v>
      </c>
      <c r="AW197" s="298"/>
      <c r="AX197" s="24">
        <f t="shared" si="151"/>
        <v>23398.441489361703</v>
      </c>
      <c r="AY197" s="308"/>
      <c r="AZ197" s="10"/>
      <c r="BA197" s="65">
        <f t="shared" si="152"/>
        <v>900117</v>
      </c>
      <c r="BB197" s="66"/>
      <c r="BC197" s="66">
        <v>100582090</v>
      </c>
      <c r="BD197" s="66"/>
      <c r="BE197" s="66">
        <f t="shared" si="153"/>
        <v>41616</v>
      </c>
      <c r="BF197" s="66"/>
      <c r="BG197" s="144">
        <f t="shared" si="154"/>
        <v>4.6233989581354426E-2</v>
      </c>
      <c r="BH197" s="66"/>
      <c r="BI197" s="170"/>
      <c r="BJ197" s="66"/>
      <c r="BK197" s="66">
        <f t="shared" si="155"/>
        <v>6213023</v>
      </c>
      <c r="BL197" s="66"/>
      <c r="BM197" s="144">
        <f t="shared" si="156"/>
        <v>4.647576550094857E-2</v>
      </c>
      <c r="BN197" s="65">
        <f t="shared" si="157"/>
        <v>535011.11702127662</v>
      </c>
      <c r="BO197" s="66"/>
      <c r="BP197" s="66">
        <f t="shared" si="158"/>
        <v>6822808</v>
      </c>
      <c r="BQ197" s="66"/>
      <c r="BR197" s="435">
        <f t="shared" si="159"/>
        <v>6.7833229554088603E-2</v>
      </c>
      <c r="BS197" s="66"/>
      <c r="BT197" s="75"/>
      <c r="BU197" s="170"/>
      <c r="BV197" s="1"/>
      <c r="BW197" s="61">
        <f t="shared" si="164"/>
        <v>188</v>
      </c>
    </row>
    <row r="198" spans="2:75" x14ac:dyDescent="0.3">
      <c r="B198" s="158">
        <f t="shared" si="163"/>
        <v>44098</v>
      </c>
      <c r="C198" s="61"/>
      <c r="D198" s="17">
        <v>45355</v>
      </c>
      <c r="E198" s="16"/>
      <c r="F198" s="16"/>
      <c r="G198" s="16"/>
      <c r="H198" s="16">
        <f t="shared" si="139"/>
        <v>7775141</v>
      </c>
      <c r="I198" s="16"/>
      <c r="J198" s="436">
        <f t="shared" si="140"/>
        <v>5.8675621808934944E-3</v>
      </c>
      <c r="K198" s="16"/>
      <c r="L198" s="16"/>
      <c r="M198" s="16"/>
      <c r="N198" s="16">
        <f t="shared" si="141"/>
        <v>287815</v>
      </c>
      <c r="O198" s="16">
        <f t="shared" si="142"/>
        <v>41138.312169312172</v>
      </c>
      <c r="P198" s="41"/>
      <c r="Q198" s="17">
        <f t="shared" si="161"/>
        <v>287815</v>
      </c>
      <c r="R198" s="16"/>
      <c r="S198" s="60">
        <f t="shared" si="162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3"/>
        <v>210334</v>
      </c>
      <c r="AB198" s="33"/>
      <c r="AC198" s="46">
        <f t="shared" si="144"/>
        <v>2.7052113910217192E-2</v>
      </c>
      <c r="AD198" s="33"/>
      <c r="AE198" s="33">
        <f t="shared" si="145"/>
        <v>1112.8783068783068</v>
      </c>
      <c r="AF198" s="50"/>
      <c r="AG198" s="33">
        <f t="shared" si="165"/>
        <v>5330</v>
      </c>
      <c r="AH198" s="33">
        <f t="shared" si="160"/>
        <v>854460172.34662843</v>
      </c>
      <c r="AI198" s="213">
        <f t="shared" si="147"/>
        <v>-9.6610169491525427E-2</v>
      </c>
      <c r="AJ198" s="50"/>
      <c r="AK198" s="10"/>
      <c r="AL198" s="23">
        <f t="shared" si="148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9"/>
        <v>8.7846821949179657E-3</v>
      </c>
      <c r="AS198" s="25"/>
      <c r="AT198" s="25"/>
      <c r="AU198" s="24"/>
      <c r="AV198" s="298">
        <f t="shared" si="150"/>
        <v>0.57073563038921094</v>
      </c>
      <c r="AW198" s="298"/>
      <c r="AX198" s="24">
        <f t="shared" si="151"/>
        <v>23479.100529100528</v>
      </c>
      <c r="AY198" s="308"/>
      <c r="AZ198" s="10"/>
      <c r="BA198" s="65">
        <f t="shared" si="152"/>
        <v>990101</v>
      </c>
      <c r="BB198" s="66"/>
      <c r="BC198" s="66">
        <v>101572191</v>
      </c>
      <c r="BD198" s="66"/>
      <c r="BE198" s="66">
        <f t="shared" si="153"/>
        <v>45355</v>
      </c>
      <c r="BF198" s="66"/>
      <c r="BG198" s="144">
        <f t="shared" si="154"/>
        <v>4.5808457924999574E-2</v>
      </c>
      <c r="BH198" s="66"/>
      <c r="BI198" s="170"/>
      <c r="BJ198" s="66"/>
      <c r="BK198" s="66">
        <f t="shared" si="155"/>
        <v>6337169</v>
      </c>
      <c r="BL198" s="66"/>
      <c r="BM198" s="144">
        <f t="shared" si="156"/>
        <v>4.5416967734330585E-2</v>
      </c>
      <c r="BN198" s="65">
        <f t="shared" si="157"/>
        <v>537419</v>
      </c>
      <c r="BO198" s="66"/>
      <c r="BP198" s="66">
        <f t="shared" si="158"/>
        <v>6868163</v>
      </c>
      <c r="BQ198" s="66"/>
      <c r="BR198" s="435">
        <f t="shared" si="159"/>
        <v>6.7618537440036125E-2</v>
      </c>
      <c r="BS198" s="66"/>
      <c r="BT198" s="75"/>
      <c r="BU198" s="170"/>
      <c r="BV198" s="1"/>
      <c r="BW198" s="61">
        <f t="shared" si="164"/>
        <v>189</v>
      </c>
    </row>
    <row r="199" spans="2:75" x14ac:dyDescent="0.3">
      <c r="B199" s="158">
        <f t="shared" si="163"/>
        <v>44099</v>
      </c>
      <c r="C199" s="61"/>
      <c r="D199" s="17">
        <v>53629</v>
      </c>
      <c r="E199" s="16"/>
      <c r="F199" s="16"/>
      <c r="G199" s="16"/>
      <c r="H199" s="16">
        <f t="shared" si="139"/>
        <v>7828770</v>
      </c>
      <c r="I199" s="16"/>
      <c r="J199" s="436">
        <f t="shared" si="140"/>
        <v>6.8974954923647046E-3</v>
      </c>
      <c r="K199" s="16"/>
      <c r="L199" s="16"/>
      <c r="M199" s="16"/>
      <c r="N199" s="16">
        <f t="shared" si="141"/>
        <v>290099</v>
      </c>
      <c r="O199" s="16">
        <f t="shared" si="142"/>
        <v>41204.052631578947</v>
      </c>
      <c r="P199" s="41"/>
      <c r="Q199" s="17">
        <f t="shared" si="161"/>
        <v>290099</v>
      </c>
      <c r="R199" s="16"/>
      <c r="S199" s="60">
        <f t="shared" si="162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3"/>
        <v>211229</v>
      </c>
      <c r="AB199" s="33"/>
      <c r="AC199" s="46">
        <f t="shared" si="144"/>
        <v>2.6981122194163324E-2</v>
      </c>
      <c r="AD199" s="33"/>
      <c r="AE199" s="33">
        <f t="shared" si="145"/>
        <v>1111.7315789473685</v>
      </c>
      <c r="AF199" s="50"/>
      <c r="AG199" s="33">
        <f t="shared" si="165"/>
        <v>5267</v>
      </c>
      <c r="AH199" s="33">
        <f t="shared" si="160"/>
        <v>854415535.34662843</v>
      </c>
      <c r="AI199" s="213">
        <f t="shared" si="147"/>
        <v>-8.6224843858431641E-2</v>
      </c>
      <c r="AJ199" s="50"/>
      <c r="AK199" s="10"/>
      <c r="AL199" s="23">
        <f t="shared" si="148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9"/>
        <v>9.7281157395409622E-3</v>
      </c>
      <c r="AS199" s="25"/>
      <c r="AT199" s="25"/>
      <c r="AU199" s="24"/>
      <c r="AV199" s="298">
        <f t="shared" si="150"/>
        <v>0.57234009940258812</v>
      </c>
      <c r="AW199" s="298"/>
      <c r="AX199" s="24">
        <f t="shared" si="151"/>
        <v>23582.731578947369</v>
      </c>
      <c r="AY199" s="308"/>
      <c r="AZ199" s="10"/>
      <c r="BA199" s="65">
        <f t="shared" si="152"/>
        <v>975164</v>
      </c>
      <c r="BB199" s="66"/>
      <c r="BC199" s="66">
        <v>102547355</v>
      </c>
      <c r="BD199" s="66"/>
      <c r="BE199" s="66">
        <f t="shared" si="153"/>
        <v>53629</v>
      </c>
      <c r="BF199" s="66"/>
      <c r="BG199" s="144">
        <f t="shared" si="154"/>
        <v>5.4994852147946395E-2</v>
      </c>
      <c r="BH199" s="66"/>
      <c r="BI199" s="170"/>
      <c r="BJ199" s="66"/>
      <c r="BK199" s="66">
        <f t="shared" si="155"/>
        <v>6323894</v>
      </c>
      <c r="BL199" s="66"/>
      <c r="BM199" s="144">
        <f t="shared" si="156"/>
        <v>4.5873476057631576E-2</v>
      </c>
      <c r="BN199" s="65">
        <f t="shared" si="157"/>
        <v>539722.92105263157</v>
      </c>
      <c r="BO199" s="66"/>
      <c r="BP199" s="66">
        <f t="shared" si="158"/>
        <v>6921792</v>
      </c>
      <c r="BQ199" s="66"/>
      <c r="BR199" s="435">
        <f t="shared" si="159"/>
        <v>6.7498493744670457E-2</v>
      </c>
      <c r="BS199" s="66"/>
      <c r="BT199" s="75"/>
      <c r="BU199" s="170"/>
      <c r="BV199" s="1"/>
      <c r="BW199" s="61">
        <f t="shared" si="164"/>
        <v>190</v>
      </c>
    </row>
    <row r="200" spans="2:75" x14ac:dyDescent="0.3">
      <c r="B200" s="158">
        <f t="shared" si="163"/>
        <v>44100</v>
      </c>
      <c r="C200" s="61"/>
      <c r="D200" s="17">
        <v>43206</v>
      </c>
      <c r="E200" s="16"/>
      <c r="F200" s="16"/>
      <c r="G200" s="16"/>
      <c r="H200" s="16">
        <f t="shared" si="139"/>
        <v>7871976</v>
      </c>
      <c r="I200" s="16"/>
      <c r="J200" s="436">
        <f t="shared" si="140"/>
        <v>5.5188746124870194E-3</v>
      </c>
      <c r="K200" s="16"/>
      <c r="L200" s="16"/>
      <c r="M200" s="16"/>
      <c r="N200" s="16">
        <f t="shared" si="141"/>
        <v>289692</v>
      </c>
      <c r="O200" s="16">
        <f t="shared" si="142"/>
        <v>41214.534031413612</v>
      </c>
      <c r="P200" s="41"/>
      <c r="Q200" s="17">
        <f t="shared" si="161"/>
        <v>289692</v>
      </c>
      <c r="R200" s="16"/>
      <c r="S200" s="60">
        <f t="shared" si="162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3"/>
        <v>211966</v>
      </c>
      <c r="AB200" s="33"/>
      <c r="AC200" s="46">
        <f t="shared" si="144"/>
        <v>2.6926657296719402E-2</v>
      </c>
      <c r="AD200" s="33"/>
      <c r="AE200" s="33">
        <f t="shared" si="145"/>
        <v>1109.7696335078533</v>
      </c>
      <c r="AF200" s="50"/>
      <c r="AG200" s="33">
        <f t="shared" si="165"/>
        <v>5346</v>
      </c>
      <c r="AH200" s="33">
        <f t="shared" si="160"/>
        <v>854369529.34662843</v>
      </c>
      <c r="AI200" s="213">
        <f t="shared" si="147"/>
        <v>-6.4566929133858267E-2</v>
      </c>
      <c r="AJ200" s="50"/>
      <c r="AK200" s="10"/>
      <c r="AL200" s="23">
        <f t="shared" si="148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9"/>
        <v>9.6834905290869612E-3</v>
      </c>
      <c r="AS200" s="25"/>
      <c r="AT200" s="25"/>
      <c r="AU200" s="24"/>
      <c r="AV200" s="298">
        <f t="shared" si="150"/>
        <v>0.57471059362985866</v>
      </c>
      <c r="AW200" s="298"/>
      <c r="AX200" s="24">
        <f t="shared" si="151"/>
        <v>23686.429319371728</v>
      </c>
      <c r="AY200" s="308"/>
      <c r="AZ200" s="10"/>
      <c r="BA200" s="65">
        <f t="shared" si="152"/>
        <v>1028168</v>
      </c>
      <c r="BB200" s="66"/>
      <c r="BC200" s="66">
        <v>103575523</v>
      </c>
      <c r="BD200" s="66"/>
      <c r="BE200" s="66">
        <f t="shared" si="153"/>
        <v>43206</v>
      </c>
      <c r="BF200" s="66"/>
      <c r="BG200" s="144">
        <f t="shared" si="154"/>
        <v>4.2022315419270005E-2</v>
      </c>
      <c r="BH200" s="66"/>
      <c r="BI200" s="170"/>
      <c r="BJ200" s="66"/>
      <c r="BK200" s="66">
        <f t="shared" si="155"/>
        <v>6265211</v>
      </c>
      <c r="BL200" s="66"/>
      <c r="BM200" s="144">
        <f t="shared" si="156"/>
        <v>4.6238187349157113E-2</v>
      </c>
      <c r="BN200" s="65">
        <f t="shared" si="157"/>
        <v>542280.22513089003</v>
      </c>
      <c r="BO200" s="66"/>
      <c r="BP200" s="66">
        <f t="shared" si="158"/>
        <v>6964998</v>
      </c>
      <c r="BQ200" s="66"/>
      <c r="BR200" s="435">
        <f t="shared" si="159"/>
        <v>6.7245598170911483E-2</v>
      </c>
      <c r="BS200" s="66"/>
      <c r="BT200" s="75"/>
      <c r="BU200" s="170"/>
      <c r="BV200" s="1"/>
      <c r="BW200" s="61">
        <f t="shared" si="164"/>
        <v>191</v>
      </c>
    </row>
    <row r="201" spans="2:75" x14ac:dyDescent="0.3">
      <c r="B201" s="347">
        <f t="shared" si="163"/>
        <v>44101</v>
      </c>
      <c r="C201" s="61"/>
      <c r="D201" s="17">
        <v>33782</v>
      </c>
      <c r="E201" s="16"/>
      <c r="F201" s="16"/>
      <c r="G201" s="16"/>
      <c r="H201" s="16">
        <f t="shared" si="139"/>
        <v>7905758</v>
      </c>
      <c r="I201" s="16"/>
      <c r="J201" s="436">
        <f t="shared" si="140"/>
        <v>4.2914256852409106E-3</v>
      </c>
      <c r="K201" s="16"/>
      <c r="L201" s="16"/>
      <c r="M201" s="16"/>
      <c r="N201" s="16">
        <f t="shared" si="141"/>
        <v>290088</v>
      </c>
      <c r="O201" s="16">
        <f t="shared" si="142"/>
        <v>41175.822916666664</v>
      </c>
      <c r="P201" s="41"/>
      <c r="Q201" s="17">
        <f t="shared" si="161"/>
        <v>290088</v>
      </c>
      <c r="R201" s="16"/>
      <c r="S201" s="60">
        <f t="shared" si="162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3"/>
        <v>212242</v>
      </c>
      <c r="AB201" s="33"/>
      <c r="AC201" s="46">
        <f t="shared" si="144"/>
        <v>2.6846508582731726E-2</v>
      </c>
      <c r="AD201" s="33"/>
      <c r="AE201" s="33">
        <f t="shared" si="145"/>
        <v>1105.4270833333333</v>
      </c>
      <c r="AF201" s="50"/>
      <c r="AG201" s="33">
        <f t="shared" si="165"/>
        <v>5328</v>
      </c>
      <c r="AH201" s="33">
        <f t="shared" si="160"/>
        <v>854319928.34662843</v>
      </c>
      <c r="AI201" s="213">
        <f t="shared" si="147"/>
        <v>-5.145095246572904E-2</v>
      </c>
      <c r="AJ201" s="50"/>
      <c r="AK201" s="10"/>
      <c r="AL201" s="23">
        <f t="shared" si="148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9"/>
        <v>8.0342909585712809E-3</v>
      </c>
      <c r="AS201" s="25"/>
      <c r="AT201" s="25"/>
      <c r="AU201" s="24"/>
      <c r="AV201" s="298">
        <f t="shared" si="150"/>
        <v>0.57685246626572684</v>
      </c>
      <c r="AW201" s="298"/>
      <c r="AX201" s="24">
        <f t="shared" si="151"/>
        <v>23752.375</v>
      </c>
      <c r="AY201" s="308"/>
      <c r="AZ201" s="348"/>
      <c r="BA201" s="65">
        <f t="shared" si="152"/>
        <v>759639</v>
      </c>
      <c r="BB201" s="66"/>
      <c r="BC201" s="66">
        <v>104335162</v>
      </c>
      <c r="BD201" s="66"/>
      <c r="BE201" s="66">
        <f t="shared" si="153"/>
        <v>33782</v>
      </c>
      <c r="BF201" s="66"/>
      <c r="BG201" s="144">
        <f t="shared" si="154"/>
        <v>4.4471123783797306E-2</v>
      </c>
      <c r="BH201" s="66"/>
      <c r="BI201" s="170"/>
      <c r="BJ201" s="66"/>
      <c r="BK201" s="66">
        <f t="shared" si="155"/>
        <v>6168553</v>
      </c>
      <c r="BL201" s="66"/>
      <c r="BM201" s="144">
        <f t="shared" si="156"/>
        <v>4.7026912146171072E-2</v>
      </c>
      <c r="BN201" s="65">
        <f t="shared" si="157"/>
        <v>543412.30208333337</v>
      </c>
      <c r="BO201" s="66"/>
      <c r="BP201" s="66">
        <f t="shared" si="158"/>
        <v>6998780</v>
      </c>
      <c r="BQ201" s="66"/>
      <c r="BR201" s="435">
        <f t="shared" si="159"/>
        <v>6.7079782748600131E-2</v>
      </c>
      <c r="BS201" s="66"/>
      <c r="BT201" s="75"/>
      <c r="BU201" s="170"/>
      <c r="BV201" s="1"/>
      <c r="BW201" s="61">
        <f t="shared" si="164"/>
        <v>192</v>
      </c>
    </row>
    <row r="202" spans="2:75" x14ac:dyDescent="0.3">
      <c r="B202" s="158">
        <f t="shared" si="163"/>
        <v>44102</v>
      </c>
      <c r="C202" s="61"/>
      <c r="D202" s="17">
        <v>37418</v>
      </c>
      <c r="E202" s="16"/>
      <c r="F202" s="16"/>
      <c r="G202" s="16"/>
      <c r="H202" s="16">
        <f t="shared" si="139"/>
        <v>7943176</v>
      </c>
      <c r="I202" s="16"/>
      <c r="J202" s="436">
        <f t="shared" si="140"/>
        <v>4.7330059938591592E-3</v>
      </c>
      <c r="K202" s="16"/>
      <c r="L202" s="16"/>
      <c r="M202" s="16"/>
      <c r="N202" s="16">
        <f t="shared" si="141"/>
        <v>290702</v>
      </c>
      <c r="O202" s="16">
        <f t="shared" si="142"/>
        <v>41156.35233160622</v>
      </c>
      <c r="P202" s="41"/>
      <c r="Q202" s="17">
        <f t="shared" si="161"/>
        <v>290702</v>
      </c>
      <c r="R202" s="16"/>
      <c r="S202" s="60">
        <f t="shared" si="162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3"/>
        <v>212597</v>
      </c>
      <c r="AB202" s="33"/>
      <c r="AC202" s="46">
        <f t="shared" si="144"/>
        <v>2.6764734912080507E-2</v>
      </c>
      <c r="AD202" s="33"/>
      <c r="AE202" s="33">
        <f t="shared" si="145"/>
        <v>1101.538860103627</v>
      </c>
      <c r="AF202" s="50"/>
      <c r="AG202" s="33">
        <f t="shared" si="165"/>
        <v>5299</v>
      </c>
      <c r="AH202" s="33">
        <f t="shared" si="160"/>
        <v>854277268.34662843</v>
      </c>
      <c r="AI202" s="213">
        <f t="shared" si="147"/>
        <v>-4.0210106864698426E-2</v>
      </c>
      <c r="AJ202" s="50"/>
      <c r="AK202" s="10"/>
      <c r="AL202" s="23">
        <f t="shared" si="148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9"/>
        <v>1.0784009318366409E-2</v>
      </c>
      <c r="AS202" s="25"/>
      <c r="AT202" s="25"/>
      <c r="AU202" s="24"/>
      <c r="AV202" s="298">
        <f t="shared" si="150"/>
        <v>0.58032655955250145</v>
      </c>
      <c r="AW202" s="298"/>
      <c r="AX202" s="24">
        <f t="shared" si="151"/>
        <v>23884.124352331608</v>
      </c>
      <c r="AY202" s="308"/>
      <c r="AZ202" s="10"/>
      <c r="BA202" s="65">
        <f t="shared" si="152"/>
        <v>1066544</v>
      </c>
      <c r="BB202" s="66"/>
      <c r="BC202" s="66">
        <v>105401706</v>
      </c>
      <c r="BD202" s="66"/>
      <c r="BE202" s="66">
        <f t="shared" si="153"/>
        <v>37418</v>
      </c>
      <c r="BF202" s="66"/>
      <c r="BG202" s="144">
        <f t="shared" si="154"/>
        <v>3.5083409592103092E-2</v>
      </c>
      <c r="BH202" s="66"/>
      <c r="BI202" s="170"/>
      <c r="BJ202" s="66"/>
      <c r="BK202" s="66">
        <f t="shared" si="155"/>
        <v>6491931</v>
      </c>
      <c r="BL202" s="66"/>
      <c r="BM202" s="144">
        <f t="shared" si="156"/>
        <v>4.4778972542992214E-2</v>
      </c>
      <c r="BN202" s="65">
        <f t="shared" si="157"/>
        <v>546122.82901554403</v>
      </c>
      <c r="BO202" s="66"/>
      <c r="BP202" s="66">
        <f t="shared" si="158"/>
        <v>7036198</v>
      </c>
      <c r="BQ202" s="66"/>
      <c r="BR202" s="435">
        <f t="shared" si="159"/>
        <v>6.6756016264101076E-2</v>
      </c>
      <c r="BS202" s="66"/>
      <c r="BT202" s="75"/>
      <c r="BU202" s="170"/>
      <c r="BV202" s="1"/>
      <c r="BW202" s="61">
        <f t="shared" si="164"/>
        <v>193</v>
      </c>
    </row>
    <row r="203" spans="2:75" x14ac:dyDescent="0.3">
      <c r="B203" s="158">
        <f t="shared" si="163"/>
        <v>44103</v>
      </c>
      <c r="C203" s="61"/>
      <c r="D203" s="17">
        <v>44227</v>
      </c>
      <c r="E203" s="16"/>
      <c r="F203" s="16"/>
      <c r="G203" s="16"/>
      <c r="H203" s="16">
        <f t="shared" si="139"/>
        <v>7987403</v>
      </c>
      <c r="I203" s="16"/>
      <c r="J203" s="436">
        <f t="shared" si="140"/>
        <v>5.5679239639156936E-3</v>
      </c>
      <c r="K203" s="16"/>
      <c r="L203" s="16"/>
      <c r="M203" s="16"/>
      <c r="N203" s="16">
        <f t="shared" si="141"/>
        <v>299233</v>
      </c>
      <c r="O203" s="16">
        <f t="shared" si="142"/>
        <v>41172.180412371134</v>
      </c>
      <c r="P203" s="41"/>
      <c r="Q203" s="17">
        <f t="shared" si="161"/>
        <v>299233</v>
      </c>
      <c r="R203" s="16"/>
      <c r="S203" s="60">
        <f t="shared" si="162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3"/>
        <v>213574</v>
      </c>
      <c r="AB203" s="33"/>
      <c r="AC203" s="46">
        <f t="shared" si="144"/>
        <v>2.6738853667456118E-2</v>
      </c>
      <c r="AD203" s="33"/>
      <c r="AE203" s="33">
        <f t="shared" si="145"/>
        <v>1100.8969072164948</v>
      </c>
      <c r="AF203" s="50"/>
      <c r="AG203" s="33">
        <f t="shared" si="165"/>
        <v>5297</v>
      </c>
      <c r="AH203" s="33">
        <f t="shared" si="160"/>
        <v>854243287.34662843</v>
      </c>
      <c r="AI203" s="213">
        <f t="shared" si="147"/>
        <v>-1.1314350367716388E-3</v>
      </c>
      <c r="AJ203" s="50"/>
      <c r="AK203" s="10"/>
      <c r="AL203" s="23">
        <f t="shared" si="148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9"/>
        <v>8.4707339147819909E-3</v>
      </c>
      <c r="AS203" s="25"/>
      <c r="AT203" s="25"/>
      <c r="AU203" s="24"/>
      <c r="AV203" s="298">
        <f t="shared" si="150"/>
        <v>0.58200180959944048</v>
      </c>
      <c r="AW203" s="298"/>
      <c r="AX203" s="24">
        <f t="shared" si="151"/>
        <v>23962.283505154639</v>
      </c>
      <c r="AY203" s="308"/>
      <c r="AZ203" s="10"/>
      <c r="BA203" s="65">
        <f t="shared" si="152"/>
        <v>771516</v>
      </c>
      <c r="BB203" s="66"/>
      <c r="BC203" s="66">
        <v>106173222</v>
      </c>
      <c r="BD203" s="66"/>
      <c r="BE203" s="66">
        <f t="shared" si="153"/>
        <v>44227</v>
      </c>
      <c r="BF203" s="66"/>
      <c r="BG203" s="144">
        <f t="shared" si="154"/>
        <v>5.7324799485687916E-2</v>
      </c>
      <c r="BH203" s="66"/>
      <c r="BI203" s="170"/>
      <c r="BJ203" s="66"/>
      <c r="BK203" s="66">
        <f t="shared" si="155"/>
        <v>6491249</v>
      </c>
      <c r="BL203" s="66"/>
      <c r="BM203" s="144">
        <f t="shared" si="156"/>
        <v>4.6097908122150297E-2</v>
      </c>
      <c r="BN203" s="65">
        <f t="shared" si="157"/>
        <v>547284.64948453603</v>
      </c>
      <c r="BO203" s="66"/>
      <c r="BP203" s="66">
        <f t="shared" si="158"/>
        <v>7080425</v>
      </c>
      <c r="BQ203" s="66"/>
      <c r="BR203" s="435">
        <f t="shared" si="159"/>
        <v>6.6687483591672481E-2</v>
      </c>
      <c r="BS203" s="66"/>
      <c r="BT203" s="75"/>
      <c r="BU203" s="170"/>
      <c r="BV203" s="1"/>
      <c r="BW203" s="61">
        <f t="shared" si="164"/>
        <v>194</v>
      </c>
    </row>
    <row r="204" spans="2:75" x14ac:dyDescent="0.3">
      <c r="B204" s="158">
        <f t="shared" si="163"/>
        <v>44104</v>
      </c>
      <c r="C204" s="61"/>
      <c r="D204" s="17">
        <v>40929</v>
      </c>
      <c r="E204" s="16"/>
      <c r="F204" s="16"/>
      <c r="G204" s="16"/>
      <c r="H204" s="16">
        <f t="shared" si="139"/>
        <v>8028332</v>
      </c>
      <c r="I204" s="16"/>
      <c r="J204" s="436">
        <f t="shared" si="140"/>
        <v>5.1241936834788481E-3</v>
      </c>
      <c r="K204" s="16"/>
      <c r="L204" s="16"/>
      <c r="M204" s="16"/>
      <c r="N204" s="426">
        <f>SUM(D175:D204)</f>
        <v>1202331</v>
      </c>
      <c r="O204" s="16">
        <f t="shared" si="142"/>
        <v>41170.933333333334</v>
      </c>
      <c r="P204" s="41"/>
      <c r="Q204" s="17">
        <f t="shared" si="161"/>
        <v>298546</v>
      </c>
      <c r="R204" s="16"/>
      <c r="S204" s="60">
        <f t="shared" si="162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3"/>
        <v>214529</v>
      </c>
      <c r="AB204" s="33"/>
      <c r="AC204" s="46">
        <f t="shared" si="144"/>
        <v>2.6721490840189471E-2</v>
      </c>
      <c r="AD204" s="33"/>
      <c r="AE204" s="33">
        <f t="shared" si="145"/>
        <v>1100.1487179487181</v>
      </c>
      <c r="AF204" s="50"/>
      <c r="AG204" s="33">
        <f t="shared" si="165"/>
        <v>5137</v>
      </c>
      <c r="AH204" s="33">
        <f t="shared" si="160"/>
        <v>854204727.34662843</v>
      </c>
      <c r="AI204" s="213">
        <f t="shared" si="147"/>
        <v>-2.468198215302829E-2</v>
      </c>
      <c r="AJ204" s="50"/>
      <c r="AK204" s="10"/>
      <c r="AL204" s="23">
        <f t="shared" si="148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9"/>
        <v>1.0975796800943407E-2</v>
      </c>
      <c r="AS204" s="25"/>
      <c r="AT204" s="25"/>
      <c r="AU204" s="24"/>
      <c r="AV204" s="298">
        <f t="shared" si="150"/>
        <v>0.58539009099274919</v>
      </c>
      <c r="AW204" s="298"/>
      <c r="AX204" s="24">
        <f t="shared" si="151"/>
        <v>24101.056410256409</v>
      </c>
      <c r="AY204" s="308"/>
      <c r="AZ204" s="10"/>
      <c r="BA204" s="65">
        <f t="shared" si="152"/>
        <v>1363003</v>
      </c>
      <c r="BB204" s="66"/>
      <c r="BC204" s="66">
        <v>107536225</v>
      </c>
      <c r="BD204" s="66"/>
      <c r="BE204" s="66">
        <f t="shared" si="153"/>
        <v>40929</v>
      </c>
      <c r="BF204" s="66"/>
      <c r="BG204" s="144">
        <f t="shared" si="154"/>
        <v>3.0028547259250346E-2</v>
      </c>
      <c r="BH204" s="66"/>
      <c r="BI204" s="170"/>
      <c r="BJ204" s="66"/>
      <c r="BK204" s="66">
        <f t="shared" si="155"/>
        <v>6954135</v>
      </c>
      <c r="BL204" s="66"/>
      <c r="BM204" s="144">
        <f t="shared" si="156"/>
        <v>4.2930716760603581E-2</v>
      </c>
      <c r="BN204" s="65">
        <f t="shared" si="157"/>
        <v>551467.8205128205</v>
      </c>
      <c r="BO204" s="66"/>
      <c r="BP204" s="66">
        <f t="shared" si="158"/>
        <v>7121354</v>
      </c>
      <c r="BQ204" s="66"/>
      <c r="BR204" s="435">
        <f t="shared" si="159"/>
        <v>6.6222837932054995E-2</v>
      </c>
      <c r="BS204" s="66"/>
      <c r="BT204" s="75"/>
      <c r="BU204" s="170"/>
      <c r="BV204" s="1"/>
      <c r="BW204" s="61">
        <f t="shared" si="164"/>
        <v>195</v>
      </c>
    </row>
    <row r="205" spans="2:75" x14ac:dyDescent="0.3">
      <c r="B205" s="158">
        <f t="shared" si="163"/>
        <v>44105</v>
      </c>
      <c r="C205" s="61"/>
      <c r="D205" s="17">
        <v>47389</v>
      </c>
      <c r="E205" s="16"/>
      <c r="F205" s="16"/>
      <c r="G205" s="16"/>
      <c r="H205" s="16">
        <f t="shared" si="139"/>
        <v>8075721</v>
      </c>
      <c r="I205" s="16"/>
      <c r="J205" s="436">
        <f t="shared" si="140"/>
        <v>5.9027205152950828E-3</v>
      </c>
      <c r="K205" s="16"/>
      <c r="L205" s="16"/>
      <c r="M205" s="16"/>
      <c r="N205" s="16">
        <f t="shared" si="141"/>
        <v>300580</v>
      </c>
      <c r="O205" s="16">
        <f t="shared" si="142"/>
        <v>41202.658163265303</v>
      </c>
      <c r="P205" s="41"/>
      <c r="Q205" s="17">
        <f t="shared" si="161"/>
        <v>300580</v>
      </c>
      <c r="R205" s="16"/>
      <c r="S205" s="60">
        <f t="shared" si="162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3"/>
        <v>215449</v>
      </c>
      <c r="AB205" s="33"/>
      <c r="AC205" s="46">
        <f t="shared" si="144"/>
        <v>2.6678608634448861E-2</v>
      </c>
      <c r="AD205" s="33"/>
      <c r="AE205" s="33">
        <f t="shared" si="145"/>
        <v>1099.2295918367347</v>
      </c>
      <c r="AF205" s="50"/>
      <c r="AG205" s="33">
        <f t="shared" ref="AG205:AG212" si="166">SUM(W199:W205)</f>
        <v>5115</v>
      </c>
      <c r="AH205" s="33">
        <f t="shared" si="160"/>
        <v>854162748.34662843</v>
      </c>
      <c r="AI205" s="213">
        <f t="shared" si="147"/>
        <v>-4.0337711069418386E-2</v>
      </c>
      <c r="AJ205" s="50"/>
      <c r="AK205" s="10"/>
      <c r="AL205" s="23">
        <f t="shared" si="148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9"/>
        <v>7.8547466586207735E-3</v>
      </c>
      <c r="AS205" s="25"/>
      <c r="AT205" s="25"/>
      <c r="AU205" s="24"/>
      <c r="AV205" s="298">
        <f t="shared" si="150"/>
        <v>0.58652608231512704</v>
      </c>
      <c r="AW205" s="298"/>
      <c r="AX205" s="24">
        <f t="shared" si="151"/>
        <v>24166.433673469386</v>
      </c>
      <c r="AY205" s="308"/>
      <c r="AZ205" s="10"/>
      <c r="BA205" s="65">
        <f t="shared" si="152"/>
        <v>895735</v>
      </c>
      <c r="BB205" s="66"/>
      <c r="BC205" s="66">
        <v>108431960</v>
      </c>
      <c r="BD205" s="66"/>
      <c r="BE205" s="66">
        <f t="shared" si="153"/>
        <v>47389</v>
      </c>
      <c r="BF205" s="66"/>
      <c r="BG205" s="144">
        <f t="shared" si="154"/>
        <v>5.2905156100855721E-2</v>
      </c>
      <c r="BH205" s="66"/>
      <c r="BI205" s="170"/>
      <c r="BJ205" s="66"/>
      <c r="BK205" s="66">
        <f t="shared" si="155"/>
        <v>6859769</v>
      </c>
      <c r="BL205" s="66"/>
      <c r="BM205" s="144">
        <f t="shared" si="156"/>
        <v>4.3817802028027472E-2</v>
      </c>
      <c r="BN205" s="65">
        <f t="shared" si="157"/>
        <v>553224.28571428568</v>
      </c>
      <c r="BO205" s="66"/>
      <c r="BP205" s="66">
        <f t="shared" si="158"/>
        <v>7168743</v>
      </c>
      <c r="BQ205" s="66"/>
      <c r="BR205" s="435">
        <f t="shared" si="159"/>
        <v>6.6112823193456988E-2</v>
      </c>
      <c r="BS205" s="66"/>
      <c r="BT205" s="75"/>
      <c r="BU205" s="170"/>
      <c r="BV205" s="1"/>
      <c r="BW205" s="61">
        <f t="shared" si="164"/>
        <v>196</v>
      </c>
    </row>
    <row r="206" spans="2:75" x14ac:dyDescent="0.3">
      <c r="B206" s="158">
        <f t="shared" si="163"/>
        <v>44106</v>
      </c>
      <c r="C206" s="61"/>
      <c r="D206" s="17">
        <v>51403</v>
      </c>
      <c r="E206" s="16"/>
      <c r="F206" s="16"/>
      <c r="G206" s="16"/>
      <c r="H206" s="16">
        <f t="shared" si="139"/>
        <v>8127124</v>
      </c>
      <c r="I206" s="16"/>
      <c r="J206" s="436">
        <f t="shared" si="140"/>
        <v>6.3651282653276403E-3</v>
      </c>
      <c r="K206" s="16"/>
      <c r="L206" s="16"/>
      <c r="M206" s="16"/>
      <c r="N206" s="16">
        <f t="shared" si="141"/>
        <v>298354</v>
      </c>
      <c r="O206" s="16">
        <f t="shared" si="142"/>
        <v>41254.436548223348</v>
      </c>
      <c r="P206" s="41"/>
      <c r="Q206" s="17">
        <f t="shared" si="161"/>
        <v>298354</v>
      </c>
      <c r="R206" s="16"/>
      <c r="S206" s="60">
        <f t="shared" si="162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3"/>
        <v>216313</v>
      </c>
      <c r="AB206" s="33"/>
      <c r="AC206" s="46">
        <f t="shared" si="144"/>
        <v>2.6616180582454508E-2</v>
      </c>
      <c r="AD206" s="33"/>
      <c r="AE206" s="33">
        <f t="shared" si="145"/>
        <v>1098.0355329949239</v>
      </c>
      <c r="AF206" s="50"/>
      <c r="AG206" s="33">
        <f t="shared" si="166"/>
        <v>5084</v>
      </c>
      <c r="AH206" s="33">
        <f t="shared" si="160"/>
        <v>854121537.34662843</v>
      </c>
      <c r="AI206" s="213">
        <f t="shared" si="147"/>
        <v>-3.4744636415416745E-2</v>
      </c>
      <c r="AJ206" s="50"/>
      <c r="AK206" s="10"/>
      <c r="AL206" s="23">
        <f t="shared" si="148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9"/>
        <v>8.4876961867964527E-3</v>
      </c>
      <c r="AS206" s="25"/>
      <c r="AT206" s="25"/>
      <c r="AU206" s="24"/>
      <c r="AV206" s="298">
        <f t="shared" si="150"/>
        <v>0.58776314967016619</v>
      </c>
      <c r="AW206" s="298"/>
      <c r="AX206" s="24">
        <f t="shared" si="151"/>
        <v>24247.837563451776</v>
      </c>
      <c r="AY206" s="308"/>
      <c r="AZ206" s="10"/>
      <c r="BA206" s="65">
        <f t="shared" si="152"/>
        <v>1138486</v>
      </c>
      <c r="BB206" s="66"/>
      <c r="BC206" s="66">
        <v>109570446</v>
      </c>
      <c r="BD206" s="66"/>
      <c r="BE206" s="66">
        <f t="shared" si="153"/>
        <v>51403</v>
      </c>
      <c r="BF206" s="66"/>
      <c r="BG206" s="144">
        <f t="shared" si="154"/>
        <v>4.515031366217942E-2</v>
      </c>
      <c r="BH206" s="66"/>
      <c r="BI206" s="170"/>
      <c r="BJ206" s="66"/>
      <c r="BK206" s="66">
        <f t="shared" si="155"/>
        <v>7023091</v>
      </c>
      <c r="BL206" s="66"/>
      <c r="BM206" s="144">
        <f t="shared" si="156"/>
        <v>4.2481864466799593E-2</v>
      </c>
      <c r="BN206" s="65">
        <f t="shared" si="157"/>
        <v>556195.15736040613</v>
      </c>
      <c r="BO206" s="66"/>
      <c r="BP206" s="66">
        <f t="shared" si="158"/>
        <v>7220146</v>
      </c>
      <c r="BQ206" s="66"/>
      <c r="BR206" s="435">
        <f t="shared" si="159"/>
        <v>6.589501333233598E-2</v>
      </c>
      <c r="BS206" s="66"/>
      <c r="BT206" s="75"/>
      <c r="BU206" s="170"/>
      <c r="BV206" s="1"/>
      <c r="BW206" s="61">
        <f t="shared" si="164"/>
        <v>197</v>
      </c>
    </row>
    <row r="207" spans="2:75" x14ac:dyDescent="0.3">
      <c r="B207" s="158">
        <f t="shared" si="163"/>
        <v>44107</v>
      </c>
      <c r="C207" s="61"/>
      <c r="D207" s="17">
        <v>48925</v>
      </c>
      <c r="E207" s="16"/>
      <c r="F207" s="16"/>
      <c r="G207" s="16"/>
      <c r="H207" s="16">
        <f t="shared" si="139"/>
        <v>8176049</v>
      </c>
      <c r="I207" s="16"/>
      <c r="J207" s="436">
        <f t="shared" si="140"/>
        <v>6.0199647501379336E-3</v>
      </c>
      <c r="K207" s="16"/>
      <c r="L207" s="16"/>
      <c r="M207" s="16"/>
      <c r="N207" s="16">
        <f t="shared" si="141"/>
        <v>304073</v>
      </c>
      <c r="O207" s="16">
        <f t="shared" si="142"/>
        <v>41293.17676767677</v>
      </c>
      <c r="P207" s="41"/>
      <c r="Q207" s="17">
        <f t="shared" si="161"/>
        <v>304073</v>
      </c>
      <c r="R207" s="16"/>
      <c r="S207" s="60">
        <f t="shared" si="162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3"/>
        <v>217068</v>
      </c>
      <c r="AB207" s="33"/>
      <c r="AC207" s="46">
        <f t="shared" si="144"/>
        <v>2.6549253802172663E-2</v>
      </c>
      <c r="AD207" s="33"/>
      <c r="AE207" s="33">
        <f t="shared" si="145"/>
        <v>1096.3030303030303</v>
      </c>
      <c r="AF207" s="50"/>
      <c r="AG207" s="33">
        <f t="shared" si="166"/>
        <v>5102</v>
      </c>
      <c r="AH207" s="33">
        <f t="shared" si="160"/>
        <v>854076073.34662843</v>
      </c>
      <c r="AI207" s="213">
        <f t="shared" si="147"/>
        <v>-4.5641601197156753E-2</v>
      </c>
      <c r="AJ207" s="50"/>
      <c r="AK207" s="10"/>
      <c r="AL207" s="23">
        <f t="shared" si="148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9"/>
        <v>8.7265094966865013E-3</v>
      </c>
      <c r="AS207" s="25"/>
      <c r="AT207" s="25"/>
      <c r="AU207" s="24"/>
      <c r="AV207" s="298">
        <f t="shared" si="150"/>
        <v>0.58934443763729893</v>
      </c>
      <c r="AW207" s="298"/>
      <c r="AX207" s="24">
        <f t="shared" si="151"/>
        <v>24335.904040404039</v>
      </c>
      <c r="AY207" s="308"/>
      <c r="AZ207" s="10"/>
      <c r="BA207" s="65">
        <f t="shared" si="152"/>
        <v>955837</v>
      </c>
      <c r="BB207" s="66"/>
      <c r="BC207" s="66">
        <v>110526283</v>
      </c>
      <c r="BD207" s="66"/>
      <c r="BE207" s="66">
        <f t="shared" si="153"/>
        <v>48925</v>
      </c>
      <c r="BF207" s="66"/>
      <c r="BG207" s="144">
        <f t="shared" si="154"/>
        <v>5.1185505478444547E-2</v>
      </c>
      <c r="BH207" s="66"/>
      <c r="BI207" s="170"/>
      <c r="BJ207" s="66"/>
      <c r="BK207" s="66">
        <f t="shared" si="155"/>
        <v>6950760</v>
      </c>
      <c r="BL207" s="66"/>
      <c r="BM207" s="144">
        <f t="shared" si="156"/>
        <v>4.3746726976618383E-2</v>
      </c>
      <c r="BN207" s="65">
        <f t="shared" si="157"/>
        <v>558213.55050505046</v>
      </c>
      <c r="BO207" s="66"/>
      <c r="BP207" s="66">
        <f t="shared" si="158"/>
        <v>7269071</v>
      </c>
      <c r="BQ207" s="66"/>
      <c r="BR207" s="435">
        <f t="shared" si="159"/>
        <v>6.5767804749210651E-2</v>
      </c>
      <c r="BS207" s="66"/>
      <c r="BT207" s="75"/>
      <c r="BU207" s="170"/>
      <c r="BV207" s="1"/>
      <c r="BW207" s="61">
        <f t="shared" si="164"/>
        <v>198</v>
      </c>
    </row>
    <row r="208" spans="2:75" x14ac:dyDescent="0.3">
      <c r="B208" s="347">
        <f t="shared" si="163"/>
        <v>44108</v>
      </c>
      <c r="C208" s="61"/>
      <c r="D208" s="17">
        <v>34066</v>
      </c>
      <c r="E208" s="16"/>
      <c r="F208" s="16"/>
      <c r="G208" s="16"/>
      <c r="H208" s="16">
        <f t="shared" si="139"/>
        <v>8210115</v>
      </c>
      <c r="I208" s="16"/>
      <c r="J208" s="436">
        <f t="shared" si="140"/>
        <v>4.1665601563787109E-3</v>
      </c>
      <c r="K208" s="16"/>
      <c r="L208" s="16"/>
      <c r="M208" s="16"/>
      <c r="N208" s="16">
        <f t="shared" si="141"/>
        <v>304357</v>
      </c>
      <c r="O208" s="16">
        <f t="shared" si="142"/>
        <v>41256.859296482413</v>
      </c>
      <c r="P208" s="41"/>
      <c r="Q208" s="17">
        <f t="shared" si="161"/>
        <v>304357</v>
      </c>
      <c r="R208" s="16"/>
      <c r="S208" s="60">
        <f t="shared" si="162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3"/>
        <v>217400</v>
      </c>
      <c r="AB208" s="33"/>
      <c r="AC208" s="46">
        <f t="shared" si="144"/>
        <v>2.6479531650896487E-2</v>
      </c>
      <c r="AD208" s="33"/>
      <c r="AE208" s="33">
        <f t="shared" si="145"/>
        <v>1092.462311557789</v>
      </c>
      <c r="AF208" s="50"/>
      <c r="AG208" s="33">
        <f t="shared" si="166"/>
        <v>5158</v>
      </c>
      <c r="AH208" s="33">
        <f t="shared" si="160"/>
        <v>854023224.34662843</v>
      </c>
      <c r="AI208" s="213">
        <f t="shared" si="147"/>
        <v>-3.1906906906906909E-2</v>
      </c>
      <c r="AJ208" s="50"/>
      <c r="AK208" s="10"/>
      <c r="AL208" s="23">
        <f t="shared" si="148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9"/>
        <v>6.3357773120274342E-3</v>
      </c>
      <c r="AS208" s="25"/>
      <c r="AT208" s="25"/>
      <c r="AU208" s="24"/>
      <c r="AV208" s="298">
        <f t="shared" si="150"/>
        <v>0.59061754920607079</v>
      </c>
      <c r="AW208" s="298"/>
      <c r="AX208" s="24">
        <f t="shared" si="151"/>
        <v>24367.025125628141</v>
      </c>
      <c r="AY208" s="308"/>
      <c r="AZ208" s="348"/>
      <c r="BA208" s="65">
        <f t="shared" si="152"/>
        <v>943983</v>
      </c>
      <c r="BB208" s="66"/>
      <c r="BC208" s="66">
        <v>111470266</v>
      </c>
      <c r="BD208" s="66"/>
      <c r="BE208" s="66">
        <f t="shared" si="153"/>
        <v>34066</v>
      </c>
      <c r="BF208" s="66"/>
      <c r="BG208" s="144">
        <f t="shared" si="154"/>
        <v>3.6087514287863234E-2</v>
      </c>
      <c r="BH208" s="66"/>
      <c r="BI208" s="170"/>
      <c r="BJ208" s="66"/>
      <c r="BK208" s="66">
        <f t="shared" si="155"/>
        <v>7135104</v>
      </c>
      <c r="BL208" s="66"/>
      <c r="BM208" s="144">
        <f t="shared" si="156"/>
        <v>4.2656280833467883E-2</v>
      </c>
      <c r="BN208" s="65">
        <f t="shared" si="157"/>
        <v>560152.09045226127</v>
      </c>
      <c r="BO208" s="66"/>
      <c r="BP208" s="66">
        <f t="shared" si="158"/>
        <v>7303137</v>
      </c>
      <c r="BQ208" s="66"/>
      <c r="BR208" s="435">
        <f t="shared" si="159"/>
        <v>6.5516457994278049E-2</v>
      </c>
      <c r="BS208" s="66"/>
      <c r="BT208" s="75"/>
      <c r="BU208" s="170"/>
      <c r="BV208" s="1"/>
      <c r="BW208" s="61">
        <f t="shared" si="164"/>
        <v>199</v>
      </c>
    </row>
    <row r="209" spans="2:75" x14ac:dyDescent="0.3">
      <c r="B209" s="158">
        <f t="shared" si="163"/>
        <v>44109</v>
      </c>
      <c r="C209" s="61"/>
      <c r="D209" s="17">
        <v>37717</v>
      </c>
      <c r="E209" s="16"/>
      <c r="F209" s="16"/>
      <c r="G209" s="16"/>
      <c r="H209" s="16">
        <f t="shared" si="139"/>
        <v>8247832</v>
      </c>
      <c r="I209" s="16"/>
      <c r="J209" s="436">
        <f t="shared" si="140"/>
        <v>4.5939673195807855E-3</v>
      </c>
      <c r="K209" s="16"/>
      <c r="L209" s="16"/>
      <c r="M209" s="16"/>
      <c r="N209" s="16">
        <f t="shared" si="141"/>
        <v>304656</v>
      </c>
      <c r="O209" s="16">
        <f t="shared" si="142"/>
        <v>41239.160000000003</v>
      </c>
      <c r="P209" s="41"/>
      <c r="Q209" s="17">
        <f t="shared" si="161"/>
        <v>304656</v>
      </c>
      <c r="R209" s="16"/>
      <c r="S209" s="60">
        <f t="shared" si="162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3"/>
        <v>217748</v>
      </c>
      <c r="AB209" s="33"/>
      <c r="AC209" s="46">
        <f t="shared" si="144"/>
        <v>2.6400634736498028E-2</v>
      </c>
      <c r="AD209" s="33"/>
      <c r="AE209" s="33">
        <f t="shared" si="145"/>
        <v>1088.74</v>
      </c>
      <c r="AF209" s="50"/>
      <c r="AG209" s="33">
        <f t="shared" si="166"/>
        <v>5151</v>
      </c>
      <c r="AH209" s="33">
        <f t="shared" si="160"/>
        <v>853981132.34662843</v>
      </c>
      <c r="AI209" s="213">
        <f t="shared" si="147"/>
        <v>-2.7929798075108512E-2</v>
      </c>
      <c r="AJ209" s="50"/>
      <c r="AK209" s="10"/>
      <c r="AL209" s="23">
        <f t="shared" si="148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9"/>
        <v>8.0017933454017073E-3</v>
      </c>
      <c r="AS209" s="25"/>
      <c r="AT209" s="25"/>
      <c r="AU209" s="24"/>
      <c r="AV209" s="298">
        <f t="shared" si="150"/>
        <v>0.59262106696644645</v>
      </c>
      <c r="AW209" s="298"/>
      <c r="AX209" s="24">
        <f t="shared" si="151"/>
        <v>24439.195</v>
      </c>
      <c r="AY209" s="308"/>
      <c r="AZ209" s="10"/>
      <c r="BA209" s="65">
        <f t="shared" si="152"/>
        <v>901908</v>
      </c>
      <c r="BB209" s="66"/>
      <c r="BC209" s="66">
        <v>112372174</v>
      </c>
      <c r="BD209" s="66"/>
      <c r="BE209" s="66">
        <f t="shared" si="153"/>
        <v>37717</v>
      </c>
      <c r="BF209" s="66"/>
      <c r="BG209" s="144">
        <f t="shared" si="154"/>
        <v>4.1819121240747395E-2</v>
      </c>
      <c r="BH209" s="66"/>
      <c r="BI209" s="170"/>
      <c r="BJ209" s="66"/>
      <c r="BK209" s="66">
        <f t="shared" si="155"/>
        <v>6970468</v>
      </c>
      <c r="BL209" s="66"/>
      <c r="BM209" s="144">
        <f t="shared" si="156"/>
        <v>4.3706677944723368E-2</v>
      </c>
      <c r="BN209" s="65">
        <f t="shared" si="157"/>
        <v>561860.87</v>
      </c>
      <c r="BO209" s="66"/>
      <c r="BP209" s="66">
        <f t="shared" si="158"/>
        <v>7340854</v>
      </c>
      <c r="BQ209" s="66"/>
      <c r="BR209" s="435">
        <f t="shared" si="159"/>
        <v>6.5326261286001289E-2</v>
      </c>
      <c r="BS209" s="66"/>
      <c r="BT209" s="75"/>
      <c r="BU209" s="170"/>
      <c r="BV209" s="1"/>
      <c r="BW209" s="61">
        <f t="shared" si="164"/>
        <v>200</v>
      </c>
    </row>
    <row r="210" spans="2:75" x14ac:dyDescent="0.3">
      <c r="B210" s="158">
        <f t="shared" si="163"/>
        <v>44110</v>
      </c>
      <c r="C210" s="61"/>
      <c r="D210" s="17">
        <v>44668</v>
      </c>
      <c r="E210" s="16"/>
      <c r="F210" s="16"/>
      <c r="G210" s="16"/>
      <c r="H210" s="16">
        <f t="shared" si="139"/>
        <v>8292500</v>
      </c>
      <c r="I210" s="16"/>
      <c r="J210" s="436">
        <f t="shared" si="140"/>
        <v>5.4157262175078252E-3</v>
      </c>
      <c r="K210" s="16"/>
      <c r="L210" s="16"/>
      <c r="M210" s="16"/>
      <c r="N210" s="16">
        <f t="shared" si="141"/>
        <v>305097</v>
      </c>
      <c r="O210" s="16">
        <f t="shared" si="142"/>
        <v>41256.218905472633</v>
      </c>
      <c r="P210" s="41"/>
      <c r="Q210" s="17">
        <f t="shared" si="161"/>
        <v>305097</v>
      </c>
      <c r="R210" s="16"/>
      <c r="S210" s="60">
        <f t="shared" si="162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3"/>
        <v>218556</v>
      </c>
      <c r="AB210" s="33"/>
      <c r="AC210" s="46">
        <f t="shared" si="144"/>
        <v>2.6355863732288213E-2</v>
      </c>
      <c r="AD210" s="33"/>
      <c r="AE210" s="33">
        <f t="shared" si="145"/>
        <v>1087.3432835820895</v>
      </c>
      <c r="AF210" s="50"/>
      <c r="AG210" s="33">
        <f t="shared" si="166"/>
        <v>4982</v>
      </c>
      <c r="AH210" s="33">
        <f t="shared" si="160"/>
        <v>853950022.34662843</v>
      </c>
      <c r="AI210" s="213">
        <f t="shared" si="147"/>
        <v>-5.9467623182933735E-2</v>
      </c>
      <c r="AJ210" s="50"/>
      <c r="AK210" s="10"/>
      <c r="AL210" s="23">
        <f t="shared" si="148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9"/>
        <v>9.7601414449207512E-3</v>
      </c>
      <c r="AS210" s="25"/>
      <c r="AT210" s="25"/>
      <c r="AU210" s="24"/>
      <c r="AV210" s="298">
        <f t="shared" si="150"/>
        <v>0.59518179077479649</v>
      </c>
      <c r="AW210" s="298"/>
      <c r="AX210" s="24">
        <f t="shared" si="151"/>
        <v>24554.95024875622</v>
      </c>
      <c r="AY210" s="308"/>
      <c r="AZ210" s="10"/>
      <c r="BA210" s="65">
        <f t="shared" si="152"/>
        <v>947144</v>
      </c>
      <c r="BB210" s="66"/>
      <c r="BC210" s="66">
        <v>113319318</v>
      </c>
      <c r="BD210" s="66"/>
      <c r="BE210" s="66">
        <f t="shared" si="153"/>
        <v>44668</v>
      </c>
      <c r="BF210" s="66"/>
      <c r="BG210" s="144">
        <f t="shared" si="154"/>
        <v>4.7160727407870397E-2</v>
      </c>
      <c r="BH210" s="66"/>
      <c r="BI210" s="170"/>
      <c r="BJ210" s="66"/>
      <c r="BK210" s="66">
        <f t="shared" si="155"/>
        <v>7146096</v>
      </c>
      <c r="BL210" s="66"/>
      <c r="BM210" s="144">
        <f t="shared" si="156"/>
        <v>4.2694220732551032E-2</v>
      </c>
      <c r="BN210" s="65">
        <f t="shared" si="157"/>
        <v>563777.70149253728</v>
      </c>
      <c r="BO210" s="66"/>
      <c r="BP210" s="66">
        <f t="shared" si="158"/>
        <v>7385522</v>
      </c>
      <c r="BQ210" s="66"/>
      <c r="BR210" s="435">
        <f t="shared" si="159"/>
        <v>6.5174430364997427E-2</v>
      </c>
      <c r="BS210" s="66"/>
      <c r="BT210" s="75"/>
      <c r="BU210" s="170"/>
      <c r="BV210" s="1"/>
      <c r="BW210" s="61">
        <f t="shared" si="164"/>
        <v>201</v>
      </c>
    </row>
    <row r="211" spans="2:75" x14ac:dyDescent="0.3">
      <c r="B211" s="158">
        <f t="shared" si="163"/>
        <v>44111</v>
      </c>
      <c r="C211" s="61"/>
      <c r="D211" s="17">
        <v>49358</v>
      </c>
      <c r="E211" s="16"/>
      <c r="F211" s="16"/>
      <c r="G211" s="16"/>
      <c r="H211" s="16">
        <f t="shared" si="139"/>
        <v>8341858</v>
      </c>
      <c r="I211" s="16"/>
      <c r="J211" s="436">
        <f t="shared" si="140"/>
        <v>5.9521254145312027E-3</v>
      </c>
      <c r="K211" s="16"/>
      <c r="L211" s="16"/>
      <c r="M211" s="16"/>
      <c r="N211" s="16">
        <f t="shared" si="141"/>
        <v>313526</v>
      </c>
      <c r="O211" s="16">
        <f t="shared" si="142"/>
        <v>41296.326732673268</v>
      </c>
      <c r="P211" s="41"/>
      <c r="Q211" s="17">
        <f t="shared" si="161"/>
        <v>313526</v>
      </c>
      <c r="R211" s="16"/>
      <c r="S211" s="60">
        <f t="shared" si="162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3"/>
        <v>219486</v>
      </c>
      <c r="AB211" s="33"/>
      <c r="AC211" s="46">
        <f t="shared" si="144"/>
        <v>2.6311404485667343E-2</v>
      </c>
      <c r="AD211" s="33"/>
      <c r="AE211" s="33">
        <f t="shared" si="145"/>
        <v>1086.5643564356435</v>
      </c>
      <c r="AF211" s="50"/>
      <c r="AG211" s="33">
        <f t="shared" si="166"/>
        <v>4957</v>
      </c>
      <c r="AH211" s="33">
        <f t="shared" ref="AH211:AH216" si="167">SUM(D182:D920)</f>
        <v>853924602.34662843</v>
      </c>
      <c r="AI211" s="213">
        <f t="shared" si="147"/>
        <v>-3.5039906560249176E-2</v>
      </c>
      <c r="AJ211" s="50"/>
      <c r="AK211" s="10"/>
      <c r="AL211" s="23">
        <f t="shared" si="148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9"/>
        <v>9.6919387828497162E-3</v>
      </c>
      <c r="AS211" s="25"/>
      <c r="AT211" s="25"/>
      <c r="AU211" s="24"/>
      <c r="AV211" s="298">
        <f t="shared" si="150"/>
        <v>0.59739448933319172</v>
      </c>
      <c r="AW211" s="298"/>
      <c r="AX211" s="24">
        <f t="shared" si="151"/>
        <v>24670.198019801981</v>
      </c>
      <c r="AY211" s="308"/>
      <c r="AZ211" s="10"/>
      <c r="BA211" s="65">
        <f t="shared" si="152"/>
        <v>839531</v>
      </c>
      <c r="BB211" s="66"/>
      <c r="BC211" s="66">
        <v>114158849</v>
      </c>
      <c r="BD211" s="66"/>
      <c r="BE211" s="66">
        <f t="shared" si="153"/>
        <v>49358</v>
      </c>
      <c r="BF211" s="66"/>
      <c r="BG211" s="144">
        <f t="shared" si="154"/>
        <v>5.8792349538015869E-2</v>
      </c>
      <c r="BH211" s="66"/>
      <c r="BI211" s="170"/>
      <c r="BJ211" s="66"/>
      <c r="BK211" s="66">
        <f t="shared" si="155"/>
        <v>6622624</v>
      </c>
      <c r="BL211" s="66"/>
      <c r="BM211" s="144">
        <f t="shared" si="156"/>
        <v>4.7341657928941759E-2</v>
      </c>
      <c r="BN211" s="65">
        <f t="shared" si="157"/>
        <v>565142.81683168316</v>
      </c>
      <c r="BO211" s="66"/>
      <c r="BP211" s="66">
        <f t="shared" si="158"/>
        <v>7434880</v>
      </c>
      <c r="BQ211" s="66"/>
      <c r="BR211" s="435">
        <f t="shared" si="159"/>
        <v>6.5127496161072898E-2</v>
      </c>
      <c r="BS211" s="66"/>
      <c r="BT211" s="75"/>
      <c r="BU211" s="170"/>
      <c r="BV211" s="1"/>
      <c r="BW211" s="61">
        <f t="shared" si="164"/>
        <v>202</v>
      </c>
    </row>
    <row r="212" spans="2:75" x14ac:dyDescent="0.3">
      <c r="B212" s="158">
        <f t="shared" si="163"/>
        <v>44112</v>
      </c>
      <c r="C212" s="61"/>
      <c r="D212" s="17">
        <v>57318</v>
      </c>
      <c r="E212" s="16"/>
      <c r="F212" s="16"/>
      <c r="G212" s="16"/>
      <c r="H212" s="16">
        <f t="shared" si="139"/>
        <v>8399176</v>
      </c>
      <c r="I212" s="16"/>
      <c r="J212" s="436">
        <f t="shared" si="140"/>
        <v>6.8711311077220448E-3</v>
      </c>
      <c r="K212" s="16"/>
      <c r="L212" s="16"/>
      <c r="M212" s="16"/>
      <c r="N212" s="16">
        <f t="shared" si="141"/>
        <v>323455</v>
      </c>
      <c r="O212" s="16">
        <f t="shared" si="142"/>
        <v>41375.251231527094</v>
      </c>
      <c r="P212" s="41"/>
      <c r="Q212" s="17">
        <f t="shared" si="161"/>
        <v>323455</v>
      </c>
      <c r="R212" s="16"/>
      <c r="S212" s="60">
        <f t="shared" si="162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3"/>
        <v>220443</v>
      </c>
      <c r="AB212" s="33"/>
      <c r="AC212" s="46">
        <f t="shared" si="144"/>
        <v>2.6245788872622744E-2</v>
      </c>
      <c r="AD212" s="33"/>
      <c r="AE212" s="33">
        <f t="shared" si="145"/>
        <v>1085.9261083743843</v>
      </c>
      <c r="AF212" s="50"/>
      <c r="AG212" s="33">
        <f t="shared" si="166"/>
        <v>4994</v>
      </c>
      <c r="AH212" s="33">
        <f t="shared" si="167"/>
        <v>853896163.34662843</v>
      </c>
      <c r="AI212" s="213">
        <f t="shared" si="147"/>
        <v>-2.3655913978494623E-2</v>
      </c>
      <c r="AJ212" s="50"/>
      <c r="AK212" s="10"/>
      <c r="AL212" s="23">
        <f t="shared" si="148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9"/>
        <v>8.3904899887225128E-3</v>
      </c>
      <c r="AS212" s="25"/>
      <c r="AT212" s="25"/>
      <c r="AU212" s="24"/>
      <c r="AV212" s="298">
        <f t="shared" si="150"/>
        <v>0.59829595188861384</v>
      </c>
      <c r="AW212" s="298"/>
      <c r="AX212" s="24">
        <f t="shared" si="151"/>
        <v>24754.645320197043</v>
      </c>
      <c r="AY212" s="308"/>
      <c r="AZ212" s="10"/>
      <c r="BA212" s="65">
        <f t="shared" si="152"/>
        <v>1184966</v>
      </c>
      <c r="BB212" s="66"/>
      <c r="BC212" s="66">
        <v>115343815</v>
      </c>
      <c r="BD212" s="66"/>
      <c r="BE212" s="66">
        <f t="shared" si="153"/>
        <v>57318</v>
      </c>
      <c r="BF212" s="66"/>
      <c r="BG212" s="144">
        <f t="shared" si="154"/>
        <v>4.8371008113312956E-2</v>
      </c>
      <c r="BH212" s="66"/>
      <c r="BI212" s="170"/>
      <c r="BJ212" s="66"/>
      <c r="BK212" s="66">
        <f t="shared" si="155"/>
        <v>6911855</v>
      </c>
      <c r="BL212" s="66"/>
      <c r="BM212" s="144">
        <f t="shared" si="156"/>
        <v>4.67971333310667E-2</v>
      </c>
      <c r="BN212" s="65">
        <f t="shared" si="157"/>
        <v>568196.13300492615</v>
      </c>
      <c r="BO212" s="66"/>
      <c r="BP212" s="66">
        <f t="shared" si="158"/>
        <v>7492198</v>
      </c>
      <c r="BQ212" s="66"/>
      <c r="BR212" s="435">
        <f t="shared" si="159"/>
        <v>6.4955351095331806E-2</v>
      </c>
      <c r="BS212" s="66"/>
      <c r="BT212" s="75"/>
      <c r="BU212" s="170"/>
      <c r="BV212" s="1"/>
      <c r="BW212" s="61">
        <f t="shared" si="164"/>
        <v>203</v>
      </c>
    </row>
    <row r="213" spans="2:75" x14ac:dyDescent="0.3">
      <c r="B213" s="158">
        <f t="shared" si="163"/>
        <v>44113</v>
      </c>
      <c r="C213" s="61"/>
      <c r="D213" s="17">
        <v>60983</v>
      </c>
      <c r="E213" s="16"/>
      <c r="F213" s="16"/>
      <c r="G213" s="16"/>
      <c r="H213" s="16">
        <f t="shared" ref="H213:H222" si="168">+H212+D213</f>
        <v>8460159</v>
      </c>
      <c r="I213" s="16"/>
      <c r="J213" s="436">
        <f t="shared" ref="J213:J222" si="169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70">+H213/BW213</f>
        <v>41471.367647058825</v>
      </c>
      <c r="P213" s="41"/>
      <c r="Q213" s="17">
        <f t="shared" si="161"/>
        <v>333035</v>
      </c>
      <c r="R213" s="16"/>
      <c r="S213" s="60">
        <f t="shared" si="162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71">+AA212+W213</f>
        <v>221352</v>
      </c>
      <c r="AB213" s="33"/>
      <c r="AC213" s="46">
        <f t="shared" ref="AC213:AC222" si="172">+AA213/H213</f>
        <v>2.6164047271451992E-2</v>
      </c>
      <c r="AD213" s="33"/>
      <c r="AE213" s="33">
        <f t="shared" ref="AE213:AE222" si="173">+AA213/BW213</f>
        <v>1085.0588235294117</v>
      </c>
      <c r="AF213" s="50"/>
      <c r="AG213" s="33">
        <f t="shared" ref="AG213:AG222" si="174">SUM(W207:W213)</f>
        <v>5039</v>
      </c>
      <c r="AH213" s="33">
        <f t="shared" si="167"/>
        <v>853860920.34662843</v>
      </c>
      <c r="AI213" s="213">
        <f t="shared" ref="AI213:AI222" si="175">+(AG213-AG206)/AG206</f>
        <v>-8.8512981904012595E-3</v>
      </c>
      <c r="AJ213" s="50"/>
      <c r="AK213" s="10"/>
      <c r="AL213" s="23">
        <f t="shared" ref="AL213:AL222" si="176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7">+AL213/AP212</f>
        <v>7.7821886641965795E-3</v>
      </c>
      <c r="AS213" s="25"/>
      <c r="AT213" s="25"/>
      <c r="AU213" s="24"/>
      <c r="AV213" s="298">
        <f t="shared" ref="AV213:AV222" si="178">+AP213/H213</f>
        <v>0.59860577088444789</v>
      </c>
      <c r="AW213" s="298"/>
      <c r="AX213" s="24">
        <f t="shared" ref="AX213:AX222" si="179">+AP213/BW213</f>
        <v>24825</v>
      </c>
      <c r="AY213" s="308"/>
      <c r="AZ213" s="10"/>
      <c r="BA213" s="65">
        <f t="shared" ref="BA213:BA222" si="180">+BC213-BC212</f>
        <v>1154320</v>
      </c>
      <c r="BB213" s="66"/>
      <c r="BC213" s="66">
        <v>116498135</v>
      </c>
      <c r="BD213" s="66"/>
      <c r="BE213" s="66">
        <f t="shared" ref="BE213:BE222" si="181">+D213</f>
        <v>60983</v>
      </c>
      <c r="BF213" s="66"/>
      <c r="BG213" s="144">
        <f t="shared" ref="BG213:BG222" si="182">+BE213/BA213</f>
        <v>5.2830237715711416E-2</v>
      </c>
      <c r="BH213" s="66"/>
      <c r="BI213" s="170"/>
      <c r="BJ213" s="66"/>
      <c r="BK213" s="66">
        <f t="shared" ref="BK213:BK222" si="183">SUM(BA207:BA213)</f>
        <v>6927689</v>
      </c>
      <c r="BL213" s="66"/>
      <c r="BM213" s="144">
        <f t="shared" ref="BM213:BM222" si="184">+Q213/BK213</f>
        <v>4.8073029837222774E-2</v>
      </c>
      <c r="BN213" s="65">
        <f t="shared" ref="BN213:BN222" si="185">+BC213/BW213</f>
        <v>571069.28921568627</v>
      </c>
      <c r="BO213" s="66"/>
      <c r="BP213" s="66">
        <f t="shared" ref="BP213:BP222" si="186">+BP212+BE213</f>
        <v>7553181</v>
      </c>
      <c r="BQ213" s="66"/>
      <c r="BR213" s="435">
        <f t="shared" ref="BR213:BR222" si="187">+BP213/BC213</f>
        <v>6.4835209593698651E-2</v>
      </c>
      <c r="BS213" s="66"/>
      <c r="BT213" s="75"/>
      <c r="BU213" s="170"/>
      <c r="BV213" s="1"/>
      <c r="BW213" s="61">
        <f t="shared" si="164"/>
        <v>204</v>
      </c>
    </row>
    <row r="214" spans="2:75" x14ac:dyDescent="0.3">
      <c r="B214" s="158">
        <f t="shared" si="163"/>
        <v>44114</v>
      </c>
      <c r="C214" s="61"/>
      <c r="D214" s="17">
        <v>54235</v>
      </c>
      <c r="E214" s="16"/>
      <c r="F214" s="16"/>
      <c r="G214" s="16"/>
      <c r="H214" s="16">
        <f t="shared" si="168"/>
        <v>8514394</v>
      </c>
      <c r="I214" s="16"/>
      <c r="J214" s="436">
        <f t="shared" si="169"/>
        <v>6.4106360175973055E-3</v>
      </c>
      <c r="K214" s="16"/>
      <c r="L214" s="16"/>
      <c r="M214" s="16"/>
      <c r="N214" s="16">
        <f>SUM(D205:D214)</f>
        <v>486062</v>
      </c>
      <c r="O214" s="16">
        <f t="shared" si="170"/>
        <v>41533.62926829268</v>
      </c>
      <c r="P214" s="41"/>
      <c r="Q214" s="17">
        <f t="shared" si="161"/>
        <v>338345</v>
      </c>
      <c r="R214" s="16"/>
      <c r="S214" s="60">
        <f t="shared" si="162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71"/>
        <v>222075</v>
      </c>
      <c r="AB214" s="33"/>
      <c r="AC214" s="46">
        <f t="shared" si="172"/>
        <v>2.608230251031371E-2</v>
      </c>
      <c r="AD214" s="33"/>
      <c r="AE214" s="33">
        <f t="shared" si="173"/>
        <v>1083.2926829268292</v>
      </c>
      <c r="AF214" s="50"/>
      <c r="AG214" s="33">
        <f t="shared" si="174"/>
        <v>5007</v>
      </c>
      <c r="AH214" s="33">
        <f t="shared" si="167"/>
        <v>887536395.06091416</v>
      </c>
      <c r="AI214" s="213">
        <f t="shared" si="175"/>
        <v>-1.8620148961191688E-2</v>
      </c>
      <c r="AJ214" s="50"/>
      <c r="AK214" s="10"/>
      <c r="AL214" s="23">
        <f t="shared" si="176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7"/>
        <v>5.0435400746401283E-3</v>
      </c>
      <c r="AS214" s="25"/>
      <c r="AT214" s="25"/>
      <c r="AU214" s="24"/>
      <c r="AV214" s="298">
        <f t="shared" si="178"/>
        <v>0.59779263210041722</v>
      </c>
      <c r="AW214" s="298"/>
      <c r="AX214" s="24">
        <f t="shared" si="179"/>
        <v>24828.497560975611</v>
      </c>
      <c r="AY214" s="308"/>
      <c r="AZ214" s="10"/>
      <c r="BA214" s="65">
        <f t="shared" si="180"/>
        <v>1103287</v>
      </c>
      <c r="BB214" s="66"/>
      <c r="BC214" s="66">
        <v>117601422</v>
      </c>
      <c r="BD214" s="66"/>
      <c r="BE214" s="66">
        <f t="shared" si="181"/>
        <v>54235</v>
      </c>
      <c r="BF214" s="66"/>
      <c r="BG214" s="144">
        <f t="shared" si="182"/>
        <v>4.9157653448286799E-2</v>
      </c>
      <c r="BH214" s="66"/>
      <c r="BI214" s="170"/>
      <c r="BJ214" s="66"/>
      <c r="BK214" s="66">
        <f t="shared" si="183"/>
        <v>7075139</v>
      </c>
      <c r="BL214" s="66"/>
      <c r="BM214" s="144">
        <f t="shared" si="184"/>
        <v>4.7821675305601767E-2</v>
      </c>
      <c r="BN214" s="65">
        <f t="shared" si="185"/>
        <v>573665.47317073168</v>
      </c>
      <c r="BO214" s="66"/>
      <c r="BP214" s="66">
        <f t="shared" si="186"/>
        <v>7607416</v>
      </c>
      <c r="BQ214" s="66"/>
      <c r="BR214" s="435">
        <f t="shared" si="187"/>
        <v>6.4688129366326882E-2</v>
      </c>
      <c r="BS214" s="66"/>
      <c r="BT214" s="75"/>
      <c r="BU214" s="170"/>
      <c r="BV214" s="1"/>
      <c r="BW214" s="61">
        <f t="shared" si="164"/>
        <v>205</v>
      </c>
    </row>
    <row r="215" spans="2:75" x14ac:dyDescent="0.3">
      <c r="B215" s="347">
        <f t="shared" si="163"/>
        <v>44115</v>
      </c>
      <c r="C215" s="61"/>
      <c r="D215" s="17">
        <v>41935</v>
      </c>
      <c r="E215" s="16"/>
      <c r="F215" s="16"/>
      <c r="G215" s="16"/>
      <c r="H215" s="16">
        <f t="shared" si="168"/>
        <v>8556329</v>
      </c>
      <c r="I215" s="16"/>
      <c r="J215" s="436">
        <f t="shared" si="169"/>
        <v>4.9251890387031656E-3</v>
      </c>
      <c r="K215" s="16"/>
      <c r="L215" s="16"/>
      <c r="M215" s="16"/>
      <c r="N215" s="426">
        <f t="shared" ref="N215:N222" si="188">SUM(D209:D215)</f>
        <v>346214</v>
      </c>
      <c r="O215" s="16">
        <f t="shared" si="170"/>
        <v>41535.577669902916</v>
      </c>
      <c r="P215" s="41"/>
      <c r="Q215" s="17">
        <f t="shared" si="161"/>
        <v>346214</v>
      </c>
      <c r="R215" s="16"/>
      <c r="S215" s="60">
        <f t="shared" si="162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71"/>
        <v>222400</v>
      </c>
      <c r="AB215" s="33"/>
      <c r="AC215" s="46">
        <f t="shared" si="172"/>
        <v>2.5992455409323319E-2</v>
      </c>
      <c r="AD215" s="33"/>
      <c r="AE215" s="33">
        <f t="shared" si="173"/>
        <v>1079.6116504854369</v>
      </c>
      <c r="AF215" s="50"/>
      <c r="AG215" s="33">
        <f t="shared" si="174"/>
        <v>5000</v>
      </c>
      <c r="AH215" s="33">
        <f t="shared" si="167"/>
        <v>938346937.91805696</v>
      </c>
      <c r="AI215" s="213">
        <f t="shared" si="175"/>
        <v>-3.0632027917797598E-2</v>
      </c>
      <c r="AJ215" s="50"/>
      <c r="AK215" s="10"/>
      <c r="AL215" s="23">
        <f t="shared" si="176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7"/>
        <v>7.5287209308265365E-3</v>
      </c>
      <c r="AS215" s="25"/>
      <c r="AT215" s="25"/>
      <c r="AU215" s="24"/>
      <c r="AV215" s="298">
        <f t="shared" si="178"/>
        <v>0.59934137642439878</v>
      </c>
      <c r="AW215" s="298"/>
      <c r="AX215" s="24">
        <f t="shared" si="179"/>
        <v>24893.990291262136</v>
      </c>
      <c r="AY215" s="308"/>
      <c r="AZ215" s="348"/>
      <c r="BA215" s="65">
        <f t="shared" si="180"/>
        <v>885476</v>
      </c>
      <c r="BB215" s="66"/>
      <c r="BC215" s="66">
        <v>118486898</v>
      </c>
      <c r="BD215" s="66"/>
      <c r="BE215" s="66">
        <f t="shared" si="181"/>
        <v>41935</v>
      </c>
      <c r="BF215" s="66"/>
      <c r="BG215" s="144">
        <f t="shared" si="182"/>
        <v>4.7358708762292825E-2</v>
      </c>
      <c r="BH215" s="66"/>
      <c r="BI215" s="170"/>
      <c r="BJ215" s="66"/>
      <c r="BK215" s="66">
        <f t="shared" si="183"/>
        <v>7016632</v>
      </c>
      <c r="BL215" s="66"/>
      <c r="BM215" s="144">
        <f t="shared" si="184"/>
        <v>4.9341906487328967E-2</v>
      </c>
      <c r="BN215" s="65">
        <f t="shared" si="185"/>
        <v>575179.11650485441</v>
      </c>
      <c r="BO215" s="66"/>
      <c r="BP215" s="66">
        <f t="shared" si="186"/>
        <v>7649351</v>
      </c>
      <c r="BQ215" s="66"/>
      <c r="BR215" s="435">
        <f t="shared" si="187"/>
        <v>6.4558623182117567E-2</v>
      </c>
      <c r="BS215" s="66"/>
      <c r="BT215" s="75"/>
      <c r="BU215" s="170"/>
      <c r="BV215" s="1"/>
      <c r="BW215" s="61">
        <f t="shared" si="164"/>
        <v>206</v>
      </c>
    </row>
    <row r="216" spans="2:75" x14ac:dyDescent="0.3">
      <c r="B216" s="158">
        <f t="shared" si="163"/>
        <v>44116</v>
      </c>
      <c r="C216" s="61"/>
      <c r="D216" s="17">
        <v>45791</v>
      </c>
      <c r="E216" s="16"/>
      <c r="F216" s="16"/>
      <c r="G216" s="16"/>
      <c r="H216" s="16">
        <f t="shared" si="168"/>
        <v>8602120</v>
      </c>
      <c r="I216" s="16"/>
      <c r="J216" s="436">
        <f t="shared" si="169"/>
        <v>5.3517109966201631E-3</v>
      </c>
      <c r="K216" s="16"/>
      <c r="L216" s="16"/>
      <c r="M216" s="16"/>
      <c r="N216" s="16">
        <f t="shared" si="188"/>
        <v>354288</v>
      </c>
      <c r="O216" s="16">
        <f t="shared" si="170"/>
        <v>41556.135265700483</v>
      </c>
      <c r="P216" s="41"/>
      <c r="Q216" s="17">
        <f t="shared" si="161"/>
        <v>354288</v>
      </c>
      <c r="R216" s="16"/>
      <c r="S216" s="60">
        <f t="shared" si="162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71"/>
        <v>222716</v>
      </c>
      <c r="AB216" s="33"/>
      <c r="AC216" s="46">
        <f t="shared" si="172"/>
        <v>2.5890826912435539E-2</v>
      </c>
      <c r="AD216" s="33"/>
      <c r="AE216" s="33">
        <f t="shared" si="173"/>
        <v>1075.9227053140096</v>
      </c>
      <c r="AF216" s="50"/>
      <c r="AG216" s="33">
        <f t="shared" si="174"/>
        <v>4968</v>
      </c>
      <c r="AH216" s="33">
        <f t="shared" si="167"/>
        <v>1006879084.4894855</v>
      </c>
      <c r="AI216" s="213">
        <f t="shared" si="175"/>
        <v>-3.5527082119976704E-2</v>
      </c>
      <c r="AJ216" s="50"/>
      <c r="AK216" s="10"/>
      <c r="AL216" s="23">
        <f t="shared" si="176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7"/>
        <v>1.1008427580875954E-2</v>
      </c>
      <c r="AS216" s="25"/>
      <c r="AT216" s="25"/>
      <c r="AU216" s="24"/>
      <c r="AV216" s="298">
        <f t="shared" si="178"/>
        <v>0.60271363338339856</v>
      </c>
      <c r="AW216" s="298"/>
      <c r="AX216" s="24">
        <f t="shared" si="179"/>
        <v>25046.44927536232</v>
      </c>
      <c r="AY216" s="308"/>
      <c r="AZ216" s="10"/>
      <c r="BA216" s="65">
        <f t="shared" si="180"/>
        <v>1010726</v>
      </c>
      <c r="BB216" s="66"/>
      <c r="BC216" s="66">
        <v>119497624</v>
      </c>
      <c r="BD216" s="66"/>
      <c r="BE216" s="66">
        <f t="shared" si="181"/>
        <v>45791</v>
      </c>
      <c r="BF216" s="66"/>
      <c r="BG216" s="144">
        <f t="shared" si="182"/>
        <v>4.5305057948444978E-2</v>
      </c>
      <c r="BH216" s="66"/>
      <c r="BI216" s="170"/>
      <c r="BJ216" s="66"/>
      <c r="BK216" s="66">
        <f t="shared" si="183"/>
        <v>7125450</v>
      </c>
      <c r="BL216" s="66"/>
      <c r="BM216" s="144">
        <f t="shared" si="184"/>
        <v>4.9721491274235315E-2</v>
      </c>
      <c r="BN216" s="65">
        <f t="shared" si="185"/>
        <v>577283.20772946859</v>
      </c>
      <c r="BO216" s="66"/>
      <c r="BP216" s="66">
        <f t="shared" si="186"/>
        <v>7695142</v>
      </c>
      <c r="BQ216" s="66"/>
      <c r="BR216" s="435">
        <f t="shared" si="187"/>
        <v>6.4395774095056479E-2</v>
      </c>
      <c r="BS216" s="66"/>
      <c r="BT216" s="75"/>
      <c r="BU216" s="170"/>
      <c r="BV216" s="1"/>
      <c r="BW216" s="61">
        <f t="shared" ref="BW216:BW470" si="189">+BW215+1</f>
        <v>207</v>
      </c>
    </row>
    <row r="217" spans="2:75" x14ac:dyDescent="0.3">
      <c r="B217" s="158">
        <f t="shared" si="163"/>
        <v>44117</v>
      </c>
      <c r="C217" s="61"/>
      <c r="D217" s="17">
        <v>51534</v>
      </c>
      <c r="E217" s="16"/>
      <c r="F217" s="16"/>
      <c r="G217" s="16"/>
      <c r="H217" s="16">
        <f t="shared" si="168"/>
        <v>8653654</v>
      </c>
      <c r="I217" s="16"/>
      <c r="J217" s="436">
        <f t="shared" si="169"/>
        <v>5.9908487675131242E-3</v>
      </c>
      <c r="K217" s="16"/>
      <c r="L217" s="16"/>
      <c r="M217" s="16"/>
      <c r="N217" s="16">
        <f t="shared" si="188"/>
        <v>361154</v>
      </c>
      <c r="O217" s="16">
        <f t="shared" si="170"/>
        <v>41604.105769230766</v>
      </c>
      <c r="P217" s="41"/>
      <c r="Q217" s="17">
        <f t="shared" si="161"/>
        <v>361154</v>
      </c>
      <c r="R217" s="16"/>
      <c r="S217" s="60">
        <f t="shared" si="162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71"/>
        <v>223559</v>
      </c>
      <c r="AB217" s="33"/>
      <c r="AC217" s="46">
        <f t="shared" si="172"/>
        <v>2.5834058075351753E-2</v>
      </c>
      <c r="AD217" s="33"/>
      <c r="AE217" s="33">
        <f t="shared" si="173"/>
        <v>1074.8028846153845</v>
      </c>
      <c r="AF217" s="50"/>
      <c r="AG217" s="33">
        <f t="shared" si="174"/>
        <v>5003</v>
      </c>
      <c r="AH217" s="33">
        <f>SUM(D188:D927)</f>
        <v>1006847227.4894855</v>
      </c>
      <c r="AI217" s="213">
        <f t="shared" si="175"/>
        <v>4.2151746286631878E-3</v>
      </c>
      <c r="AJ217" s="50"/>
      <c r="AK217" s="10"/>
      <c r="AL217" s="23">
        <f t="shared" si="176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7"/>
        <v>8.0646296783849908E-3</v>
      </c>
      <c r="AS217" s="25"/>
      <c r="AT217" s="25"/>
      <c r="AU217" s="24"/>
      <c r="AV217" s="298">
        <f t="shared" si="178"/>
        <v>0.60395608606491546</v>
      </c>
      <c r="AW217" s="298"/>
      <c r="AX217" s="24">
        <f t="shared" si="179"/>
        <v>25127.052884615383</v>
      </c>
      <c r="AY217" s="308"/>
      <c r="AZ217" s="10"/>
      <c r="BA217" s="65">
        <f t="shared" si="180"/>
        <v>1025948</v>
      </c>
      <c r="BB217" s="66"/>
      <c r="BC217" s="66">
        <v>120523572</v>
      </c>
      <c r="BD217" s="66"/>
      <c r="BE217" s="66">
        <f t="shared" si="181"/>
        <v>51534</v>
      </c>
      <c r="BF217" s="66"/>
      <c r="BG217" s="144">
        <f t="shared" si="182"/>
        <v>5.0230615976638193E-2</v>
      </c>
      <c r="BH217" s="66"/>
      <c r="BI217" s="170"/>
      <c r="BJ217" s="66"/>
      <c r="BK217" s="66">
        <f t="shared" si="183"/>
        <v>7204254</v>
      </c>
      <c r="BL217" s="66"/>
      <c r="BM217" s="144">
        <f t="shared" si="184"/>
        <v>5.0130658913469739E-2</v>
      </c>
      <c r="BN217" s="65">
        <f t="shared" si="185"/>
        <v>579440.25</v>
      </c>
      <c r="BO217" s="66"/>
      <c r="BP217" s="66">
        <f t="shared" si="186"/>
        <v>7746676</v>
      </c>
      <c r="BQ217" s="66"/>
      <c r="BR217" s="435">
        <f t="shared" si="187"/>
        <v>6.4275194233373703E-2</v>
      </c>
      <c r="BS217" s="66"/>
      <c r="BT217" s="75"/>
      <c r="BU217" s="170"/>
      <c r="BV217" s="1"/>
      <c r="BW217" s="61">
        <f t="shared" si="189"/>
        <v>208</v>
      </c>
    </row>
    <row r="218" spans="2:75" x14ac:dyDescent="0.3">
      <c r="B218" s="158">
        <f t="shared" si="163"/>
        <v>44118</v>
      </c>
      <c r="C218" s="61"/>
      <c r="D218" s="17">
        <v>59693</v>
      </c>
      <c r="E218" s="16"/>
      <c r="F218" s="16"/>
      <c r="G218" s="16"/>
      <c r="H218" s="16">
        <f t="shared" si="168"/>
        <v>8713347</v>
      </c>
      <c r="I218" s="16"/>
      <c r="J218" s="436">
        <f t="shared" si="169"/>
        <v>6.8980109442785672E-3</v>
      </c>
      <c r="K218" s="16"/>
      <c r="L218" s="16"/>
      <c r="M218" s="16"/>
      <c r="N218" s="16">
        <f t="shared" si="188"/>
        <v>371489</v>
      </c>
      <c r="O218" s="16">
        <f t="shared" si="170"/>
        <v>41690.655502392343</v>
      </c>
      <c r="P218" s="41"/>
      <c r="Q218" s="17">
        <f t="shared" si="161"/>
        <v>371489</v>
      </c>
      <c r="R218" s="16"/>
      <c r="S218" s="60">
        <f t="shared" si="162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71"/>
        <v>224529</v>
      </c>
      <c r="AB218" s="33"/>
      <c r="AC218" s="46">
        <f t="shared" si="172"/>
        <v>2.5768398756528348E-2</v>
      </c>
      <c r="AD218" s="33"/>
      <c r="AE218" s="33">
        <f t="shared" si="173"/>
        <v>1074.3014354066986</v>
      </c>
      <c r="AF218" s="50"/>
      <c r="AG218" s="33">
        <f t="shared" si="174"/>
        <v>5043</v>
      </c>
      <c r="AH218" s="33">
        <f>SUM(D189:D928)</f>
        <v>1184394431.060914</v>
      </c>
      <c r="AI218" s="213">
        <f t="shared" si="175"/>
        <v>1.7349203147064757E-2</v>
      </c>
      <c r="AJ218" s="50"/>
      <c r="AK218" s="10"/>
      <c r="AL218" s="23">
        <f t="shared" si="176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7"/>
        <v>1.0011811128329162E-2</v>
      </c>
      <c r="AS218" s="25"/>
      <c r="AT218" s="25"/>
      <c r="AU218" s="24"/>
      <c r="AV218" s="298">
        <f t="shared" si="178"/>
        <v>0.60582380111798595</v>
      </c>
      <c r="AW218" s="298"/>
      <c r="AX218" s="24">
        <f t="shared" si="179"/>
        <v>25257.191387559807</v>
      </c>
      <c r="AY218" s="308"/>
      <c r="AZ218" s="10"/>
      <c r="BA218" s="65">
        <f t="shared" si="180"/>
        <v>1043566</v>
      </c>
      <c r="BB218" s="66"/>
      <c r="BC218" s="66">
        <v>121567138</v>
      </c>
      <c r="BD218" s="66"/>
      <c r="BE218" s="66">
        <f t="shared" si="181"/>
        <v>59693</v>
      </c>
      <c r="BF218" s="66"/>
      <c r="BG218" s="144">
        <f t="shared" si="182"/>
        <v>5.7200982017428702E-2</v>
      </c>
      <c r="BH218" s="66"/>
      <c r="BI218" s="170"/>
      <c r="BJ218" s="66"/>
      <c r="BK218" s="66">
        <f t="shared" si="183"/>
        <v>7408289</v>
      </c>
      <c r="BL218" s="66"/>
      <c r="BM218" s="144">
        <f t="shared" si="184"/>
        <v>5.0145046987232815E-2</v>
      </c>
      <c r="BN218" s="65">
        <f t="shared" si="185"/>
        <v>581660.94736842101</v>
      </c>
      <c r="BO218" s="66"/>
      <c r="BP218" s="66">
        <f t="shared" si="186"/>
        <v>7806369</v>
      </c>
      <c r="BQ218" s="66"/>
      <c r="BR218" s="435">
        <f t="shared" si="187"/>
        <v>6.4214467235380671E-2</v>
      </c>
      <c r="BS218" s="66"/>
      <c r="BT218" s="75"/>
      <c r="BU218" s="170"/>
      <c r="BV218" s="1"/>
      <c r="BW218" s="61">
        <f t="shared" si="189"/>
        <v>209</v>
      </c>
    </row>
    <row r="219" spans="2:75" x14ac:dyDescent="0.3">
      <c r="B219" s="158">
        <f t="shared" si="163"/>
        <v>44119</v>
      </c>
      <c r="C219" s="61"/>
      <c r="D219" s="17">
        <v>66129</v>
      </c>
      <c r="E219" s="16"/>
      <c r="F219" s="16"/>
      <c r="G219" s="16"/>
      <c r="H219" s="16">
        <f t="shared" si="168"/>
        <v>8779476</v>
      </c>
      <c r="I219" s="16"/>
      <c r="J219" s="436">
        <f t="shared" si="169"/>
        <v>7.589391309676982E-3</v>
      </c>
      <c r="K219" s="16"/>
      <c r="L219" s="16"/>
      <c r="M219" s="16"/>
      <c r="N219" s="16">
        <f t="shared" si="188"/>
        <v>380300</v>
      </c>
      <c r="O219" s="16">
        <f t="shared" si="170"/>
        <v>41807.028571428571</v>
      </c>
      <c r="P219" s="41"/>
      <c r="Q219" s="17">
        <f t="shared" si="161"/>
        <v>380300</v>
      </c>
      <c r="R219" s="16"/>
      <c r="S219" s="60">
        <f t="shared" si="162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71"/>
        <v>225403</v>
      </c>
      <c r="AB219" s="33"/>
      <c r="AC219" s="46">
        <f t="shared" si="172"/>
        <v>2.5673855706194765E-2</v>
      </c>
      <c r="AD219" s="33"/>
      <c r="AE219" s="33">
        <f t="shared" si="173"/>
        <v>1073.347619047619</v>
      </c>
      <c r="AF219" s="50"/>
      <c r="AG219" s="33">
        <f t="shared" si="174"/>
        <v>4960</v>
      </c>
      <c r="AH219" s="33">
        <f t="shared" ref="AH219:AH224" si="190">SUM(D190:D932)</f>
        <v>1184357984.060914</v>
      </c>
      <c r="AI219" s="213">
        <f t="shared" si="175"/>
        <v>-6.8081698037645178E-3</v>
      </c>
      <c r="AJ219" s="50"/>
      <c r="AK219" s="10"/>
      <c r="AL219" s="23">
        <f t="shared" si="176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7"/>
        <v>7.8401092076102064E-3</v>
      </c>
      <c r="AS219" s="25"/>
      <c r="AT219" s="25"/>
      <c r="AU219" s="24"/>
      <c r="AV219" s="298">
        <f t="shared" si="178"/>
        <v>0.60597454791151539</v>
      </c>
      <c r="AW219" s="298"/>
      <c r="AX219" s="24">
        <f t="shared" si="179"/>
        <v>25333.995238095238</v>
      </c>
      <c r="AY219" s="308"/>
      <c r="AZ219" s="10"/>
      <c r="BA219" s="65">
        <f t="shared" si="180"/>
        <v>1128210</v>
      </c>
      <c r="BB219" s="66"/>
      <c r="BC219" s="66">
        <v>122695348</v>
      </c>
      <c r="BD219" s="66"/>
      <c r="BE219" s="66">
        <f t="shared" si="181"/>
        <v>66129</v>
      </c>
      <c r="BF219" s="66"/>
      <c r="BG219" s="144">
        <f t="shared" si="182"/>
        <v>5.8614087802802667E-2</v>
      </c>
      <c r="BH219" s="66"/>
      <c r="BI219" s="170"/>
      <c r="BJ219" s="66"/>
      <c r="BK219" s="66">
        <f t="shared" si="183"/>
        <v>7351533</v>
      </c>
      <c r="BL219" s="66"/>
      <c r="BM219" s="144">
        <f t="shared" si="184"/>
        <v>5.1730707051168785E-2</v>
      </c>
      <c r="BN219" s="65">
        <f t="shared" si="185"/>
        <v>584263.56190476194</v>
      </c>
      <c r="BO219" s="66"/>
      <c r="BP219" s="66">
        <f t="shared" si="186"/>
        <v>7872498</v>
      </c>
      <c r="BQ219" s="66"/>
      <c r="BR219" s="435">
        <f t="shared" si="187"/>
        <v>6.4162970547179995E-2</v>
      </c>
      <c r="BS219" s="66"/>
      <c r="BT219" s="75"/>
      <c r="BU219" s="170"/>
      <c r="BV219" s="1"/>
      <c r="BW219" s="61">
        <f t="shared" si="189"/>
        <v>210</v>
      </c>
    </row>
    <row r="220" spans="2:75" x14ac:dyDescent="0.3">
      <c r="B220" s="158">
        <f t="shared" si="163"/>
        <v>44120</v>
      </c>
      <c r="C220" s="61"/>
      <c r="D220" s="17">
        <v>71687</v>
      </c>
      <c r="E220" s="16"/>
      <c r="F220" s="16"/>
      <c r="G220" s="16"/>
      <c r="H220" s="16">
        <f t="shared" si="168"/>
        <v>8851163</v>
      </c>
      <c r="I220" s="16"/>
      <c r="J220" s="436">
        <f t="shared" si="169"/>
        <v>8.1652936917875289E-3</v>
      </c>
      <c r="K220" s="16"/>
      <c r="L220" s="16"/>
      <c r="M220" s="16"/>
      <c r="N220" s="16">
        <f t="shared" si="188"/>
        <v>391004</v>
      </c>
      <c r="O220" s="16">
        <f t="shared" si="170"/>
        <v>41948.639810426539</v>
      </c>
      <c r="P220" s="41"/>
      <c r="Q220" s="17">
        <f t="shared" si="161"/>
        <v>391004</v>
      </c>
      <c r="R220" s="16"/>
      <c r="S220" s="60">
        <f t="shared" si="162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71"/>
        <v>226331</v>
      </c>
      <c r="AB220" s="33"/>
      <c r="AC220" s="46">
        <f t="shared" si="172"/>
        <v>2.5570763977569952E-2</v>
      </c>
      <c r="AD220" s="33"/>
      <c r="AE220" s="33">
        <f t="shared" si="173"/>
        <v>1072.6587677725117</v>
      </c>
      <c r="AF220" s="50"/>
      <c r="AG220" s="33">
        <f t="shared" si="174"/>
        <v>4979</v>
      </c>
      <c r="AH220" s="33">
        <f t="shared" si="190"/>
        <v>1184317830.060914</v>
      </c>
      <c r="AI220" s="213">
        <f t="shared" si="175"/>
        <v>-1.1907124429450288E-2</v>
      </c>
      <c r="AJ220" s="50"/>
      <c r="AK220" s="10"/>
      <c r="AL220" s="23">
        <f t="shared" si="176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7"/>
        <v>1.4146622860793675E-2</v>
      </c>
      <c r="AS220" s="25"/>
      <c r="AT220" s="25"/>
      <c r="AU220" s="24"/>
      <c r="AV220" s="298">
        <f t="shared" si="178"/>
        <v>0.60956972546997501</v>
      </c>
      <c r="AW220" s="298"/>
      <c r="AX220" s="24">
        <f t="shared" si="179"/>
        <v>25570.620853080567</v>
      </c>
      <c r="AY220" s="308"/>
      <c r="AZ220" s="10"/>
      <c r="BA220" s="65">
        <f t="shared" si="180"/>
        <v>1041099</v>
      </c>
      <c r="BB220" s="66"/>
      <c r="BC220" s="66">
        <v>123736447</v>
      </c>
      <c r="BD220" s="66"/>
      <c r="BE220" s="66">
        <f t="shared" si="181"/>
        <v>71687</v>
      </c>
      <c r="BF220" s="66"/>
      <c r="BG220" s="144">
        <f t="shared" si="182"/>
        <v>6.885704433488074E-2</v>
      </c>
      <c r="BH220" s="66"/>
      <c r="BI220" s="170"/>
      <c r="BJ220" s="66"/>
      <c r="BK220" s="66">
        <f t="shared" si="183"/>
        <v>7238312</v>
      </c>
      <c r="BL220" s="66"/>
      <c r="BM220" s="144">
        <f t="shared" si="184"/>
        <v>5.40186717566195E-2</v>
      </c>
      <c r="BN220" s="65">
        <f t="shared" si="185"/>
        <v>586428.65876777249</v>
      </c>
      <c r="BO220" s="66"/>
      <c r="BP220" s="66">
        <f t="shared" si="186"/>
        <v>7944185</v>
      </c>
      <c r="BQ220" s="66"/>
      <c r="BR220" s="435">
        <f t="shared" si="187"/>
        <v>6.4202465745602025E-2</v>
      </c>
      <c r="BS220" s="66"/>
      <c r="BT220" s="75"/>
      <c r="BU220" s="170"/>
      <c r="BV220" s="1"/>
      <c r="BW220" s="61">
        <f t="shared" si="189"/>
        <v>211</v>
      </c>
    </row>
    <row r="221" spans="2:75" x14ac:dyDescent="0.3">
      <c r="B221" s="158">
        <f t="shared" si="163"/>
        <v>44121</v>
      </c>
      <c r="C221" s="61"/>
      <c r="D221" s="17">
        <v>54232</v>
      </c>
      <c r="E221" s="16"/>
      <c r="F221" s="16"/>
      <c r="G221" s="16"/>
      <c r="H221" s="16">
        <f t="shared" si="168"/>
        <v>8905395</v>
      </c>
      <c r="I221" s="16"/>
      <c r="J221" s="436">
        <f t="shared" si="169"/>
        <v>6.1271044268419866E-3</v>
      </c>
      <c r="K221" s="16"/>
      <c r="L221" s="16"/>
      <c r="M221" s="16"/>
      <c r="N221" s="16">
        <f t="shared" si="188"/>
        <v>391001</v>
      </c>
      <c r="O221" s="16">
        <f t="shared" si="170"/>
        <v>42006.580188679247</v>
      </c>
      <c r="P221" s="41"/>
      <c r="Q221" s="17">
        <f t="shared" si="161"/>
        <v>391001</v>
      </c>
      <c r="R221" s="16"/>
      <c r="S221" s="60">
        <f t="shared" si="162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71"/>
        <v>226969</v>
      </c>
      <c r="AB221" s="33"/>
      <c r="AC221" s="46">
        <f t="shared" si="172"/>
        <v>2.5486685318281785E-2</v>
      </c>
      <c r="AD221" s="33"/>
      <c r="AE221" s="33">
        <f t="shared" si="173"/>
        <v>1070.6084905660377</v>
      </c>
      <c r="AF221" s="50"/>
      <c r="AG221" s="33">
        <f t="shared" si="174"/>
        <v>4894</v>
      </c>
      <c r="AH221" s="33">
        <f t="shared" si="190"/>
        <v>1184271535.060914</v>
      </c>
      <c r="AI221" s="213">
        <f t="shared" si="175"/>
        <v>-2.25684042340723E-2</v>
      </c>
      <c r="AJ221" s="50"/>
      <c r="AK221" s="10"/>
      <c r="AL221" s="23">
        <f t="shared" si="176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7"/>
        <v>6.8189556253557427E-3</v>
      </c>
      <c r="AS221" s="25"/>
      <c r="AT221" s="25"/>
      <c r="AU221" s="24"/>
      <c r="AV221" s="298">
        <f t="shared" si="178"/>
        <v>0.60998888875788215</v>
      </c>
      <c r="AW221" s="298"/>
      <c r="AX221" s="24">
        <f t="shared" si="179"/>
        <v>25623.547169811322</v>
      </c>
      <c r="AY221" s="308"/>
      <c r="AZ221" s="10"/>
      <c r="BA221" s="65">
        <f t="shared" si="180"/>
        <v>1056221</v>
      </c>
      <c r="BB221" s="66"/>
      <c r="BC221" s="66">
        <v>124792668</v>
      </c>
      <c r="BD221" s="66"/>
      <c r="BE221" s="66">
        <f t="shared" si="181"/>
        <v>54232</v>
      </c>
      <c r="BF221" s="66"/>
      <c r="BG221" s="144">
        <f t="shared" si="182"/>
        <v>5.1345315042969228E-2</v>
      </c>
      <c r="BH221" s="66"/>
      <c r="BI221" s="170"/>
      <c r="BJ221" s="66"/>
      <c r="BK221" s="66">
        <f t="shared" si="183"/>
        <v>7191246</v>
      </c>
      <c r="BL221" s="66"/>
      <c r="BM221" s="144">
        <f t="shared" si="184"/>
        <v>5.4371801493093133E-2</v>
      </c>
      <c r="BN221" s="65">
        <f t="shared" si="185"/>
        <v>588644.66037735844</v>
      </c>
      <c r="BO221" s="66"/>
      <c r="BP221" s="66">
        <f t="shared" si="186"/>
        <v>7998417</v>
      </c>
      <c r="BQ221" s="66"/>
      <c r="BR221" s="435">
        <f t="shared" si="187"/>
        <v>6.4093645309354227E-2</v>
      </c>
      <c r="BS221" s="66"/>
      <c r="BT221" s="75"/>
      <c r="BU221" s="170"/>
      <c r="BV221" s="1"/>
      <c r="BW221" s="61">
        <f t="shared" si="189"/>
        <v>212</v>
      </c>
    </row>
    <row r="222" spans="2:75" x14ac:dyDescent="0.3">
      <c r="B222" s="347">
        <f t="shared" si="163"/>
        <v>44122</v>
      </c>
      <c r="C222" s="61"/>
      <c r="D222" s="17">
        <v>44941</v>
      </c>
      <c r="E222" s="16"/>
      <c r="F222" s="16"/>
      <c r="G222" s="16"/>
      <c r="H222" s="16">
        <f t="shared" si="168"/>
        <v>8950336</v>
      </c>
      <c r="I222" s="16"/>
      <c r="J222" s="436">
        <f t="shared" si="169"/>
        <v>5.0464914807260095E-3</v>
      </c>
      <c r="K222" s="16"/>
      <c r="L222" s="16"/>
      <c r="M222" s="16"/>
      <c r="N222" s="16">
        <f t="shared" si="188"/>
        <v>394007</v>
      </c>
      <c r="O222" s="16">
        <f t="shared" si="170"/>
        <v>42020.356807511736</v>
      </c>
      <c r="P222" s="41"/>
      <c r="Q222" s="17">
        <f t="shared" si="161"/>
        <v>394007</v>
      </c>
      <c r="R222" s="16"/>
      <c r="S222" s="60">
        <f t="shared" si="162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71"/>
        <v>227417</v>
      </c>
      <c r="AB222" s="33"/>
      <c r="AC222" s="46">
        <f t="shared" si="172"/>
        <v>2.5408766777023788E-2</v>
      </c>
      <c r="AD222" s="33"/>
      <c r="AE222" s="33">
        <f t="shared" si="173"/>
        <v>1067.6854460093896</v>
      </c>
      <c r="AF222" s="50"/>
      <c r="AG222" s="33">
        <f t="shared" si="174"/>
        <v>5017</v>
      </c>
      <c r="AH222" s="33">
        <f t="shared" si="190"/>
        <v>1184220190.060914</v>
      </c>
      <c r="AI222" s="213">
        <f t="shared" si="175"/>
        <v>3.3999999999999998E-3</v>
      </c>
      <c r="AJ222" s="50"/>
      <c r="AK222" s="10"/>
      <c r="AL222" s="23">
        <f t="shared" si="176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7"/>
        <v>4.6927649096350057E-3</v>
      </c>
      <c r="AS222" s="25"/>
      <c r="AT222" s="25"/>
      <c r="AU222" s="24"/>
      <c r="AV222" s="298">
        <f t="shared" si="178"/>
        <v>0.60977420289026019</v>
      </c>
      <c r="AW222" s="298"/>
      <c r="AX222" s="24">
        <f t="shared" si="179"/>
        <v>25622.929577464787</v>
      </c>
      <c r="AY222" s="308"/>
      <c r="AZ222" s="348"/>
      <c r="BA222" s="65">
        <f t="shared" si="180"/>
        <v>891213</v>
      </c>
      <c r="BB222" s="66"/>
      <c r="BC222" s="66">
        <v>125683881</v>
      </c>
      <c r="BD222" s="66"/>
      <c r="BE222" s="66">
        <f t="shared" si="181"/>
        <v>44941</v>
      </c>
      <c r="BF222" s="66"/>
      <c r="BG222" s="144">
        <f t="shared" si="182"/>
        <v>5.0426777885870154E-2</v>
      </c>
      <c r="BH222" s="66"/>
      <c r="BI222" s="170"/>
      <c r="BJ222" s="66"/>
      <c r="BK222" s="66">
        <f t="shared" si="183"/>
        <v>7196983</v>
      </c>
      <c r="BL222" s="66"/>
      <c r="BM222" s="144">
        <f t="shared" si="184"/>
        <v>5.4746134595565946E-2</v>
      </c>
      <c r="BN222" s="65">
        <f t="shared" si="185"/>
        <v>590065.1690140845</v>
      </c>
      <c r="BO222" s="66"/>
      <c r="BP222" s="66">
        <f t="shared" si="186"/>
        <v>8043358</v>
      </c>
      <c r="BQ222" s="66"/>
      <c r="BR222" s="435">
        <f t="shared" si="187"/>
        <v>6.39967347921091E-2</v>
      </c>
      <c r="BS222" s="66"/>
      <c r="BT222" s="75"/>
      <c r="BU222" s="170"/>
      <c r="BV222" s="1"/>
      <c r="BW222" s="61">
        <f t="shared" si="189"/>
        <v>213</v>
      </c>
    </row>
    <row r="223" spans="2:75" x14ac:dyDescent="0.3">
      <c r="B223" s="158">
        <f t="shared" si="163"/>
        <v>44123</v>
      </c>
      <c r="C223" s="61"/>
      <c r="D223" s="17">
        <v>57327</v>
      </c>
      <c r="E223" s="16"/>
      <c r="F223" s="16"/>
      <c r="G223" s="16"/>
      <c r="H223" s="16">
        <f t="shared" ref="H223:H229" si="191">+H222+D223</f>
        <v>9007663</v>
      </c>
      <c r="I223" s="16"/>
      <c r="J223" s="436">
        <f t="shared" ref="J223:J229" si="192">+D223/H222</f>
        <v>6.4050109403714006E-3</v>
      </c>
      <c r="K223" s="16"/>
      <c r="L223" s="16"/>
      <c r="M223" s="16"/>
      <c r="N223" s="16">
        <f t="shared" ref="N223:N229" si="193">SUM(D217:D223)</f>
        <v>405543</v>
      </c>
      <c r="O223" s="16">
        <f t="shared" ref="O223:O229" si="194">+H223/BW223</f>
        <v>42091.883177570096</v>
      </c>
      <c r="P223" s="41"/>
      <c r="Q223" s="17">
        <f t="shared" si="161"/>
        <v>405543</v>
      </c>
      <c r="R223" s="16"/>
      <c r="S223" s="60">
        <f t="shared" si="162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5">+AA222+W223</f>
        <v>227859</v>
      </c>
      <c r="AB223" s="33"/>
      <c r="AC223" s="46">
        <f t="shared" ref="AC223:AC229" si="196">+AA223/H223</f>
        <v>2.5296128418658647E-2</v>
      </c>
      <c r="AD223" s="33"/>
      <c r="AE223" s="33">
        <f t="shared" ref="AE223:AE229" si="197">+AA223/BW223</f>
        <v>1064.7616822429907</v>
      </c>
      <c r="AF223" s="50"/>
      <c r="AG223" s="33">
        <f t="shared" ref="AG223:AG229" si="198">SUM(W217:W223)</f>
        <v>5143</v>
      </c>
      <c r="AH223" s="33">
        <f t="shared" si="190"/>
        <v>1184176577.060914</v>
      </c>
      <c r="AI223" s="213">
        <f t="shared" ref="AI223:AI229" si="199">+(AG223-AG216)/AG216</f>
        <v>3.5225442834138483E-2</v>
      </c>
      <c r="AJ223" s="50"/>
      <c r="AK223" s="10"/>
      <c r="AL223" s="23">
        <f t="shared" ref="AL223:AL229" si="200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201">+AL223/AP222</f>
        <v>8.3522607758162622E-3</v>
      </c>
      <c r="AS223" s="25"/>
      <c r="AT223" s="25"/>
      <c r="AU223" s="24"/>
      <c r="AV223" s="298">
        <f t="shared" ref="AV223:AV229" si="202">+AP223/H223</f>
        <v>0.61095402880858218</v>
      </c>
      <c r="AW223" s="298"/>
      <c r="AX223" s="24">
        <f t="shared" ref="AX223:AX229" si="203">+AP223/BW223</f>
        <v>25716.205607476637</v>
      </c>
      <c r="AY223" s="308"/>
      <c r="AZ223" s="10"/>
      <c r="BA223" s="65">
        <f t="shared" ref="BA223:BA229" si="204">+BC223-BC222</f>
        <v>1373226</v>
      </c>
      <c r="BB223" s="66"/>
      <c r="BC223" s="66">
        <v>127057107</v>
      </c>
      <c r="BD223" s="66"/>
      <c r="BE223" s="66">
        <f t="shared" ref="BE223:BE229" si="205">+D223</f>
        <v>57327</v>
      </c>
      <c r="BF223" s="66"/>
      <c r="BG223" s="144">
        <f t="shared" ref="BG223:BG229" si="206">+BE223/BA223</f>
        <v>4.1746223855359567E-2</v>
      </c>
      <c r="BH223" s="66"/>
      <c r="BI223" s="170"/>
      <c r="BJ223" s="66"/>
      <c r="BK223" s="66">
        <f t="shared" ref="BK223:BK229" si="207">SUM(BA217:BA223)</f>
        <v>7559483</v>
      </c>
      <c r="BL223" s="66"/>
      <c r="BM223" s="144">
        <f t="shared" ref="BM223:BM229" si="208">+Q223/BK223</f>
        <v>5.3646922679765272E-2</v>
      </c>
      <c r="BN223" s="65">
        <f t="shared" ref="BN223:BN229" si="209">+BC223/BW223</f>
        <v>593724.79906542052</v>
      </c>
      <c r="BO223" s="66"/>
      <c r="BP223" s="66">
        <f t="shared" ref="BP223:BP229" si="210">+BP222+BE223</f>
        <v>8100685</v>
      </c>
      <c r="BQ223" s="66"/>
      <c r="BR223" s="435">
        <f t="shared" ref="BR223:BR229" si="211">+BP223/BC223</f>
        <v>6.3756252532965352E-2</v>
      </c>
      <c r="BS223" s="66"/>
      <c r="BT223" s="75"/>
      <c r="BU223" s="170"/>
      <c r="BV223" s="1"/>
      <c r="BW223" s="61">
        <f t="shared" si="189"/>
        <v>214</v>
      </c>
    </row>
    <row r="224" spans="2:75" x14ac:dyDescent="0.3">
      <c r="B224" s="158">
        <f t="shared" si="163"/>
        <v>44124</v>
      </c>
      <c r="C224" s="61"/>
      <c r="D224" s="17">
        <v>62072</v>
      </c>
      <c r="E224" s="16"/>
      <c r="F224" s="16"/>
      <c r="G224" s="16"/>
      <c r="H224" s="16">
        <f t="shared" si="191"/>
        <v>9069735</v>
      </c>
      <c r="I224" s="16"/>
      <c r="J224" s="436">
        <f t="shared" si="192"/>
        <v>6.8910215668592399E-3</v>
      </c>
      <c r="K224" s="16"/>
      <c r="L224" s="16"/>
      <c r="M224" s="16"/>
      <c r="N224" s="16">
        <f t="shared" si="193"/>
        <v>416081</v>
      </c>
      <c r="O224" s="16">
        <f t="shared" si="194"/>
        <v>42184.813953488374</v>
      </c>
      <c r="P224" s="41"/>
      <c r="Q224" s="17">
        <f t="shared" si="161"/>
        <v>416081</v>
      </c>
      <c r="R224" s="16"/>
      <c r="S224" s="60">
        <f t="shared" si="162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5"/>
        <v>228811</v>
      </c>
      <c r="AB224" s="33"/>
      <c r="AC224" s="46">
        <f t="shared" si="196"/>
        <v>2.5227969725686583E-2</v>
      </c>
      <c r="AD224" s="33"/>
      <c r="AE224" s="33">
        <f t="shared" si="197"/>
        <v>1064.2372093023255</v>
      </c>
      <c r="AF224" s="50"/>
      <c r="AG224" s="33">
        <f t="shared" si="198"/>
        <v>5252</v>
      </c>
      <c r="AH224" s="33">
        <f t="shared" si="190"/>
        <v>1184143191.060914</v>
      </c>
      <c r="AI224" s="213">
        <f t="shared" si="199"/>
        <v>4.977013791724965E-2</v>
      </c>
      <c r="AJ224" s="50"/>
      <c r="AK224" s="10"/>
      <c r="AL224" s="23">
        <f t="shared" si="200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201"/>
        <v>7.6956092270992439E-3</v>
      </c>
      <c r="AS224" s="25"/>
      <c r="AT224" s="25"/>
      <c r="AU224" s="24"/>
      <c r="AV224" s="298">
        <f t="shared" si="202"/>
        <v>0.61144223067156867</v>
      </c>
      <c r="AW224" s="298"/>
      <c r="AX224" s="24">
        <f t="shared" si="203"/>
        <v>25793.576744186048</v>
      </c>
      <c r="AY224" s="308"/>
      <c r="AZ224" s="10"/>
      <c r="BA224" s="65">
        <f t="shared" si="204"/>
        <v>777769</v>
      </c>
      <c r="BB224" s="66"/>
      <c r="BC224" s="66">
        <v>127834876</v>
      </c>
      <c r="BD224" s="66"/>
      <c r="BE224" s="66">
        <f t="shared" si="205"/>
        <v>62072</v>
      </c>
      <c r="BF224" s="66"/>
      <c r="BG224" s="144">
        <f t="shared" si="206"/>
        <v>7.9807757830409803E-2</v>
      </c>
      <c r="BH224" s="66"/>
      <c r="BI224" s="170"/>
      <c r="BJ224" s="66"/>
      <c r="BK224" s="66">
        <f t="shared" si="207"/>
        <v>7311304</v>
      </c>
      <c r="BL224" s="66"/>
      <c r="BM224" s="144">
        <f t="shared" si="208"/>
        <v>5.6909273639832239E-2</v>
      </c>
      <c r="BN224" s="65">
        <f t="shared" si="209"/>
        <v>594580.81860465114</v>
      </c>
      <c r="BO224" s="66"/>
      <c r="BP224" s="66">
        <f t="shared" si="210"/>
        <v>8162757</v>
      </c>
      <c r="BQ224" s="66"/>
      <c r="BR224" s="435">
        <f t="shared" si="211"/>
        <v>6.3853912605195476E-2</v>
      </c>
      <c r="BS224" s="66"/>
      <c r="BT224" s="75"/>
      <c r="BU224" s="170"/>
      <c r="BV224" s="1"/>
      <c r="BW224" s="61">
        <f t="shared" si="189"/>
        <v>215</v>
      </c>
    </row>
    <row r="225" spans="2:75" x14ac:dyDescent="0.3">
      <c r="B225" s="158">
        <f t="shared" si="163"/>
        <v>44125</v>
      </c>
      <c r="C225" s="61"/>
      <c r="D225" s="17">
        <v>63663</v>
      </c>
      <c r="E225" s="16"/>
      <c r="F225" s="16"/>
      <c r="G225" s="16"/>
      <c r="H225" s="16">
        <f t="shared" si="191"/>
        <v>9133398</v>
      </c>
      <c r="I225" s="16"/>
      <c r="J225" s="436">
        <f t="shared" si="192"/>
        <v>7.0192789535747186E-3</v>
      </c>
      <c r="K225" s="16"/>
      <c r="L225" s="16"/>
      <c r="M225" s="16"/>
      <c r="N225" s="16">
        <f t="shared" si="193"/>
        <v>420051</v>
      </c>
      <c r="O225" s="16">
        <f t="shared" si="194"/>
        <v>42284.25</v>
      </c>
      <c r="P225" s="41"/>
      <c r="Q225" s="17">
        <f t="shared" si="161"/>
        <v>420051</v>
      </c>
      <c r="R225" s="16"/>
      <c r="S225" s="60">
        <f t="shared" si="162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5"/>
        <v>230036</v>
      </c>
      <c r="AB225" s="33"/>
      <c r="AC225" s="46">
        <f t="shared" si="196"/>
        <v>2.518624503169576E-2</v>
      </c>
      <c r="AD225" s="33"/>
      <c r="AE225" s="33">
        <f t="shared" si="197"/>
        <v>1064.9814814814815</v>
      </c>
      <c r="AF225" s="50"/>
      <c r="AG225" s="33">
        <f t="shared" si="198"/>
        <v>5507</v>
      </c>
      <c r="AH225" s="33">
        <f>SUM(D196:D943)</f>
        <v>1184106387.060914</v>
      </c>
      <c r="AI225" s="213">
        <f t="shared" si="199"/>
        <v>9.2008724965298438E-2</v>
      </c>
      <c r="AJ225" s="50"/>
      <c r="AK225" s="10"/>
      <c r="AL225" s="23">
        <f t="shared" si="200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201"/>
        <v>1.0187681483347486E-2</v>
      </c>
      <c r="AS225" s="25"/>
      <c r="AT225" s="25"/>
      <c r="AU225" s="24"/>
      <c r="AV225" s="298">
        <f t="shared" si="202"/>
        <v>0.61336602215298186</v>
      </c>
      <c r="AW225" s="298"/>
      <c r="AX225" s="24">
        <f t="shared" si="203"/>
        <v>25935.722222222223</v>
      </c>
      <c r="AY225" s="308"/>
      <c r="AZ225" s="10"/>
      <c r="BA225" s="65">
        <f t="shared" si="204"/>
        <v>815281</v>
      </c>
      <c r="BB225" s="66"/>
      <c r="BC225" s="66">
        <v>128650157</v>
      </c>
      <c r="BD225" s="66"/>
      <c r="BE225" s="66">
        <f t="shared" si="205"/>
        <v>63663</v>
      </c>
      <c r="BF225" s="66"/>
      <c r="BG225" s="144">
        <f t="shared" si="206"/>
        <v>7.8087187117079876E-2</v>
      </c>
      <c r="BH225" s="66"/>
      <c r="BI225" s="170"/>
      <c r="BJ225" s="66"/>
      <c r="BK225" s="66">
        <f t="shared" si="207"/>
        <v>7083019</v>
      </c>
      <c r="BL225" s="66"/>
      <c r="BM225" s="144">
        <f t="shared" si="208"/>
        <v>5.9303949347022787E-2</v>
      </c>
      <c r="BN225" s="65">
        <f t="shared" si="209"/>
        <v>595602.57870370371</v>
      </c>
      <c r="BO225" s="66"/>
      <c r="BP225" s="66">
        <f t="shared" si="210"/>
        <v>8226420</v>
      </c>
      <c r="BQ225" s="66"/>
      <c r="BR225" s="435">
        <f t="shared" si="211"/>
        <v>6.3944111626696262E-2</v>
      </c>
      <c r="BS225" s="66"/>
      <c r="BT225" s="75"/>
      <c r="BU225" s="170"/>
      <c r="BV225" s="1"/>
      <c r="BW225" s="61">
        <f t="shared" si="189"/>
        <v>216</v>
      </c>
    </row>
    <row r="226" spans="2:75" x14ac:dyDescent="0.3">
      <c r="B226" s="158">
        <f t="shared" si="163"/>
        <v>44126</v>
      </c>
      <c r="C226" s="61"/>
      <c r="D226" s="17">
        <v>74301</v>
      </c>
      <c r="E226" s="16"/>
      <c r="F226" s="16"/>
      <c r="G226" s="16"/>
      <c r="H226" s="16">
        <f t="shared" si="191"/>
        <v>9207699</v>
      </c>
      <c r="I226" s="16"/>
      <c r="J226" s="436">
        <f t="shared" si="192"/>
        <v>8.1350883866004742E-3</v>
      </c>
      <c r="K226" s="16"/>
      <c r="L226" s="16"/>
      <c r="M226" s="16"/>
      <c r="N226" s="16">
        <f t="shared" si="193"/>
        <v>428223</v>
      </c>
      <c r="O226" s="16">
        <f t="shared" si="194"/>
        <v>42431.792626728107</v>
      </c>
      <c r="P226" s="41"/>
      <c r="Q226" s="17">
        <f t="shared" si="161"/>
        <v>428223</v>
      </c>
      <c r="R226" s="16"/>
      <c r="S226" s="60">
        <f t="shared" si="162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5"/>
        <v>231009</v>
      </c>
      <c r="AB226" s="33"/>
      <c r="AC226" s="46">
        <f t="shared" si="196"/>
        <v>2.508867850697552E-2</v>
      </c>
      <c r="AD226" s="33"/>
      <c r="AE226" s="33">
        <f t="shared" si="197"/>
        <v>1064.557603686636</v>
      </c>
      <c r="AF226" s="50"/>
      <c r="AG226" s="33">
        <f t="shared" si="198"/>
        <v>5606</v>
      </c>
      <c r="AH226" s="33">
        <f>SUM(D197:D944)</f>
        <v>1184070691.060914</v>
      </c>
      <c r="AI226" s="213">
        <f t="shared" si="199"/>
        <v>0.13024193548387097</v>
      </c>
      <c r="AJ226" s="50"/>
      <c r="AK226" s="10"/>
      <c r="AL226" s="23">
        <f t="shared" si="200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201"/>
        <v>9.4937341533092145E-3</v>
      </c>
      <c r="AS226" s="25"/>
      <c r="AT226" s="25"/>
      <c r="AU226" s="24"/>
      <c r="AV226" s="298">
        <f t="shared" si="202"/>
        <v>0.61419264465530421</v>
      </c>
      <c r="AW226" s="298"/>
      <c r="AX226" s="24">
        <f t="shared" si="203"/>
        <v>26061.294930875578</v>
      </c>
      <c r="AY226" s="308"/>
      <c r="AZ226" s="10"/>
      <c r="BA226" s="65">
        <f t="shared" si="204"/>
        <v>1154411</v>
      </c>
      <c r="BB226" s="66"/>
      <c r="BC226" s="66">
        <v>129804568</v>
      </c>
      <c r="BD226" s="66"/>
      <c r="BE226" s="66">
        <f t="shared" si="205"/>
        <v>74301</v>
      </c>
      <c r="BF226" s="66"/>
      <c r="BG226" s="144">
        <f t="shared" si="206"/>
        <v>6.4362692316687897E-2</v>
      </c>
      <c r="BH226" s="66"/>
      <c r="BI226" s="170"/>
      <c r="BJ226" s="66"/>
      <c r="BK226" s="66">
        <f t="shared" si="207"/>
        <v>7109220</v>
      </c>
      <c r="BL226" s="66"/>
      <c r="BM226" s="144">
        <f t="shared" si="208"/>
        <v>6.0234878087891498E-2</v>
      </c>
      <c r="BN226" s="65">
        <f t="shared" si="209"/>
        <v>598177.73271889403</v>
      </c>
      <c r="BO226" s="66"/>
      <c r="BP226" s="66">
        <f t="shared" si="210"/>
        <v>8300721</v>
      </c>
      <c r="BQ226" s="66"/>
      <c r="BR226" s="435">
        <f t="shared" si="211"/>
        <v>6.3947834254954719E-2</v>
      </c>
      <c r="BS226" s="66"/>
      <c r="BT226" s="75"/>
      <c r="BU226" s="170"/>
      <c r="BV226" s="1"/>
      <c r="BW226" s="61">
        <f t="shared" si="189"/>
        <v>217</v>
      </c>
    </row>
    <row r="227" spans="2:75" x14ac:dyDescent="0.3">
      <c r="B227" s="158">
        <f t="shared" si="163"/>
        <v>44127</v>
      </c>
      <c r="C227" s="61"/>
      <c r="D227" s="17">
        <v>81414</v>
      </c>
      <c r="E227" s="16"/>
      <c r="F227" s="16"/>
      <c r="G227" s="16"/>
      <c r="H227" s="16">
        <f t="shared" si="191"/>
        <v>9289113</v>
      </c>
      <c r="I227" s="16"/>
      <c r="J227" s="436">
        <f t="shared" si="192"/>
        <v>8.8419484607392147E-3</v>
      </c>
      <c r="K227" s="16"/>
      <c r="L227" s="16"/>
      <c r="M227" s="16"/>
      <c r="N227" s="16">
        <f t="shared" si="193"/>
        <v>437950</v>
      </c>
      <c r="O227" s="16">
        <f t="shared" si="194"/>
        <v>42610.610091743118</v>
      </c>
      <c r="P227" s="41"/>
      <c r="Q227" s="17">
        <f t="shared" si="161"/>
        <v>437950</v>
      </c>
      <c r="R227" s="16"/>
      <c r="S227" s="60">
        <f t="shared" si="162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5"/>
        <v>231912</v>
      </c>
      <c r="AB227" s="33"/>
      <c r="AC227" s="46">
        <f t="shared" si="196"/>
        <v>2.4966000521255367E-2</v>
      </c>
      <c r="AD227" s="33"/>
      <c r="AE227" s="33">
        <f t="shared" si="197"/>
        <v>1063.8165137614678</v>
      </c>
      <c r="AF227" s="50"/>
      <c r="AG227" s="33">
        <f t="shared" si="198"/>
        <v>5581</v>
      </c>
      <c r="AH227" s="33">
        <f>SUM(D198:D945)</f>
        <v>1184029075.060914</v>
      </c>
      <c r="AI227" s="213">
        <f t="shared" si="199"/>
        <v>0.12090781281381803</v>
      </c>
      <c r="AJ227" s="50"/>
      <c r="AK227" s="10"/>
      <c r="AL227" s="23">
        <f t="shared" si="200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201"/>
        <v>7.5787301153378041E-3</v>
      </c>
      <c r="AS227" s="25"/>
      <c r="AT227" s="25"/>
      <c r="AU227" s="24"/>
      <c r="AV227" s="298">
        <f t="shared" si="202"/>
        <v>0.61342358522283025</v>
      </c>
      <c r="AW227" s="298"/>
      <c r="AX227" s="24">
        <f t="shared" si="203"/>
        <v>26138.353211009173</v>
      </c>
      <c r="AY227" s="308"/>
      <c r="AZ227" s="10"/>
      <c r="BA227" s="65">
        <f t="shared" si="204"/>
        <v>1252145</v>
      </c>
      <c r="BB227" s="66"/>
      <c r="BC227" s="66">
        <v>131056713</v>
      </c>
      <c r="BD227" s="66"/>
      <c r="BE227" s="66">
        <f t="shared" si="205"/>
        <v>81414</v>
      </c>
      <c r="BF227" s="66"/>
      <c r="BG227" s="144">
        <f t="shared" si="206"/>
        <v>6.501962632123276E-2</v>
      </c>
      <c r="BH227" s="66"/>
      <c r="BI227" s="170"/>
      <c r="BJ227" s="66"/>
      <c r="BK227" s="66">
        <f t="shared" si="207"/>
        <v>7320266</v>
      </c>
      <c r="BL227" s="66"/>
      <c r="BM227" s="144">
        <f t="shared" si="208"/>
        <v>5.9827060929206671E-2</v>
      </c>
      <c r="BN227" s="65">
        <f t="shared" si="209"/>
        <v>601177.58256880729</v>
      </c>
      <c r="BO227" s="66"/>
      <c r="BP227" s="66">
        <f t="shared" si="210"/>
        <v>8382135</v>
      </c>
      <c r="BQ227" s="66"/>
      <c r="BR227" s="435">
        <f t="shared" si="211"/>
        <v>6.3958074394861411E-2</v>
      </c>
      <c r="BS227" s="66"/>
      <c r="BT227" s="75"/>
      <c r="BU227" s="170"/>
      <c r="BV227" s="1"/>
      <c r="BW227" s="61">
        <f t="shared" si="189"/>
        <v>218</v>
      </c>
    </row>
    <row r="228" spans="2:75" x14ac:dyDescent="0.3">
      <c r="B228" s="158">
        <f t="shared" si="163"/>
        <v>44128</v>
      </c>
      <c r="C228" s="61"/>
      <c r="D228" s="17">
        <v>79449</v>
      </c>
      <c r="E228" s="16"/>
      <c r="F228" s="16"/>
      <c r="G228" s="16"/>
      <c r="H228" s="16">
        <f t="shared" si="191"/>
        <v>9368562</v>
      </c>
      <c r="I228" s="16"/>
      <c r="J228" s="436">
        <f t="shared" si="192"/>
        <v>8.5529156551330567E-3</v>
      </c>
      <c r="K228" s="16"/>
      <c r="L228" s="16"/>
      <c r="M228" s="16"/>
      <c r="N228" s="16">
        <f t="shared" si="193"/>
        <v>463167</v>
      </c>
      <c r="O228" s="16">
        <f t="shared" si="194"/>
        <v>42778.821917808222</v>
      </c>
      <c r="P228" s="41"/>
      <c r="Q228" s="17">
        <f t="shared" si="161"/>
        <v>463167</v>
      </c>
      <c r="R228" s="16"/>
      <c r="S228" s="60">
        <f t="shared" si="162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5"/>
        <v>232696</v>
      </c>
      <c r="AB228" s="33"/>
      <c r="AC228" s="46">
        <f t="shared" si="196"/>
        <v>2.4837963392887831E-2</v>
      </c>
      <c r="AD228" s="33"/>
      <c r="AE228" s="33">
        <f t="shared" si="197"/>
        <v>1062.538812785388</v>
      </c>
      <c r="AF228" s="50"/>
      <c r="AG228" s="33">
        <f t="shared" si="198"/>
        <v>5727</v>
      </c>
      <c r="AH228" s="33">
        <f>SUM(D199:D946)</f>
        <v>1183983720.060914</v>
      </c>
      <c r="AI228" s="213">
        <f t="shared" si="199"/>
        <v>0.17020841847159787</v>
      </c>
      <c r="AJ228" s="50"/>
      <c r="AK228" s="10"/>
      <c r="AL228" s="23">
        <f t="shared" si="200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201"/>
        <v>7.625267169530661E-3</v>
      </c>
      <c r="AS228" s="25"/>
      <c r="AT228" s="25"/>
      <c r="AU228" s="24"/>
      <c r="AV228" s="298">
        <f t="shared" si="202"/>
        <v>0.61285936945285735</v>
      </c>
      <c r="AW228" s="298"/>
      <c r="AX228" s="24">
        <f t="shared" si="203"/>
        <v>26217.40182648402</v>
      </c>
      <c r="AY228" s="308"/>
      <c r="AZ228" s="10"/>
      <c r="BA228" s="65">
        <f t="shared" si="204"/>
        <v>1151780</v>
      </c>
      <c r="BB228" s="66"/>
      <c r="BC228" s="66">
        <v>132208493</v>
      </c>
      <c r="BD228" s="66"/>
      <c r="BE228" s="66">
        <f t="shared" si="205"/>
        <v>79449</v>
      </c>
      <c r="BF228" s="66"/>
      <c r="BG228" s="144">
        <f t="shared" si="206"/>
        <v>6.8979318967163875E-2</v>
      </c>
      <c r="BH228" s="66"/>
      <c r="BI228" s="170"/>
      <c r="BJ228" s="66"/>
      <c r="BK228" s="66">
        <f t="shared" si="207"/>
        <v>7415825</v>
      </c>
      <c r="BL228" s="66"/>
      <c r="BM228" s="144">
        <f t="shared" si="208"/>
        <v>6.2456570914227343E-2</v>
      </c>
      <c r="BN228" s="65">
        <f t="shared" si="209"/>
        <v>603691.74885844754</v>
      </c>
      <c r="BO228" s="66"/>
      <c r="BP228" s="66">
        <f t="shared" si="210"/>
        <v>8461584</v>
      </c>
      <c r="BQ228" s="66"/>
      <c r="BR228" s="435">
        <f t="shared" si="211"/>
        <v>6.4001818703129765E-2</v>
      </c>
      <c r="BS228" s="66"/>
      <c r="BT228" s="75"/>
      <c r="BU228" s="170"/>
      <c r="BV228" s="1"/>
      <c r="BW228" s="61">
        <f t="shared" si="189"/>
        <v>219</v>
      </c>
    </row>
    <row r="229" spans="2:75" x14ac:dyDescent="0.3">
      <c r="B229" s="347">
        <f t="shared" si="163"/>
        <v>44129</v>
      </c>
      <c r="C229" s="61"/>
      <c r="D229" s="17">
        <v>60889</v>
      </c>
      <c r="E229" s="16"/>
      <c r="F229" s="16"/>
      <c r="G229" s="16"/>
      <c r="H229" s="16">
        <f t="shared" si="191"/>
        <v>9429451</v>
      </c>
      <c r="I229" s="16"/>
      <c r="J229" s="436">
        <f t="shared" si="192"/>
        <v>6.499289858998638E-3</v>
      </c>
      <c r="K229" s="16"/>
      <c r="L229" s="16"/>
      <c r="M229" s="16"/>
      <c r="N229" s="16">
        <f t="shared" si="193"/>
        <v>479115</v>
      </c>
      <c r="O229" s="16">
        <f t="shared" si="194"/>
        <v>42861.140909090907</v>
      </c>
      <c r="P229" s="41"/>
      <c r="Q229" s="17">
        <f t="shared" si="161"/>
        <v>479115</v>
      </c>
      <c r="R229" s="16"/>
      <c r="S229" s="60">
        <f t="shared" si="162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5"/>
        <v>233138</v>
      </c>
      <c r="AB229" s="33"/>
      <c r="AC229" s="46">
        <f t="shared" si="196"/>
        <v>2.4724451084161738E-2</v>
      </c>
      <c r="AD229" s="33"/>
      <c r="AE229" s="33">
        <f t="shared" si="197"/>
        <v>1059.7181818181818</v>
      </c>
      <c r="AF229" s="50"/>
      <c r="AG229" s="33">
        <f t="shared" si="198"/>
        <v>5721</v>
      </c>
      <c r="AH229" s="33">
        <f>SUM(D200:D948)</f>
        <v>1183930091.060914</v>
      </c>
      <c r="AI229" s="213">
        <f t="shared" si="199"/>
        <v>0.14032290213274864</v>
      </c>
      <c r="AJ229" s="50"/>
      <c r="AK229" s="10"/>
      <c r="AL229" s="23">
        <f t="shared" si="200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201"/>
        <v>5.379500631442987E-3</v>
      </c>
      <c r="AS229" s="25"/>
      <c r="AT229" s="25"/>
      <c r="AU229" s="24"/>
      <c r="AV229" s="298">
        <f t="shared" si="202"/>
        <v>0.61217752762064304</v>
      </c>
      <c r="AW229" s="298"/>
      <c r="AX229" s="24">
        <f t="shared" si="203"/>
        <v>26238.627272727274</v>
      </c>
      <c r="AY229" s="308"/>
      <c r="AZ229" s="348"/>
      <c r="BA229" s="65">
        <f t="shared" si="204"/>
        <v>1020835</v>
      </c>
      <c r="BB229" s="66"/>
      <c r="BC229" s="66">
        <v>133229328</v>
      </c>
      <c r="BD229" s="66"/>
      <c r="BE229" s="66">
        <f t="shared" si="205"/>
        <v>60889</v>
      </c>
      <c r="BF229" s="66"/>
      <c r="BG229" s="144">
        <f t="shared" si="206"/>
        <v>5.964626996527353E-2</v>
      </c>
      <c r="BH229" s="66"/>
      <c r="BI229" s="170"/>
      <c r="BJ229" s="66"/>
      <c r="BK229" s="66">
        <f t="shared" si="207"/>
        <v>7545447</v>
      </c>
      <c r="BL229" s="66"/>
      <c r="BM229" s="144">
        <f t="shared" si="208"/>
        <v>6.349723217193097E-2</v>
      </c>
      <c r="BN229" s="65">
        <f t="shared" si="209"/>
        <v>605587.85454545449</v>
      </c>
      <c r="BO229" s="66"/>
      <c r="BP229" s="66">
        <f t="shared" si="210"/>
        <v>8522473</v>
      </c>
      <c r="BQ229" s="66"/>
      <c r="BR229" s="435">
        <f t="shared" si="211"/>
        <v>6.3968445446185837E-2</v>
      </c>
      <c r="BS229" s="66"/>
      <c r="BT229" s="75"/>
      <c r="BU229" s="170"/>
      <c r="BV229" s="1"/>
      <c r="BW229" s="61">
        <f t="shared" si="189"/>
        <v>220</v>
      </c>
    </row>
    <row r="230" spans="2:75" x14ac:dyDescent="0.3">
      <c r="B230" s="158">
        <f t="shared" si="163"/>
        <v>44130</v>
      </c>
      <c r="C230" s="61"/>
      <c r="D230" s="17">
        <v>69841</v>
      </c>
      <c r="E230" s="16"/>
      <c r="F230" s="16"/>
      <c r="G230" s="16"/>
      <c r="H230" s="16">
        <f t="shared" ref="H230:H261" si="212">+H229+D230</f>
        <v>9499292</v>
      </c>
      <c r="I230" s="16"/>
      <c r="J230" s="436">
        <f t="shared" ref="J230:J261" si="213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4">+H230/BW230</f>
        <v>42983.221719457011</v>
      </c>
      <c r="P230" s="41"/>
      <c r="Q230" s="17">
        <f t="shared" si="161"/>
        <v>491629</v>
      </c>
      <c r="R230" s="16"/>
      <c r="S230" s="60">
        <f t="shared" si="162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5">+AA229+W230</f>
        <v>233667</v>
      </c>
      <c r="AB230" s="33"/>
      <c r="AC230" s="46">
        <f t="shared" ref="AC230:AC261" si="216">+AA230/H230</f>
        <v>2.4598359540900522E-2</v>
      </c>
      <c r="AD230" s="33"/>
      <c r="AE230" s="33">
        <f t="shared" ref="AE230:AE261" si="217">+AA230/BW230</f>
        <v>1057.316742081448</v>
      </c>
      <c r="AF230" s="50"/>
      <c r="AG230" s="33">
        <f t="shared" ref="AG230:AG261" si="218">SUM(W224:W230)</f>
        <v>5808</v>
      </c>
      <c r="AH230" s="33">
        <f t="shared" ref="AH230:AH293" si="219">SUM(D201:D950)</f>
        <v>1183886885.060914</v>
      </c>
      <c r="AI230" s="213">
        <f t="shared" ref="AI230:AI261" si="220">+(AG230-AG223)/AG223</f>
        <v>0.12930196383433792</v>
      </c>
      <c r="AJ230" s="50"/>
      <c r="AK230" s="10"/>
      <c r="AL230" s="23">
        <f t="shared" ref="AL230:AL261" si="221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22">+AL230/AP229</f>
        <v>1.0623823516266269E-2</v>
      </c>
      <c r="AS230" s="25"/>
      <c r="AT230" s="25"/>
      <c r="AU230" s="24"/>
      <c r="AV230" s="298">
        <f t="shared" ref="AV230:AV261" si="223">+AP230/H230</f>
        <v>0.61413250587517465</v>
      </c>
      <c r="AW230" s="298"/>
      <c r="AX230" s="24">
        <f t="shared" ref="AX230:AX261" si="224">+AP230/BW230</f>
        <v>26397.393665158372</v>
      </c>
      <c r="AY230" s="308"/>
      <c r="AZ230" s="10"/>
      <c r="BA230" s="65">
        <f t="shared" ref="BA230:BA261" si="225">+BC230-BC229</f>
        <v>1246764</v>
      </c>
      <c r="BB230" s="66"/>
      <c r="BC230" s="66">
        <v>134476092</v>
      </c>
      <c r="BD230" s="66"/>
      <c r="BE230" s="66">
        <f t="shared" ref="BE230:BE261" si="226">+D230</f>
        <v>69841</v>
      </c>
      <c r="BF230" s="66"/>
      <c r="BG230" s="144">
        <f t="shared" ref="BG230:BG261" si="227">+BE230/BA230</f>
        <v>5.6017818929645066E-2</v>
      </c>
      <c r="BH230" s="66"/>
      <c r="BI230" s="170"/>
      <c r="BJ230" s="66"/>
      <c r="BK230" s="66">
        <f t="shared" ref="BK230:BK261" si="228">SUM(BA224:BA230)</f>
        <v>7418985</v>
      </c>
      <c r="BL230" s="66"/>
      <c r="BM230" s="144">
        <f t="shared" ref="BM230:BM261" si="229">+Q230/BK230</f>
        <v>6.6266342363544339E-2</v>
      </c>
      <c r="BN230" s="65">
        <f t="shared" ref="BN230:BN261" si="230">+BC230/BW230</f>
        <v>608489.10407239816</v>
      </c>
      <c r="BO230" s="66"/>
      <c r="BP230" s="66">
        <f t="shared" ref="BP230:BP261" si="231">+BP229+BE230</f>
        <v>8592314</v>
      </c>
      <c r="BQ230" s="66"/>
      <c r="BR230" s="435">
        <f t="shared" ref="BR230:BR261" si="232">+BP230/BC230</f>
        <v>6.3894733050392338E-2</v>
      </c>
      <c r="BS230" s="66"/>
      <c r="BT230" s="75"/>
      <c r="BU230" s="170"/>
      <c r="BV230" s="1"/>
      <c r="BW230" s="61">
        <f t="shared" si="189"/>
        <v>221</v>
      </c>
    </row>
    <row r="231" spans="2:75" x14ac:dyDescent="0.3">
      <c r="B231" s="158">
        <f t="shared" si="163"/>
        <v>44131</v>
      </c>
      <c r="C231" s="61"/>
      <c r="D231" s="17">
        <v>75072</v>
      </c>
      <c r="E231" s="16"/>
      <c r="F231" s="16"/>
      <c r="G231" s="16"/>
      <c r="H231" s="16">
        <f t="shared" si="212"/>
        <v>9574364</v>
      </c>
      <c r="I231" s="16"/>
      <c r="J231" s="436">
        <f t="shared" si="213"/>
        <v>7.9029047638497687E-3</v>
      </c>
      <c r="K231" s="16"/>
      <c r="L231" s="16"/>
      <c r="M231" s="16"/>
      <c r="N231" s="16">
        <f>SUM(D225:D231)</f>
        <v>504629</v>
      </c>
      <c r="O231" s="16">
        <f t="shared" si="214"/>
        <v>43127.765765765769</v>
      </c>
      <c r="P231" s="41"/>
      <c r="Q231" s="17">
        <f t="shared" si="161"/>
        <v>504629</v>
      </c>
      <c r="R231" s="16"/>
      <c r="S231" s="60">
        <f t="shared" si="162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5"/>
        <v>234706</v>
      </c>
      <c r="AB231" s="33"/>
      <c r="AC231" s="46">
        <f t="shared" si="216"/>
        <v>2.4514004272241999E-2</v>
      </c>
      <c r="AD231" s="33"/>
      <c r="AE231" s="33">
        <f t="shared" si="217"/>
        <v>1057.2342342342342</v>
      </c>
      <c r="AF231" s="50"/>
      <c r="AG231" s="33">
        <f t="shared" si="218"/>
        <v>5895</v>
      </c>
      <c r="AH231" s="33">
        <f t="shared" si="219"/>
        <v>1183853103.060914</v>
      </c>
      <c r="AI231" s="213">
        <f t="shared" si="220"/>
        <v>0.12242955064737243</v>
      </c>
      <c r="AJ231" s="50"/>
      <c r="AK231" s="10"/>
      <c r="AL231" s="23">
        <f t="shared" si="221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22"/>
        <v>7.5662207156060928E-3</v>
      </c>
      <c r="AS231" s="25"/>
      <c r="AT231" s="25"/>
      <c r="AU231" s="24"/>
      <c r="AV231" s="298">
        <f t="shared" si="223"/>
        <v>0.613927358516973</v>
      </c>
      <c r="AW231" s="298"/>
      <c r="AX231" s="24">
        <f t="shared" si="224"/>
        <v>26477.315315315314</v>
      </c>
      <c r="AY231" s="308"/>
      <c r="AZ231" s="10"/>
      <c r="BA231" s="65">
        <f t="shared" si="225"/>
        <v>948841</v>
      </c>
      <c r="BB231" s="66"/>
      <c r="BC231" s="66">
        <v>135424933</v>
      </c>
      <c r="BD231" s="66"/>
      <c r="BE231" s="66">
        <f t="shared" si="226"/>
        <v>75072</v>
      </c>
      <c r="BF231" s="66"/>
      <c r="BG231" s="144">
        <f t="shared" si="227"/>
        <v>7.9119683909105953E-2</v>
      </c>
      <c r="BH231" s="66"/>
      <c r="BI231" s="170"/>
      <c r="BJ231" s="66"/>
      <c r="BK231" s="66">
        <f t="shared" si="228"/>
        <v>7590057</v>
      </c>
      <c r="BL231" s="66"/>
      <c r="BM231" s="144">
        <f t="shared" si="229"/>
        <v>6.6485534957115608E-2</v>
      </c>
      <c r="BN231" s="65">
        <f t="shared" si="230"/>
        <v>610022.22072072071</v>
      </c>
      <c r="BO231" s="66"/>
      <c r="BP231" s="66">
        <f t="shared" si="231"/>
        <v>8667386</v>
      </c>
      <c r="BQ231" s="66"/>
      <c r="BR231" s="435">
        <f t="shared" si="232"/>
        <v>6.4001405117918728E-2</v>
      </c>
      <c r="BS231" s="66"/>
      <c r="BT231" s="75"/>
      <c r="BU231" s="170"/>
      <c r="BV231" s="1"/>
      <c r="BW231" s="61">
        <f t="shared" si="189"/>
        <v>222</v>
      </c>
    </row>
    <row r="232" spans="2:75" x14ac:dyDescent="0.3">
      <c r="B232" s="158">
        <f t="shared" si="163"/>
        <v>44132</v>
      </c>
      <c r="C232" s="61"/>
      <c r="D232" s="17">
        <v>81581</v>
      </c>
      <c r="E232" s="16"/>
      <c r="F232" s="16"/>
      <c r="G232" s="16"/>
      <c r="H232" s="16">
        <f t="shared" si="212"/>
        <v>9655945</v>
      </c>
      <c r="I232" s="16"/>
      <c r="J232" s="436">
        <f t="shared" si="213"/>
        <v>8.5207748525123958E-3</v>
      </c>
      <c r="K232" s="16"/>
      <c r="L232" s="16"/>
      <c r="M232" s="16"/>
      <c r="N232" s="16">
        <f>SUM(D226:D232)</f>
        <v>522547</v>
      </c>
      <c r="O232" s="16">
        <f t="shared" si="214"/>
        <v>43300.201793721972</v>
      </c>
      <c r="P232" s="41"/>
      <c r="Q232" s="17">
        <f t="shared" si="161"/>
        <v>522547</v>
      </c>
      <c r="R232" s="16"/>
      <c r="S232" s="60">
        <f t="shared" si="162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5"/>
        <v>235736</v>
      </c>
      <c r="AB232" s="33"/>
      <c r="AC232" s="46">
        <f t="shared" si="216"/>
        <v>2.441356076489665E-2</v>
      </c>
      <c r="AD232" s="33"/>
      <c r="AE232" s="33">
        <f t="shared" si="217"/>
        <v>1057.1121076233185</v>
      </c>
      <c r="AF232" s="50"/>
      <c r="AG232" s="33">
        <f t="shared" si="218"/>
        <v>5700</v>
      </c>
      <c r="AH232" s="33">
        <f t="shared" si="219"/>
        <v>1183815685.060914</v>
      </c>
      <c r="AI232" s="213">
        <f t="shared" si="220"/>
        <v>3.5046304703105137E-2</v>
      </c>
      <c r="AJ232" s="50"/>
      <c r="AK232" s="10"/>
      <c r="AL232" s="23">
        <f t="shared" si="221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22"/>
        <v>9.3991729108922756E-3</v>
      </c>
      <c r="AS232" s="25"/>
      <c r="AT232" s="25"/>
      <c r="AU232" s="24"/>
      <c r="AV232" s="298">
        <f t="shared" si="223"/>
        <v>0.61446207491861227</v>
      </c>
      <c r="AW232" s="298"/>
      <c r="AX232" s="24">
        <f t="shared" si="224"/>
        <v>26606.331838565024</v>
      </c>
      <c r="AY232" s="308"/>
      <c r="AZ232" s="10"/>
      <c r="BA232" s="65">
        <f t="shared" si="225"/>
        <v>4769881</v>
      </c>
      <c r="BB232" s="66"/>
      <c r="BC232" s="66">
        <v>140194814</v>
      </c>
      <c r="BD232" s="66"/>
      <c r="BE232" s="66">
        <f t="shared" si="226"/>
        <v>81581</v>
      </c>
      <c r="BF232" s="66"/>
      <c r="BG232" s="144">
        <f t="shared" si="227"/>
        <v>1.710336169812203E-2</v>
      </c>
      <c r="BH232" s="66"/>
      <c r="BI232" s="170"/>
      <c r="BJ232" s="66"/>
      <c r="BK232" s="66">
        <f t="shared" si="228"/>
        <v>11544657</v>
      </c>
      <c r="BL232" s="66"/>
      <c r="BM232" s="144">
        <f t="shared" si="229"/>
        <v>4.5263103096090253E-2</v>
      </c>
      <c r="BN232" s="65">
        <f t="shared" si="230"/>
        <v>628676.29596412554</v>
      </c>
      <c r="BO232" s="66"/>
      <c r="BP232" s="66">
        <f t="shared" si="231"/>
        <v>8748967</v>
      </c>
      <c r="BQ232" s="66"/>
      <c r="BR232" s="435">
        <f t="shared" si="232"/>
        <v>6.2405781999896229E-2</v>
      </c>
      <c r="BS232" s="66"/>
      <c r="BT232" s="75"/>
      <c r="BU232" s="170"/>
      <c r="BV232" s="1"/>
      <c r="BW232" s="61">
        <f t="shared" si="189"/>
        <v>223</v>
      </c>
    </row>
    <row r="233" spans="2:75" x14ac:dyDescent="0.3">
      <c r="B233" s="158">
        <f t="shared" si="163"/>
        <v>44133</v>
      </c>
      <c r="C233" s="61"/>
      <c r="D233" s="17">
        <v>91530</v>
      </c>
      <c r="E233" s="16"/>
      <c r="F233" s="16"/>
      <c r="G233" s="16"/>
      <c r="H233" s="16">
        <f t="shared" si="212"/>
        <v>9747475</v>
      </c>
      <c r="I233" s="16"/>
      <c r="J233" s="436">
        <f t="shared" si="213"/>
        <v>9.4791343571240302E-3</v>
      </c>
      <c r="K233" s="16"/>
      <c r="L233" s="16"/>
      <c r="M233" s="16"/>
      <c r="N233" s="16">
        <f>SUM(D227:D233)</f>
        <v>539776</v>
      </c>
      <c r="O233" s="16">
        <f t="shared" si="214"/>
        <v>43515.513392857145</v>
      </c>
      <c r="P233" s="41"/>
      <c r="Q233" s="17">
        <f t="shared" si="161"/>
        <v>539776</v>
      </c>
      <c r="R233" s="16"/>
      <c r="S233" s="60">
        <f t="shared" si="162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5"/>
        <v>236783</v>
      </c>
      <c r="AB233" s="33"/>
      <c r="AC233" s="46">
        <f t="shared" si="216"/>
        <v>2.429172683182055E-2</v>
      </c>
      <c r="AD233" s="33"/>
      <c r="AE233" s="33">
        <f t="shared" si="217"/>
        <v>1057.0669642857142</v>
      </c>
      <c r="AF233" s="50"/>
      <c r="AG233" s="33">
        <f t="shared" si="218"/>
        <v>5774</v>
      </c>
      <c r="AH233" s="33">
        <f t="shared" si="219"/>
        <v>1183771458.060914</v>
      </c>
      <c r="AI233" s="213">
        <f t="shared" si="220"/>
        <v>2.9967891544773455E-2</v>
      </c>
      <c r="AJ233" s="50"/>
      <c r="AK233" s="10"/>
      <c r="AL233" s="23">
        <f t="shared" si="221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22"/>
        <v>8.449554811120856E-3</v>
      </c>
      <c r="AS233" s="25"/>
      <c r="AT233" s="25"/>
      <c r="AU233" s="24"/>
      <c r="AV233" s="298">
        <f t="shared" si="223"/>
        <v>0.61383537787991249</v>
      </c>
      <c r="AW233" s="298"/>
      <c r="AX233" s="24">
        <f t="shared" si="224"/>
        <v>26711.361607142859</v>
      </c>
      <c r="AY233" s="308"/>
      <c r="AZ233" s="10"/>
      <c r="BA233" s="65">
        <f t="shared" si="225"/>
        <v>1474514</v>
      </c>
      <c r="BB233" s="66"/>
      <c r="BC233" s="66">
        <v>141669328</v>
      </c>
      <c r="BD233" s="66"/>
      <c r="BE233" s="66">
        <f t="shared" si="226"/>
        <v>91530</v>
      </c>
      <c r="BF233" s="66"/>
      <c r="BG233" s="144">
        <f t="shared" si="227"/>
        <v>6.2074690372556654E-2</v>
      </c>
      <c r="BH233" s="66"/>
      <c r="BI233" s="170"/>
      <c r="BJ233" s="66"/>
      <c r="BK233" s="66">
        <f t="shared" si="228"/>
        <v>11864760</v>
      </c>
      <c r="BL233" s="66"/>
      <c r="BM233" s="144">
        <f t="shared" si="229"/>
        <v>4.5494051291387269E-2</v>
      </c>
      <c r="BN233" s="65">
        <f t="shared" si="230"/>
        <v>632452.35714285716</v>
      </c>
      <c r="BO233" s="66"/>
      <c r="BP233" s="66">
        <f t="shared" si="231"/>
        <v>8840497</v>
      </c>
      <c r="BQ233" s="66"/>
      <c r="BR233" s="435">
        <f t="shared" si="232"/>
        <v>6.2402335952352367E-2</v>
      </c>
      <c r="BS233" s="66"/>
      <c r="BT233" s="75"/>
      <c r="BU233" s="170"/>
      <c r="BV233" s="1"/>
      <c r="BW233" s="61">
        <f t="shared" si="189"/>
        <v>224</v>
      </c>
    </row>
    <row r="234" spans="2:75" x14ac:dyDescent="0.3">
      <c r="B234" s="158">
        <f t="shared" si="163"/>
        <v>44134</v>
      </c>
      <c r="C234" s="61"/>
      <c r="D234" s="17">
        <v>101461</v>
      </c>
      <c r="E234" s="16"/>
      <c r="F234" s="16"/>
      <c r="G234" s="16"/>
      <c r="H234" s="16">
        <f t="shared" si="212"/>
        <v>9848936</v>
      </c>
      <c r="I234" s="16"/>
      <c r="J234" s="436">
        <f t="shared" si="213"/>
        <v>1.0408952061944247E-2</v>
      </c>
      <c r="K234" s="16"/>
      <c r="L234" s="16"/>
      <c r="M234" s="16"/>
      <c r="N234" s="16">
        <f>SUM(D228:D234)</f>
        <v>559823</v>
      </c>
      <c r="O234" s="16">
        <f t="shared" si="214"/>
        <v>43773.048888888887</v>
      </c>
      <c r="P234" s="41"/>
      <c r="Q234" s="17">
        <f t="shared" si="161"/>
        <v>559823</v>
      </c>
      <c r="R234" s="16"/>
      <c r="S234" s="60">
        <f t="shared" si="162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5"/>
        <v>237771</v>
      </c>
      <c r="AB234" s="33"/>
      <c r="AC234" s="46">
        <f t="shared" si="216"/>
        <v>2.4141795621374737E-2</v>
      </c>
      <c r="AD234" s="33"/>
      <c r="AE234" s="33">
        <f t="shared" si="217"/>
        <v>1056.76</v>
      </c>
      <c r="AF234" s="50"/>
      <c r="AG234" s="33">
        <f t="shared" si="218"/>
        <v>5859</v>
      </c>
      <c r="AH234" s="33">
        <f t="shared" si="219"/>
        <v>1183730529.060914</v>
      </c>
      <c r="AI234" s="213">
        <f t="shared" si="220"/>
        <v>4.9811861673535206E-2</v>
      </c>
      <c r="AJ234" s="50"/>
      <c r="AK234" s="10"/>
      <c r="AL234" s="23">
        <f t="shared" si="221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22"/>
        <v>6.8802651359732726E-3</v>
      </c>
      <c r="AS234" s="25"/>
      <c r="AT234" s="25"/>
      <c r="AU234" s="24"/>
      <c r="AV234" s="298">
        <f t="shared" si="223"/>
        <v>0.61169165887563892</v>
      </c>
      <c r="AW234" s="298"/>
      <c r="AX234" s="24">
        <f t="shared" si="224"/>
        <v>26775.608888888888</v>
      </c>
      <c r="AY234" s="308"/>
      <c r="AZ234" s="10"/>
      <c r="BA234" s="65">
        <f t="shared" si="225"/>
        <v>1281025</v>
      </c>
      <c r="BB234" s="66"/>
      <c r="BC234" s="66">
        <v>142950353</v>
      </c>
      <c r="BD234" s="66"/>
      <c r="BE234" s="66">
        <f t="shared" si="226"/>
        <v>101461</v>
      </c>
      <c r="BF234" s="66"/>
      <c r="BG234" s="144">
        <f t="shared" si="227"/>
        <v>7.9202981987080659E-2</v>
      </c>
      <c r="BH234" s="66"/>
      <c r="BI234" s="170"/>
      <c r="BJ234" s="66"/>
      <c r="BK234" s="66">
        <f t="shared" si="228"/>
        <v>11893640</v>
      </c>
      <c r="BL234" s="66"/>
      <c r="BM234" s="144">
        <f t="shared" si="229"/>
        <v>4.7069105841441305E-2</v>
      </c>
      <c r="BN234" s="65">
        <f t="shared" si="230"/>
        <v>635334.90222222218</v>
      </c>
      <c r="BO234" s="66"/>
      <c r="BP234" s="66">
        <f t="shared" si="231"/>
        <v>8941958</v>
      </c>
      <c r="BQ234" s="66"/>
      <c r="BR234" s="435">
        <f t="shared" si="232"/>
        <v>6.2552892051969955E-2</v>
      </c>
      <c r="BS234" s="66"/>
      <c r="BT234" s="75"/>
      <c r="BU234" s="170"/>
      <c r="BV234" s="1"/>
      <c r="BW234" s="61">
        <f t="shared" si="189"/>
        <v>225</v>
      </c>
    </row>
    <row r="235" spans="2:75" x14ac:dyDescent="0.3">
      <c r="B235" s="158">
        <f t="shared" si="163"/>
        <v>44135</v>
      </c>
      <c r="C235" s="61"/>
      <c r="D235" s="17">
        <v>86293</v>
      </c>
      <c r="E235" s="16"/>
      <c r="F235" s="16"/>
      <c r="G235" s="16"/>
      <c r="H235" s="16">
        <f t="shared" si="212"/>
        <v>9935229</v>
      </c>
      <c r="I235" s="16"/>
      <c r="J235" s="436">
        <f t="shared" si="213"/>
        <v>8.7616570967665956E-3</v>
      </c>
      <c r="K235" s="16"/>
      <c r="L235" s="16"/>
      <c r="M235" s="16"/>
      <c r="N235" s="16">
        <f>SUM(D205:D235)</f>
        <v>1906897</v>
      </c>
      <c r="O235" s="16">
        <f t="shared" si="214"/>
        <v>43961.190265486723</v>
      </c>
      <c r="P235" s="41"/>
      <c r="Q235" s="17">
        <f t="shared" si="161"/>
        <v>566667</v>
      </c>
      <c r="R235" s="16"/>
      <c r="S235" s="60">
        <f t="shared" si="162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5"/>
        <v>238685</v>
      </c>
      <c r="AB235" s="33"/>
      <c r="AC235" s="46">
        <f t="shared" si="216"/>
        <v>2.4024106540473298E-2</v>
      </c>
      <c r="AD235" s="33"/>
      <c r="AE235" s="33">
        <f t="shared" si="217"/>
        <v>1056.1283185840707</v>
      </c>
      <c r="AF235" s="50"/>
      <c r="AG235" s="33">
        <f t="shared" si="218"/>
        <v>5989</v>
      </c>
      <c r="AH235" s="33">
        <f t="shared" si="219"/>
        <v>1183683140.060914</v>
      </c>
      <c r="AI235" s="213">
        <f t="shared" si="220"/>
        <v>4.5748210232233279E-2</v>
      </c>
      <c r="AJ235" s="50"/>
      <c r="AK235" s="10"/>
      <c r="AL235" s="23">
        <f t="shared" si="221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22"/>
        <v>6.2952816759266148E-3</v>
      </c>
      <c r="AS235" s="25"/>
      <c r="AT235" s="25"/>
      <c r="AU235" s="24"/>
      <c r="AV235" s="298">
        <f t="shared" si="223"/>
        <v>0.61019610116686795</v>
      </c>
      <c r="AW235" s="298"/>
      <c r="AX235" s="24">
        <f t="shared" si="224"/>
        <v>26824.946902654869</v>
      </c>
      <c r="AY235" s="308"/>
      <c r="AZ235" s="10"/>
      <c r="BA235" s="65">
        <f t="shared" si="225"/>
        <v>1235921</v>
      </c>
      <c r="BB235" s="66"/>
      <c r="BC235" s="66">
        <v>144186274</v>
      </c>
      <c r="BD235" s="66"/>
      <c r="BE235" s="66">
        <f t="shared" si="226"/>
        <v>86293</v>
      </c>
      <c r="BF235" s="66"/>
      <c r="BG235" s="144">
        <f t="shared" si="227"/>
        <v>6.9820805698746116E-2</v>
      </c>
      <c r="BH235" s="66"/>
      <c r="BI235" s="170"/>
      <c r="BJ235" s="66"/>
      <c r="BK235" s="66">
        <f t="shared" si="228"/>
        <v>11977781</v>
      </c>
      <c r="BL235" s="66"/>
      <c r="BM235" s="144">
        <f t="shared" si="229"/>
        <v>4.7309848126293179E-2</v>
      </c>
      <c r="BN235" s="65">
        <f t="shared" si="230"/>
        <v>637992.36283185845</v>
      </c>
      <c r="BO235" s="66"/>
      <c r="BP235" s="66">
        <f t="shared" si="231"/>
        <v>9028251</v>
      </c>
      <c r="BQ235" s="66"/>
      <c r="BR235" s="435">
        <f t="shared" si="232"/>
        <v>6.2615190402936685E-2</v>
      </c>
      <c r="BS235" s="66"/>
      <c r="BT235" s="75"/>
      <c r="BU235" s="170"/>
      <c r="BV235" s="1"/>
      <c r="BW235" s="61">
        <f t="shared" si="189"/>
        <v>226</v>
      </c>
    </row>
    <row r="236" spans="2:75" x14ac:dyDescent="0.3">
      <c r="B236" s="347">
        <f t="shared" si="163"/>
        <v>44136</v>
      </c>
      <c r="C236" s="61"/>
      <c r="D236" s="17">
        <v>71321</v>
      </c>
      <c r="E236" s="16"/>
      <c r="F236" s="16"/>
      <c r="G236" s="16"/>
      <c r="H236" s="16">
        <f t="shared" si="212"/>
        <v>10006550</v>
      </c>
      <c r="I236" s="16"/>
      <c r="J236" s="436">
        <f t="shared" si="213"/>
        <v>7.178596487307942E-3</v>
      </c>
      <c r="K236" s="16"/>
      <c r="L236" s="16"/>
      <c r="M236" s="16"/>
      <c r="N236" s="16">
        <f t="shared" ref="N236:N267" si="233">SUM(D230:D236)</f>
        <v>577099</v>
      </c>
      <c r="O236" s="16">
        <f t="shared" si="214"/>
        <v>44081.718061674008</v>
      </c>
      <c r="P236" s="41"/>
      <c r="Q236" s="17">
        <f t="shared" si="161"/>
        <v>577099</v>
      </c>
      <c r="R236" s="16"/>
      <c r="S236" s="60">
        <f t="shared" si="162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5"/>
        <v>239084</v>
      </c>
      <c r="AB236" s="33"/>
      <c r="AC236" s="46">
        <f t="shared" si="216"/>
        <v>2.3892750248587176E-2</v>
      </c>
      <c r="AD236" s="33"/>
      <c r="AE236" s="33">
        <f t="shared" si="217"/>
        <v>1053.2334801762115</v>
      </c>
      <c r="AF236" s="50"/>
      <c r="AG236" s="33">
        <f t="shared" si="218"/>
        <v>5946</v>
      </c>
      <c r="AH236" s="33">
        <f t="shared" si="219"/>
        <v>1183631737.060914</v>
      </c>
      <c r="AI236" s="213">
        <f t="shared" si="220"/>
        <v>3.9328788673308863E-2</v>
      </c>
      <c r="AJ236" s="50"/>
      <c r="AK236" s="348"/>
      <c r="AL236" s="23">
        <f t="shared" si="221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22"/>
        <v>6.7905024348290238E-3</v>
      </c>
      <c r="AS236" s="25"/>
      <c r="AT236" s="25"/>
      <c r="AU236" s="24"/>
      <c r="AV236" s="298">
        <f t="shared" si="223"/>
        <v>0.60996097556100759</v>
      </c>
      <c r="AW236" s="298"/>
      <c r="AX236" s="24">
        <f t="shared" si="224"/>
        <v>26888.127753303965</v>
      </c>
      <c r="AY236" s="308"/>
      <c r="AZ236" s="348"/>
      <c r="BA236" s="65">
        <f t="shared" si="225"/>
        <v>851151</v>
      </c>
      <c r="BB236" s="66"/>
      <c r="BC236" s="66">
        <v>145037425</v>
      </c>
      <c r="BD236" s="66"/>
      <c r="BE236" s="66">
        <f t="shared" si="226"/>
        <v>71321</v>
      </c>
      <c r="BF236" s="66"/>
      <c r="BG236" s="144">
        <f t="shared" si="227"/>
        <v>8.3793592441294196E-2</v>
      </c>
      <c r="BH236" s="66"/>
      <c r="BI236" s="170"/>
      <c r="BJ236" s="66"/>
      <c r="BK236" s="66">
        <f t="shared" si="228"/>
        <v>11808097</v>
      </c>
      <c r="BL236" s="66"/>
      <c r="BM236" s="144">
        <f t="shared" si="229"/>
        <v>4.8873158816361346E-2</v>
      </c>
      <c r="BN236" s="65">
        <f t="shared" si="230"/>
        <v>638931.38766519818</v>
      </c>
      <c r="BO236" s="66"/>
      <c r="BP236" s="66">
        <f t="shared" si="231"/>
        <v>9099572</v>
      </c>
      <c r="BQ236" s="66"/>
      <c r="BR236" s="435">
        <f t="shared" si="232"/>
        <v>6.2739475690498508E-2</v>
      </c>
      <c r="BS236" s="66"/>
      <c r="BT236" s="75"/>
      <c r="BU236" s="170"/>
      <c r="BV236" s="1"/>
      <c r="BW236" s="61">
        <f t="shared" si="189"/>
        <v>227</v>
      </c>
    </row>
    <row r="237" spans="2:75" x14ac:dyDescent="0.3">
      <c r="B237" s="158">
        <f t="shared" si="163"/>
        <v>44137</v>
      </c>
      <c r="C237" s="61"/>
      <c r="D237" s="17">
        <v>88905</v>
      </c>
      <c r="E237" s="16"/>
      <c r="F237" s="16"/>
      <c r="G237" s="16"/>
      <c r="H237" s="16">
        <f t="shared" si="212"/>
        <v>10095455</v>
      </c>
      <c r="I237" s="16"/>
      <c r="J237" s="436">
        <f t="shared" si="213"/>
        <v>8.8846805342500668E-3</v>
      </c>
      <c r="K237" s="16"/>
      <c r="L237" s="16"/>
      <c r="M237" s="16"/>
      <c r="N237" s="16">
        <f t="shared" si="233"/>
        <v>596163</v>
      </c>
      <c r="O237" s="16">
        <f t="shared" si="214"/>
        <v>44278.311403508771</v>
      </c>
      <c r="P237" s="41"/>
      <c r="Q237" s="17">
        <f t="shared" ref="Q237:Q268" si="234">SUM(D231:D237)</f>
        <v>596163</v>
      </c>
      <c r="R237" s="16"/>
      <c r="S237" s="60">
        <f t="shared" ref="S237:S268" si="235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5"/>
        <v>239606</v>
      </c>
      <c r="AB237" s="33"/>
      <c r="AC237" s="46">
        <f t="shared" si="216"/>
        <v>2.3734046657629598E-2</v>
      </c>
      <c r="AD237" s="33"/>
      <c r="AE237" s="33">
        <f t="shared" si="217"/>
        <v>1050.9035087719299</v>
      </c>
      <c r="AF237" s="50"/>
      <c r="AG237" s="33">
        <f t="shared" si="218"/>
        <v>5939</v>
      </c>
      <c r="AH237" s="33">
        <f t="shared" si="219"/>
        <v>1183582812.060914</v>
      </c>
      <c r="AI237" s="213">
        <f t="shared" si="220"/>
        <v>2.2555096418732781E-2</v>
      </c>
      <c r="AJ237" s="50"/>
      <c r="AK237" s="10"/>
      <c r="AL237" s="23">
        <f t="shared" si="221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22"/>
        <v>1.1107697827759168E-2</v>
      </c>
      <c r="AS237" s="25"/>
      <c r="AT237" s="25"/>
      <c r="AU237" s="24"/>
      <c r="AV237" s="298">
        <f t="shared" si="223"/>
        <v>0.61130498823480472</v>
      </c>
      <c r="AW237" s="298"/>
      <c r="AX237" s="24">
        <f t="shared" si="224"/>
        <v>27067.552631578947</v>
      </c>
      <c r="AY237" s="308"/>
      <c r="AZ237" s="10"/>
      <c r="BA237" s="65">
        <f t="shared" si="225"/>
        <v>4657343</v>
      </c>
      <c r="BB237" s="66"/>
      <c r="BC237" s="66">
        <v>149694768</v>
      </c>
      <c r="BD237" s="66"/>
      <c r="BE237" s="66">
        <f t="shared" si="226"/>
        <v>88905</v>
      </c>
      <c r="BF237" s="66"/>
      <c r="BG237" s="144">
        <f t="shared" si="227"/>
        <v>1.9089210307250293E-2</v>
      </c>
      <c r="BH237" s="66"/>
      <c r="BI237" s="170"/>
      <c r="BJ237" s="66"/>
      <c r="BK237" s="66">
        <f t="shared" si="228"/>
        <v>15218676</v>
      </c>
      <c r="BL237" s="66"/>
      <c r="BM237" s="144">
        <f t="shared" si="229"/>
        <v>3.9173118607689655E-2</v>
      </c>
      <c r="BN237" s="65">
        <f t="shared" si="230"/>
        <v>656556</v>
      </c>
      <c r="BO237" s="66"/>
      <c r="BP237" s="66">
        <f t="shared" si="231"/>
        <v>9188477</v>
      </c>
      <c r="BQ237" s="66"/>
      <c r="BR237" s="435">
        <f t="shared" si="232"/>
        <v>6.1381417151466507E-2</v>
      </c>
      <c r="BS237" s="66"/>
      <c r="BT237" s="75"/>
      <c r="BU237" s="170"/>
      <c r="BV237" s="1"/>
      <c r="BW237" s="61">
        <f t="shared" si="189"/>
        <v>228</v>
      </c>
    </row>
    <row r="238" spans="2:75" x14ac:dyDescent="0.3">
      <c r="B238" s="158">
        <f t="shared" si="163"/>
        <v>44138</v>
      </c>
      <c r="C238" s="61"/>
      <c r="D238" s="17">
        <v>94467</v>
      </c>
      <c r="E238" s="16"/>
      <c r="F238" s="16"/>
      <c r="G238" s="16"/>
      <c r="H238" s="16">
        <f t="shared" si="212"/>
        <v>10189922</v>
      </c>
      <c r="I238" s="16"/>
      <c r="J238" s="436">
        <f t="shared" si="213"/>
        <v>9.357379137443533E-3</v>
      </c>
      <c r="K238" s="16"/>
      <c r="L238" s="16"/>
      <c r="M238" s="16"/>
      <c r="N238" s="16">
        <f t="shared" si="233"/>
        <v>615558</v>
      </c>
      <c r="O238" s="16">
        <f t="shared" si="214"/>
        <v>44497.475982532749</v>
      </c>
      <c r="P238" s="41"/>
      <c r="Q238" s="17">
        <f t="shared" si="234"/>
        <v>615558</v>
      </c>
      <c r="R238" s="16"/>
      <c r="S238" s="60">
        <f t="shared" si="235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5"/>
        <v>240793</v>
      </c>
      <c r="AB238" s="33"/>
      <c r="AC238" s="46">
        <f t="shared" si="216"/>
        <v>2.3630504728102925E-2</v>
      </c>
      <c r="AD238" s="33"/>
      <c r="AE238" s="33">
        <f t="shared" si="217"/>
        <v>1051.4978165938865</v>
      </c>
      <c r="AF238" s="50"/>
      <c r="AG238" s="33">
        <f t="shared" si="218"/>
        <v>6087</v>
      </c>
      <c r="AH238" s="33">
        <f t="shared" si="219"/>
        <v>1183548746.060914</v>
      </c>
      <c r="AI238" s="213">
        <f t="shared" si="220"/>
        <v>3.2569974554707379E-2</v>
      </c>
      <c r="AJ238" s="50"/>
      <c r="AK238" s="10"/>
      <c r="AL238" s="23">
        <f t="shared" si="221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22"/>
        <v>1.0494860001017597E-2</v>
      </c>
      <c r="AS238" s="25"/>
      <c r="AT238" s="25"/>
      <c r="AU238" s="24"/>
      <c r="AV238" s="298">
        <f t="shared" si="223"/>
        <v>0.61199388964900814</v>
      </c>
      <c r="AW238" s="298"/>
      <c r="AX238" s="24">
        <f t="shared" si="224"/>
        <v>27232.183406113538</v>
      </c>
      <c r="AY238" s="308"/>
      <c r="AZ238" s="10"/>
      <c r="BA238" s="65">
        <f t="shared" si="225"/>
        <v>1154241</v>
      </c>
      <c r="BB238" s="66"/>
      <c r="BC238" s="66">
        <v>150849009</v>
      </c>
      <c r="BD238" s="66"/>
      <c r="BE238" s="66">
        <f t="shared" si="226"/>
        <v>94467</v>
      </c>
      <c r="BF238" s="66"/>
      <c r="BG238" s="144">
        <f t="shared" si="227"/>
        <v>8.1843393190850086E-2</v>
      </c>
      <c r="BH238" s="66"/>
      <c r="BI238" s="170"/>
      <c r="BJ238" s="66"/>
      <c r="BK238" s="66">
        <f t="shared" si="228"/>
        <v>15424076</v>
      </c>
      <c r="BL238" s="66"/>
      <c r="BM238" s="144">
        <f t="shared" si="229"/>
        <v>3.9908906050514795E-2</v>
      </c>
      <c r="BN238" s="65">
        <f t="shared" si="230"/>
        <v>658729.29694323149</v>
      </c>
      <c r="BO238" s="66"/>
      <c r="BP238" s="66">
        <f t="shared" si="231"/>
        <v>9282944</v>
      </c>
      <c r="BQ238" s="66"/>
      <c r="BR238" s="435">
        <f t="shared" si="232"/>
        <v>6.1537984647946874E-2</v>
      </c>
      <c r="BS238" s="66"/>
      <c r="BT238" s="75"/>
      <c r="BU238" s="170"/>
      <c r="BV238" s="1"/>
      <c r="BW238" s="61">
        <f t="shared" si="189"/>
        <v>229</v>
      </c>
    </row>
    <row r="239" spans="2:75" x14ac:dyDescent="0.3">
      <c r="B239" s="158">
        <f t="shared" si="163"/>
        <v>44139</v>
      </c>
      <c r="C239" s="61"/>
      <c r="D239" s="17">
        <v>108389</v>
      </c>
      <c r="E239" s="16"/>
      <c r="F239" s="16"/>
      <c r="G239" s="16"/>
      <c r="H239" s="16">
        <f t="shared" si="212"/>
        <v>10298311</v>
      </c>
      <c r="I239" s="16"/>
      <c r="J239" s="436">
        <f t="shared" si="213"/>
        <v>1.0636882205771546E-2</v>
      </c>
      <c r="K239" s="16"/>
      <c r="L239" s="16"/>
      <c r="M239" s="16"/>
      <c r="N239" s="16">
        <f t="shared" si="233"/>
        <v>642366</v>
      </c>
      <c r="O239" s="16">
        <f t="shared" si="214"/>
        <v>44775.265217391301</v>
      </c>
      <c r="P239" s="41"/>
      <c r="Q239" s="17">
        <f t="shared" si="234"/>
        <v>642366</v>
      </c>
      <c r="R239" s="16"/>
      <c r="S239" s="60">
        <f t="shared" si="235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5"/>
        <v>241994</v>
      </c>
      <c r="AB239" s="33"/>
      <c r="AC239" s="46">
        <f t="shared" si="216"/>
        <v>2.3498416390804279E-2</v>
      </c>
      <c r="AD239" s="33"/>
      <c r="AE239" s="33">
        <f t="shared" si="217"/>
        <v>1052.1478260869565</v>
      </c>
      <c r="AF239" s="50"/>
      <c r="AG239" s="33">
        <f t="shared" si="218"/>
        <v>6258</v>
      </c>
      <c r="AH239" s="33">
        <f t="shared" si="219"/>
        <v>1183511029.060914</v>
      </c>
      <c r="AI239" s="213">
        <f t="shared" si="220"/>
        <v>9.7894736842105257E-2</v>
      </c>
      <c r="AJ239" s="50"/>
      <c r="AK239" s="10"/>
      <c r="AL239" s="23">
        <f t="shared" si="221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22"/>
        <v>8.9556570779821595E-3</v>
      </c>
      <c r="AS239" s="25"/>
      <c r="AT239" s="25"/>
      <c r="AU239" s="24"/>
      <c r="AV239" s="298">
        <f t="shared" si="223"/>
        <v>0.61097581923870814</v>
      </c>
      <c r="AW239" s="298"/>
      <c r="AX239" s="24">
        <f t="shared" si="224"/>
        <v>27356.604347826087</v>
      </c>
      <c r="AY239" s="308"/>
      <c r="AZ239" s="10"/>
      <c r="BA239" s="65">
        <f t="shared" si="225"/>
        <v>1201405</v>
      </c>
      <c r="BB239" s="66"/>
      <c r="BC239" s="66">
        <v>152050414</v>
      </c>
      <c r="BD239" s="66"/>
      <c r="BE239" s="66">
        <f t="shared" si="226"/>
        <v>108389</v>
      </c>
      <c r="BF239" s="66"/>
      <c r="BG239" s="144">
        <f t="shared" si="227"/>
        <v>9.0218535797670224E-2</v>
      </c>
      <c r="BH239" s="66"/>
      <c r="BI239" s="170"/>
      <c r="BJ239" s="66"/>
      <c r="BK239" s="66">
        <f t="shared" si="228"/>
        <v>11855600</v>
      </c>
      <c r="BL239" s="66"/>
      <c r="BM239" s="144">
        <f t="shared" si="229"/>
        <v>5.4182496035628733E-2</v>
      </c>
      <c r="BN239" s="65">
        <f t="shared" si="230"/>
        <v>661088.75652173918</v>
      </c>
      <c r="BO239" s="66"/>
      <c r="BP239" s="66">
        <f t="shared" si="231"/>
        <v>9391333</v>
      </c>
      <c r="BQ239" s="66"/>
      <c r="BR239" s="435">
        <f t="shared" si="232"/>
        <v>6.176459999641961E-2</v>
      </c>
      <c r="BS239" s="66"/>
      <c r="BT239" s="75"/>
      <c r="BU239" s="170"/>
      <c r="BV239" s="1"/>
      <c r="BW239" s="61">
        <f t="shared" si="189"/>
        <v>230</v>
      </c>
    </row>
    <row r="240" spans="2:75" x14ac:dyDescent="0.3">
      <c r="B240" s="158">
        <f t="shared" si="163"/>
        <v>44140</v>
      </c>
      <c r="C240" s="61"/>
      <c r="D240" s="17">
        <v>118319</v>
      </c>
      <c r="E240" s="16"/>
      <c r="F240" s="16"/>
      <c r="G240" s="16"/>
      <c r="H240" s="16">
        <f t="shared" si="212"/>
        <v>10416630</v>
      </c>
      <c r="I240" s="16"/>
      <c r="J240" s="436">
        <f t="shared" si="213"/>
        <v>1.1489165553458231E-2</v>
      </c>
      <c r="K240" s="16"/>
      <c r="L240" s="16"/>
      <c r="M240" s="16"/>
      <c r="N240" s="16">
        <f t="shared" si="233"/>
        <v>669155</v>
      </c>
      <c r="O240" s="16">
        <f t="shared" si="214"/>
        <v>45093.63636363636</v>
      </c>
      <c r="P240" s="41"/>
      <c r="Q240" s="17">
        <f t="shared" si="234"/>
        <v>669155</v>
      </c>
      <c r="R240" s="16"/>
      <c r="S240" s="60">
        <f t="shared" si="235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5"/>
        <v>243121</v>
      </c>
      <c r="AB240" s="33"/>
      <c r="AC240" s="46">
        <f t="shared" si="216"/>
        <v>2.3339698155737509E-2</v>
      </c>
      <c r="AD240" s="33"/>
      <c r="AE240" s="33">
        <f t="shared" si="217"/>
        <v>1052.4718614718615</v>
      </c>
      <c r="AF240" s="50"/>
      <c r="AG240" s="33">
        <f t="shared" si="218"/>
        <v>6338</v>
      </c>
      <c r="AH240" s="33">
        <f t="shared" si="219"/>
        <v>1183466361.060914</v>
      </c>
      <c r="AI240" s="213">
        <f t="shared" si="220"/>
        <v>9.767925181849671E-2</v>
      </c>
      <c r="AJ240" s="50"/>
      <c r="AK240" s="10"/>
      <c r="AL240" s="23">
        <f t="shared" si="221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22"/>
        <v>7.7029328741696429E-3</v>
      </c>
      <c r="AS240" s="25"/>
      <c r="AT240" s="25"/>
      <c r="AU240" s="24"/>
      <c r="AV240" s="298">
        <f t="shared" si="223"/>
        <v>0.60868879858457103</v>
      </c>
      <c r="AW240" s="298"/>
      <c r="AX240" s="24">
        <f t="shared" si="224"/>
        <v>27447.991341991343</v>
      </c>
      <c r="AY240" s="308"/>
      <c r="AZ240" s="10"/>
      <c r="BA240" s="65">
        <f t="shared" si="225"/>
        <v>1544407</v>
      </c>
      <c r="BB240" s="66"/>
      <c r="BC240" s="66">
        <v>153594821</v>
      </c>
      <c r="BD240" s="66"/>
      <c r="BE240" s="66">
        <f t="shared" si="226"/>
        <v>118319</v>
      </c>
      <c r="BF240" s="66"/>
      <c r="BG240" s="144">
        <f t="shared" si="227"/>
        <v>7.6611281870646794E-2</v>
      </c>
      <c r="BH240" s="66"/>
      <c r="BI240" s="170"/>
      <c r="BJ240" s="66"/>
      <c r="BK240" s="66">
        <f t="shared" si="228"/>
        <v>11925493</v>
      </c>
      <c r="BL240" s="66"/>
      <c r="BM240" s="144">
        <f t="shared" si="229"/>
        <v>5.6111307096486492E-2</v>
      </c>
      <c r="BN240" s="65">
        <f t="shared" si="230"/>
        <v>664912.645021645</v>
      </c>
      <c r="BO240" s="66"/>
      <c r="BP240" s="66">
        <f t="shared" si="231"/>
        <v>9509652</v>
      </c>
      <c r="BQ240" s="66"/>
      <c r="BR240" s="435">
        <f t="shared" si="232"/>
        <v>6.1913884453174368E-2</v>
      </c>
      <c r="BS240" s="66"/>
      <c r="BT240" s="75"/>
      <c r="BU240" s="170"/>
      <c r="BV240" s="1"/>
      <c r="BW240" s="61">
        <f t="shared" si="189"/>
        <v>231</v>
      </c>
    </row>
    <row r="241" spans="2:75" x14ac:dyDescent="0.3">
      <c r="B241" s="158">
        <f t="shared" si="163"/>
        <v>44141</v>
      </c>
      <c r="C241" s="61"/>
      <c r="D241" s="17">
        <v>132541</v>
      </c>
      <c r="E241" s="16"/>
      <c r="F241" s="16"/>
      <c r="G241" s="16"/>
      <c r="H241" s="16">
        <f t="shared" si="212"/>
        <v>10549171</v>
      </c>
      <c r="I241" s="16"/>
      <c r="J241" s="436">
        <f t="shared" si="213"/>
        <v>1.2723980788412375E-2</v>
      </c>
      <c r="K241" s="16"/>
      <c r="L241" s="16"/>
      <c r="M241" s="16"/>
      <c r="N241" s="16">
        <f t="shared" si="233"/>
        <v>700235</v>
      </c>
      <c r="O241" s="16">
        <f t="shared" si="214"/>
        <v>45470.564655172413</v>
      </c>
      <c r="P241" s="41"/>
      <c r="Q241" s="17">
        <f t="shared" si="234"/>
        <v>700235</v>
      </c>
      <c r="R241" s="16"/>
      <c r="S241" s="60">
        <f t="shared" si="235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5"/>
        <v>244365</v>
      </c>
      <c r="AB241" s="33"/>
      <c r="AC241" s="46">
        <f t="shared" si="216"/>
        <v>2.3164379456926048E-2</v>
      </c>
      <c r="AD241" s="33"/>
      <c r="AE241" s="33">
        <f t="shared" si="217"/>
        <v>1053.2974137931035</v>
      </c>
      <c r="AF241" s="50"/>
      <c r="AG241" s="33">
        <f t="shared" si="218"/>
        <v>6594</v>
      </c>
      <c r="AH241" s="33">
        <f t="shared" si="219"/>
        <v>1183417003.060914</v>
      </c>
      <c r="AI241" s="213">
        <f t="shared" si="220"/>
        <v>0.12544802867383512</v>
      </c>
      <c r="AJ241" s="50"/>
      <c r="AK241" s="10"/>
      <c r="AL241" s="23">
        <f t="shared" si="221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22"/>
        <v>7.999702231027717E-3</v>
      </c>
      <c r="AS241" s="25"/>
      <c r="AT241" s="25"/>
      <c r="AU241" s="24"/>
      <c r="AV241" s="298">
        <f t="shared" si="223"/>
        <v>0.60584931270902709</v>
      </c>
      <c r="AW241" s="298"/>
      <c r="AX241" s="24">
        <f t="shared" si="224"/>
        <v>27548.310344827587</v>
      </c>
      <c r="AY241" s="308"/>
      <c r="AZ241" s="10"/>
      <c r="BA241" s="65">
        <f t="shared" si="225"/>
        <v>1425131</v>
      </c>
      <c r="BB241" s="66"/>
      <c r="BC241" s="66">
        <v>155019952</v>
      </c>
      <c r="BD241" s="66"/>
      <c r="BE241" s="66">
        <f t="shared" si="226"/>
        <v>132541</v>
      </c>
      <c r="BF241" s="66"/>
      <c r="BG241" s="144">
        <f t="shared" si="227"/>
        <v>9.3002678350270956E-2</v>
      </c>
      <c r="BH241" s="66"/>
      <c r="BI241" s="170"/>
      <c r="BJ241" s="66"/>
      <c r="BK241" s="66">
        <f t="shared" si="228"/>
        <v>12069599</v>
      </c>
      <c r="BL241" s="66"/>
      <c r="BM241" s="144">
        <f t="shared" si="229"/>
        <v>5.8016426229239262E-2</v>
      </c>
      <c r="BN241" s="65">
        <f t="shared" si="230"/>
        <v>668189.44827586203</v>
      </c>
      <c r="BO241" s="66"/>
      <c r="BP241" s="66">
        <f t="shared" si="231"/>
        <v>9642193</v>
      </c>
      <c r="BQ241" s="66"/>
      <c r="BR241" s="435">
        <f t="shared" si="232"/>
        <v>6.219969026954672E-2</v>
      </c>
      <c r="BS241" s="66"/>
      <c r="BT241" s="75"/>
      <c r="BU241" s="170"/>
      <c r="BV241" s="1"/>
      <c r="BW241" s="61">
        <f t="shared" si="189"/>
        <v>232</v>
      </c>
    </row>
    <row r="242" spans="2:75" x14ac:dyDescent="0.3">
      <c r="B242" s="158">
        <f t="shared" si="163"/>
        <v>44142</v>
      </c>
      <c r="C242" s="61"/>
      <c r="D242" s="17">
        <v>124390</v>
      </c>
      <c r="E242" s="16"/>
      <c r="F242" s="16"/>
      <c r="G242" s="16"/>
      <c r="H242" s="16">
        <f t="shared" si="212"/>
        <v>10673561</v>
      </c>
      <c r="I242" s="16"/>
      <c r="J242" s="436">
        <f t="shared" si="213"/>
        <v>1.1791447877752669E-2</v>
      </c>
      <c r="K242" s="16"/>
      <c r="L242" s="16"/>
      <c r="M242" s="16"/>
      <c r="N242" s="16">
        <f t="shared" si="233"/>
        <v>738332</v>
      </c>
      <c r="O242" s="16">
        <f t="shared" si="214"/>
        <v>45809.274678111586</v>
      </c>
      <c r="P242" s="41"/>
      <c r="Q242" s="17">
        <f t="shared" si="234"/>
        <v>738332</v>
      </c>
      <c r="R242" s="16"/>
      <c r="S242" s="60">
        <f t="shared" si="235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5"/>
        <v>245396</v>
      </c>
      <c r="AB242" s="33"/>
      <c r="AC242" s="46">
        <f t="shared" si="216"/>
        <v>2.2991014901212446E-2</v>
      </c>
      <c r="AD242" s="33"/>
      <c r="AE242" s="33">
        <f t="shared" si="217"/>
        <v>1053.2017167381973</v>
      </c>
      <c r="AF242" s="50"/>
      <c r="AG242" s="33">
        <f t="shared" si="218"/>
        <v>6711</v>
      </c>
      <c r="AH242" s="33">
        <f t="shared" si="219"/>
        <v>1183359685.060914</v>
      </c>
      <c r="AI242" s="213">
        <f t="shared" si="220"/>
        <v>0.12055434964100852</v>
      </c>
      <c r="AJ242" s="50"/>
      <c r="AK242" s="10"/>
      <c r="AL242" s="23">
        <f t="shared" si="221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22"/>
        <v>7.9077382554283947E-3</v>
      </c>
      <c r="AS242" s="25"/>
      <c r="AT242" s="25"/>
      <c r="AU242" s="24"/>
      <c r="AV242" s="298">
        <f t="shared" si="223"/>
        <v>0.6035237911696012</v>
      </c>
      <c r="AW242" s="298"/>
      <c r="AX242" s="24">
        <f t="shared" si="224"/>
        <v>27646.987124463518</v>
      </c>
      <c r="AY242" s="308"/>
      <c r="AZ242" s="10"/>
      <c r="BA242" s="65">
        <f t="shared" si="225"/>
        <v>1534974</v>
      </c>
      <c r="BB242" s="66"/>
      <c r="BC242" s="66">
        <v>156554926</v>
      </c>
      <c r="BD242" s="66"/>
      <c r="BE242" s="66">
        <f t="shared" si="226"/>
        <v>124390</v>
      </c>
      <c r="BF242" s="66"/>
      <c r="BG242" s="144">
        <f t="shared" si="227"/>
        <v>8.1037203236015723E-2</v>
      </c>
      <c r="BH242" s="66"/>
      <c r="BI242" s="170"/>
      <c r="BJ242" s="66"/>
      <c r="BK242" s="66">
        <f t="shared" si="228"/>
        <v>12368652</v>
      </c>
      <c r="BL242" s="66"/>
      <c r="BM242" s="144">
        <f t="shared" si="229"/>
        <v>5.9693813036376157E-2</v>
      </c>
      <c r="BN242" s="65">
        <f t="shared" si="230"/>
        <v>671909.55364806869</v>
      </c>
      <c r="BO242" s="66"/>
      <c r="BP242" s="66">
        <f t="shared" si="231"/>
        <v>9766583</v>
      </c>
      <c r="BQ242" s="66"/>
      <c r="BR242" s="435">
        <f t="shared" si="232"/>
        <v>6.2384386422947816E-2</v>
      </c>
      <c r="BS242" s="66"/>
      <c r="BT242" s="75"/>
      <c r="BU242" s="170"/>
      <c r="BV242" s="1"/>
      <c r="BW242" s="61">
        <f t="shared" si="189"/>
        <v>233</v>
      </c>
    </row>
    <row r="243" spans="2:75" x14ac:dyDescent="0.3">
      <c r="B243" s="347">
        <f t="shared" si="163"/>
        <v>44143</v>
      </c>
      <c r="C243" s="61"/>
      <c r="D243" s="17">
        <v>102726</v>
      </c>
      <c r="E243" s="16"/>
      <c r="F243" s="16"/>
      <c r="G243" s="16"/>
      <c r="H243" s="16">
        <f t="shared" si="212"/>
        <v>10776287</v>
      </c>
      <c r="I243" s="16"/>
      <c r="J243" s="436">
        <f t="shared" si="213"/>
        <v>9.6243418667865399E-3</v>
      </c>
      <c r="K243" s="16"/>
      <c r="L243" s="16"/>
      <c r="M243" s="16"/>
      <c r="N243" s="16">
        <f t="shared" si="233"/>
        <v>769737</v>
      </c>
      <c r="O243" s="16">
        <f t="shared" si="214"/>
        <v>46052.508547008547</v>
      </c>
      <c r="P243" s="41"/>
      <c r="Q243" s="17">
        <f t="shared" si="234"/>
        <v>769737</v>
      </c>
      <c r="R243" s="16"/>
      <c r="S243" s="60">
        <f t="shared" si="235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5"/>
        <v>245908</v>
      </c>
      <c r="AB243" s="33"/>
      <c r="AC243" s="46">
        <f t="shared" si="216"/>
        <v>2.2819362550384935E-2</v>
      </c>
      <c r="AD243" s="33"/>
      <c r="AE243" s="33">
        <f t="shared" si="217"/>
        <v>1050.8888888888889</v>
      </c>
      <c r="AF243" s="50"/>
      <c r="AG243" s="33">
        <f t="shared" si="218"/>
        <v>6824</v>
      </c>
      <c r="AH243" s="33">
        <f t="shared" si="219"/>
        <v>1183298702.060914</v>
      </c>
      <c r="AI243" s="213">
        <f t="shared" si="220"/>
        <v>0.14766229397914565</v>
      </c>
      <c r="AJ243" s="50"/>
      <c r="AK243" s="348"/>
      <c r="AL243" s="23">
        <f t="shared" si="221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22"/>
        <v>6.4690515679905513E-3</v>
      </c>
      <c r="AS243" s="25"/>
      <c r="AT243" s="25"/>
      <c r="AU243" s="24"/>
      <c r="AV243" s="298">
        <f t="shared" si="223"/>
        <v>0.60163765126151525</v>
      </c>
      <c r="AW243" s="298"/>
      <c r="AX243" s="24">
        <f t="shared" si="224"/>
        <v>27706.923076923078</v>
      </c>
      <c r="AY243" s="308"/>
      <c r="AZ243" s="348"/>
      <c r="BA243" s="65">
        <f t="shared" si="225"/>
        <v>1047931</v>
      </c>
      <c r="BB243" s="66"/>
      <c r="BC243" s="66">
        <v>157602857</v>
      </c>
      <c r="BD243" s="66"/>
      <c r="BE243" s="66">
        <f t="shared" si="226"/>
        <v>102726</v>
      </c>
      <c r="BF243" s="66"/>
      <c r="BG243" s="144">
        <f t="shared" si="227"/>
        <v>9.8027446463555323E-2</v>
      </c>
      <c r="BH243" s="66"/>
      <c r="BI243" s="170"/>
      <c r="BJ243" s="66"/>
      <c r="BK243" s="66">
        <f t="shared" si="228"/>
        <v>12565432</v>
      </c>
      <c r="BL243" s="66"/>
      <c r="BM243" s="144">
        <f t="shared" si="229"/>
        <v>6.1258299754437411E-2</v>
      </c>
      <c r="BN243" s="65">
        <f t="shared" si="230"/>
        <v>673516.48290598288</v>
      </c>
      <c r="BO243" s="66"/>
      <c r="BP243" s="66">
        <f t="shared" si="231"/>
        <v>9869309</v>
      </c>
      <c r="BQ243" s="66"/>
      <c r="BR243" s="435">
        <f t="shared" si="232"/>
        <v>6.2621383824279273E-2</v>
      </c>
      <c r="BS243" s="66"/>
      <c r="BT243" s="75"/>
      <c r="BU243" s="170"/>
      <c r="BV243" s="1"/>
      <c r="BW243" s="61">
        <f t="shared" si="189"/>
        <v>234</v>
      </c>
    </row>
    <row r="244" spans="2:75" x14ac:dyDescent="0.3">
      <c r="B244" s="158">
        <f t="shared" si="163"/>
        <v>44144</v>
      </c>
      <c r="C244" s="61"/>
      <c r="D244" s="17">
        <v>125689</v>
      </c>
      <c r="E244" s="16"/>
      <c r="F244" s="16"/>
      <c r="G244" s="16"/>
      <c r="H244" s="16">
        <f t="shared" si="212"/>
        <v>10901976</v>
      </c>
      <c r="I244" s="16"/>
      <c r="J244" s="436">
        <f t="shared" si="213"/>
        <v>1.1663479267023977E-2</v>
      </c>
      <c r="K244" s="16"/>
      <c r="L244" s="16"/>
      <c r="M244" s="16"/>
      <c r="N244" s="16">
        <f t="shared" si="233"/>
        <v>806521</v>
      </c>
      <c r="O244" s="16">
        <f t="shared" si="214"/>
        <v>46391.387234042551</v>
      </c>
      <c r="P244" s="41"/>
      <c r="Q244" s="17">
        <f t="shared" si="234"/>
        <v>806521</v>
      </c>
      <c r="R244" s="16"/>
      <c r="S244" s="60">
        <f t="shared" si="235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5"/>
        <v>246549</v>
      </c>
      <c r="AB244" s="33"/>
      <c r="AC244" s="46">
        <f t="shared" si="216"/>
        <v>2.2615074551622569E-2</v>
      </c>
      <c r="AD244" s="33"/>
      <c r="AE244" s="33">
        <f t="shared" si="217"/>
        <v>1049.1446808510639</v>
      </c>
      <c r="AF244" s="50"/>
      <c r="AG244" s="33">
        <f t="shared" si="218"/>
        <v>6943</v>
      </c>
      <c r="AH244" s="33">
        <f t="shared" si="219"/>
        <v>1183244467.060914</v>
      </c>
      <c r="AI244" s="213">
        <f t="shared" si="220"/>
        <v>0.16905202896110455</v>
      </c>
      <c r="AJ244" s="50"/>
      <c r="AK244" s="10"/>
      <c r="AL244" s="23">
        <f t="shared" si="221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22"/>
        <v>1.0671836777503231E-2</v>
      </c>
      <c r="AS244" s="25"/>
      <c r="AT244" s="25"/>
      <c r="AU244" s="24"/>
      <c r="AV244" s="298">
        <f t="shared" si="223"/>
        <v>0.60104792012016905</v>
      </c>
      <c r="AW244" s="298"/>
      <c r="AX244" s="24">
        <f t="shared" si="224"/>
        <v>27883.446808510638</v>
      </c>
      <c r="AY244" s="308"/>
      <c r="AZ244" s="10"/>
      <c r="BA244" s="65">
        <f t="shared" si="225"/>
        <v>1681256</v>
      </c>
      <c r="BB244" s="66"/>
      <c r="BC244" s="66">
        <v>159284113</v>
      </c>
      <c r="BD244" s="66"/>
      <c r="BE244" s="66">
        <f t="shared" si="226"/>
        <v>125689</v>
      </c>
      <c r="BF244" s="66"/>
      <c r="BG244" s="144">
        <f t="shared" si="227"/>
        <v>7.475898970769472E-2</v>
      </c>
      <c r="BH244" s="66"/>
      <c r="BI244" s="170"/>
      <c r="BJ244" s="66"/>
      <c r="BK244" s="66">
        <f t="shared" si="228"/>
        <v>9589345</v>
      </c>
      <c r="BL244" s="66"/>
      <c r="BM244" s="144">
        <f t="shared" si="229"/>
        <v>8.4105953013474857E-2</v>
      </c>
      <c r="BN244" s="65">
        <f t="shared" si="230"/>
        <v>677804.73617021274</v>
      </c>
      <c r="BO244" s="66"/>
      <c r="BP244" s="66">
        <f t="shared" si="231"/>
        <v>9994998</v>
      </c>
      <c r="BQ244" s="66"/>
      <c r="BR244" s="435">
        <f t="shared" si="232"/>
        <v>6.2749497183061817E-2</v>
      </c>
      <c r="BS244" s="66"/>
      <c r="BT244" s="75"/>
      <c r="BU244" s="170"/>
      <c r="BV244" s="1"/>
      <c r="BW244" s="61">
        <f t="shared" si="189"/>
        <v>235</v>
      </c>
    </row>
    <row r="245" spans="2:75" x14ac:dyDescent="0.3">
      <c r="B245" s="158">
        <f t="shared" si="163"/>
        <v>44145</v>
      </c>
      <c r="C245" s="61"/>
      <c r="D245" s="17">
        <v>135653</v>
      </c>
      <c r="E245" s="16"/>
      <c r="F245" s="16"/>
      <c r="G245" s="16"/>
      <c r="H245" s="16">
        <f t="shared" si="212"/>
        <v>11037629</v>
      </c>
      <c r="I245" s="16"/>
      <c r="J245" s="436">
        <f t="shared" si="213"/>
        <v>1.2442973640741825E-2</v>
      </c>
      <c r="K245" s="16"/>
      <c r="L245" s="16"/>
      <c r="M245" s="16"/>
      <c r="N245" s="16">
        <f t="shared" si="233"/>
        <v>847707</v>
      </c>
      <c r="O245" s="16">
        <f t="shared" si="214"/>
        <v>46769.614406779663</v>
      </c>
      <c r="P245" s="41"/>
      <c r="Q245" s="17">
        <f t="shared" si="234"/>
        <v>847707</v>
      </c>
      <c r="R245" s="16"/>
      <c r="S245" s="60">
        <f t="shared" si="235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5"/>
        <v>247895</v>
      </c>
      <c r="AB245" s="33"/>
      <c r="AC245" s="46">
        <f t="shared" si="216"/>
        <v>2.2459080659442351E-2</v>
      </c>
      <c r="AD245" s="33"/>
      <c r="AE245" s="33">
        <f t="shared" si="217"/>
        <v>1050.4025423728813</v>
      </c>
      <c r="AF245" s="50"/>
      <c r="AG245" s="33">
        <f t="shared" si="218"/>
        <v>7102</v>
      </c>
      <c r="AH245" s="33">
        <f t="shared" si="219"/>
        <v>1183202532.060914</v>
      </c>
      <c r="AI245" s="213">
        <f t="shared" si="220"/>
        <v>0.16674880893707902</v>
      </c>
      <c r="AJ245" s="50"/>
      <c r="AK245" s="10"/>
      <c r="AL245" s="23">
        <f t="shared" si="221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22"/>
        <v>7.4364260958610382E-3</v>
      </c>
      <c r="AS245" s="25"/>
      <c r="AT245" s="25"/>
      <c r="AU245" s="24"/>
      <c r="AV245" s="298">
        <f t="shared" si="223"/>
        <v>0.59807572803905618</v>
      </c>
      <c r="AW245" s="298"/>
      <c r="AX245" s="24">
        <f t="shared" si="224"/>
        <v>27971.771186440677</v>
      </c>
      <c r="AY245" s="308"/>
      <c r="AZ245" s="10"/>
      <c r="BA245" s="65">
        <f t="shared" si="225"/>
        <v>1311466</v>
      </c>
      <c r="BB245" s="66"/>
      <c r="BC245" s="66">
        <v>160595579</v>
      </c>
      <c r="BD245" s="66"/>
      <c r="BE245" s="66">
        <f t="shared" si="226"/>
        <v>135653</v>
      </c>
      <c r="BF245" s="66"/>
      <c r="BG245" s="144">
        <f t="shared" si="227"/>
        <v>0.10343615465440964</v>
      </c>
      <c r="BH245" s="66"/>
      <c r="BI245" s="170"/>
      <c r="BJ245" s="66"/>
      <c r="BK245" s="66">
        <f t="shared" si="228"/>
        <v>9746570</v>
      </c>
      <c r="BL245" s="66"/>
      <c r="BM245" s="144">
        <f t="shared" si="229"/>
        <v>8.6974905017867823E-2</v>
      </c>
      <c r="BN245" s="65">
        <f t="shared" si="230"/>
        <v>680489.74152542371</v>
      </c>
      <c r="BO245" s="66"/>
      <c r="BP245" s="66">
        <f t="shared" si="231"/>
        <v>10130651</v>
      </c>
      <c r="BQ245" s="66"/>
      <c r="BR245" s="435">
        <f t="shared" si="232"/>
        <v>6.3081755195764144E-2</v>
      </c>
      <c r="BS245" s="66"/>
      <c r="BT245" s="75"/>
      <c r="BU245" s="170"/>
      <c r="BV245" s="1"/>
      <c r="BW245" s="61">
        <f t="shared" si="189"/>
        <v>236</v>
      </c>
    </row>
    <row r="246" spans="2:75" x14ac:dyDescent="0.3">
      <c r="B246" s="158">
        <f t="shared" si="163"/>
        <v>44146</v>
      </c>
      <c r="C246" s="61"/>
      <c r="D246" s="17">
        <v>142906</v>
      </c>
      <c r="E246" s="16"/>
      <c r="F246" s="16"/>
      <c r="G246" s="16"/>
      <c r="H246" s="16">
        <f t="shared" si="212"/>
        <v>11180535</v>
      </c>
      <c r="I246" s="16"/>
      <c r="J246" s="436">
        <f t="shared" si="213"/>
        <v>1.2947164649219502E-2</v>
      </c>
      <c r="K246" s="16"/>
      <c r="L246" s="16"/>
      <c r="M246" s="16"/>
      <c r="N246" s="16">
        <f t="shared" si="233"/>
        <v>882224</v>
      </c>
      <c r="O246" s="16">
        <f t="shared" si="214"/>
        <v>47175.253164556962</v>
      </c>
      <c r="P246" s="41"/>
      <c r="Q246" s="17">
        <f t="shared" si="234"/>
        <v>882224</v>
      </c>
      <c r="R246" s="16"/>
      <c r="S246" s="60">
        <f t="shared" si="235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5"/>
        <v>249365</v>
      </c>
      <c r="AB246" s="33"/>
      <c r="AC246" s="46">
        <f t="shared" si="216"/>
        <v>2.2303494421331359E-2</v>
      </c>
      <c r="AD246" s="33"/>
      <c r="AE246" s="33">
        <f t="shared" si="217"/>
        <v>1052.1729957805908</v>
      </c>
      <c r="AF246" s="50"/>
      <c r="AG246" s="33">
        <f t="shared" si="218"/>
        <v>7371</v>
      </c>
      <c r="AH246" s="33">
        <f t="shared" si="219"/>
        <v>1183156741.060914</v>
      </c>
      <c r="AI246" s="213">
        <f t="shared" si="220"/>
        <v>0.17785234899328858</v>
      </c>
      <c r="AJ246" s="50"/>
      <c r="AK246" s="10"/>
      <c r="AL246" s="23">
        <f t="shared" si="221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22"/>
        <v>7.1753635399369039E-3</v>
      </c>
      <c r="AS246" s="25"/>
      <c r="AT246" s="25"/>
      <c r="AU246" s="24"/>
      <c r="AV246" s="298">
        <f t="shared" si="223"/>
        <v>0.59466787591112591</v>
      </c>
      <c r="AW246" s="298"/>
      <c r="AX246" s="24">
        <f t="shared" si="224"/>
        <v>28053.607594936708</v>
      </c>
      <c r="AY246" s="308"/>
      <c r="AZ246" s="10"/>
      <c r="BA246" s="65">
        <f t="shared" si="225"/>
        <v>1321988</v>
      </c>
      <c r="BB246" s="66"/>
      <c r="BC246" s="66">
        <v>161917567</v>
      </c>
      <c r="BD246" s="66"/>
      <c r="BE246" s="66">
        <f t="shared" si="226"/>
        <v>142906</v>
      </c>
      <c r="BF246" s="66"/>
      <c r="BG246" s="144">
        <f t="shared" si="227"/>
        <v>0.10809931708911125</v>
      </c>
      <c r="BH246" s="66"/>
      <c r="BI246" s="170"/>
      <c r="BJ246" s="66"/>
      <c r="BK246" s="66">
        <f t="shared" si="228"/>
        <v>9867153</v>
      </c>
      <c r="BL246" s="66"/>
      <c r="BM246" s="144">
        <f t="shared" si="229"/>
        <v>8.9410187518121992E-2</v>
      </c>
      <c r="BN246" s="65">
        <f t="shared" si="230"/>
        <v>683196.48523206753</v>
      </c>
      <c r="BO246" s="66"/>
      <c r="BP246" s="66">
        <f t="shared" si="231"/>
        <v>10273557</v>
      </c>
      <c r="BQ246" s="66"/>
      <c r="BR246" s="435">
        <f t="shared" si="232"/>
        <v>6.3449304422910455E-2</v>
      </c>
      <c r="BS246" s="66"/>
      <c r="BT246" s="75"/>
      <c r="BU246" s="170"/>
      <c r="BV246" s="1"/>
      <c r="BW246" s="61">
        <f t="shared" si="189"/>
        <v>237</v>
      </c>
    </row>
    <row r="247" spans="2:75" x14ac:dyDescent="0.3">
      <c r="B247" s="158">
        <f t="shared" si="163"/>
        <v>44147</v>
      </c>
      <c r="C247" s="61"/>
      <c r="D247" s="17">
        <v>161541</v>
      </c>
      <c r="E247" s="16"/>
      <c r="F247" s="16"/>
      <c r="G247" s="16"/>
      <c r="H247" s="16">
        <f t="shared" si="212"/>
        <v>11342076</v>
      </c>
      <c r="I247" s="16"/>
      <c r="J247" s="436">
        <f t="shared" si="213"/>
        <v>1.4448414141183762E-2</v>
      </c>
      <c r="K247" s="16"/>
      <c r="L247" s="16"/>
      <c r="M247" s="16"/>
      <c r="N247" s="16">
        <f t="shared" si="233"/>
        <v>925446</v>
      </c>
      <c r="O247" s="16">
        <f t="shared" si="214"/>
        <v>47655.781512605041</v>
      </c>
      <c r="P247" s="41"/>
      <c r="Q247" s="17">
        <f t="shared" si="234"/>
        <v>925446</v>
      </c>
      <c r="R247" s="16"/>
      <c r="S247" s="60">
        <f t="shared" si="235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5"/>
        <v>250555</v>
      </c>
      <c r="AB247" s="33"/>
      <c r="AC247" s="46">
        <f t="shared" si="216"/>
        <v>2.2090753050852417E-2</v>
      </c>
      <c r="AD247" s="33"/>
      <c r="AE247" s="33">
        <f t="shared" si="217"/>
        <v>1052.7521008403362</v>
      </c>
      <c r="AF247" s="50"/>
      <c r="AG247" s="33">
        <f t="shared" si="218"/>
        <v>7434</v>
      </c>
      <c r="AH247" s="33">
        <f t="shared" si="219"/>
        <v>1183105207.060914</v>
      </c>
      <c r="AI247" s="213">
        <f t="shared" si="220"/>
        <v>0.17292521300094668</v>
      </c>
      <c r="AJ247" s="50"/>
      <c r="AK247" s="10"/>
      <c r="AL247" s="23">
        <f t="shared" si="221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22"/>
        <v>1.1944431283986881E-2</v>
      </c>
      <c r="AS247" s="25"/>
      <c r="AT247" s="25"/>
      <c r="AU247" s="24"/>
      <c r="AV247" s="298">
        <f t="shared" si="223"/>
        <v>0.59320004556485073</v>
      </c>
      <c r="AW247" s="298"/>
      <c r="AX247" s="24">
        <f t="shared" si="224"/>
        <v>28269.411764705881</v>
      </c>
      <c r="AY247" s="308"/>
      <c r="AZ247" s="10"/>
      <c r="BA247" s="65">
        <f t="shared" si="225"/>
        <v>1537138</v>
      </c>
      <c r="BB247" s="66"/>
      <c r="BC247" s="66">
        <v>163454705</v>
      </c>
      <c r="BD247" s="66"/>
      <c r="BE247" s="66">
        <f t="shared" si="226"/>
        <v>161541</v>
      </c>
      <c r="BF247" s="66"/>
      <c r="BG247" s="144">
        <f t="shared" si="227"/>
        <v>0.10509206069982005</v>
      </c>
      <c r="BH247" s="66"/>
      <c r="BI247" s="170"/>
      <c r="BJ247" s="66"/>
      <c r="BK247" s="66">
        <f t="shared" si="228"/>
        <v>9859884</v>
      </c>
      <c r="BL247" s="66"/>
      <c r="BM247" s="144">
        <f t="shared" si="229"/>
        <v>9.3859724921713072E-2</v>
      </c>
      <c r="BN247" s="65">
        <f t="shared" si="230"/>
        <v>686784.47478991596</v>
      </c>
      <c r="BO247" s="66"/>
      <c r="BP247" s="66">
        <f t="shared" si="231"/>
        <v>10435098</v>
      </c>
      <c r="BQ247" s="66"/>
      <c r="BR247" s="435">
        <f t="shared" si="232"/>
        <v>6.3840915438928475E-2</v>
      </c>
      <c r="BS247" s="66"/>
      <c r="BT247" s="75"/>
      <c r="BU247" s="170"/>
      <c r="BV247" s="1"/>
      <c r="BW247" s="61">
        <f t="shared" si="189"/>
        <v>238</v>
      </c>
    </row>
    <row r="248" spans="2:75" x14ac:dyDescent="0.3">
      <c r="B248" s="158">
        <f t="shared" si="163"/>
        <v>44148</v>
      </c>
      <c r="C248" s="61"/>
      <c r="D248" s="17">
        <v>183527</v>
      </c>
      <c r="E248" s="16"/>
      <c r="F248" s="16"/>
      <c r="G248" s="16"/>
      <c r="H248" s="16">
        <f t="shared" si="212"/>
        <v>11525603</v>
      </c>
      <c r="I248" s="16"/>
      <c r="J248" s="436">
        <f t="shared" si="213"/>
        <v>1.6181076550712586E-2</v>
      </c>
      <c r="K248" s="16"/>
      <c r="L248" s="16"/>
      <c r="M248" s="16"/>
      <c r="N248" s="16">
        <f t="shared" si="233"/>
        <v>976432</v>
      </c>
      <c r="O248" s="16">
        <f t="shared" si="214"/>
        <v>48224.280334728035</v>
      </c>
      <c r="P248" s="41"/>
      <c r="Q248" s="17">
        <f t="shared" si="234"/>
        <v>976432</v>
      </c>
      <c r="R248" s="16"/>
      <c r="S248" s="60">
        <f t="shared" si="235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5"/>
        <v>251950</v>
      </c>
      <c r="AB248" s="33"/>
      <c r="AC248" s="46">
        <f t="shared" si="216"/>
        <v>2.1860027627187924E-2</v>
      </c>
      <c r="AD248" s="33"/>
      <c r="AE248" s="33">
        <f t="shared" si="217"/>
        <v>1054.18410041841</v>
      </c>
      <c r="AF248" s="50"/>
      <c r="AG248" s="33">
        <f t="shared" si="218"/>
        <v>7585</v>
      </c>
      <c r="AH248" s="33">
        <f t="shared" si="219"/>
        <v>1183045514.060914</v>
      </c>
      <c r="AI248" s="213">
        <f t="shared" si="220"/>
        <v>0.1502881407340006</v>
      </c>
      <c r="AJ248" s="50"/>
      <c r="AK248" s="10"/>
      <c r="AL248" s="23">
        <f t="shared" si="221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22"/>
        <v>9.0702900661700451E-3</v>
      </c>
      <c r="AS248" s="25"/>
      <c r="AT248" s="25"/>
      <c r="AU248" s="24"/>
      <c r="AV248" s="298">
        <f t="shared" si="223"/>
        <v>0.58904909357020196</v>
      </c>
      <c r="AW248" s="298"/>
      <c r="AX248" s="24">
        <f t="shared" si="224"/>
        <v>28406.468619246862</v>
      </c>
      <c r="AY248" s="308"/>
      <c r="AZ248" s="10"/>
      <c r="BA248" s="65">
        <f t="shared" si="225"/>
        <v>1687033</v>
      </c>
      <c r="BB248" s="66"/>
      <c r="BC248" s="66">
        <v>165141738</v>
      </c>
      <c r="BD248" s="66"/>
      <c r="BE248" s="66">
        <f t="shared" si="226"/>
        <v>183527</v>
      </c>
      <c r="BF248" s="66"/>
      <c r="BG248" s="144">
        <f t="shared" si="227"/>
        <v>0.10878684649322212</v>
      </c>
      <c r="BH248" s="66"/>
      <c r="BI248" s="170"/>
      <c r="BJ248" s="66"/>
      <c r="BK248" s="66">
        <f t="shared" si="228"/>
        <v>10121786</v>
      </c>
      <c r="BL248" s="66"/>
      <c r="BM248" s="144">
        <f t="shared" si="229"/>
        <v>9.6468350546039999E-2</v>
      </c>
      <c r="BN248" s="65">
        <f t="shared" si="230"/>
        <v>690969.61506276147</v>
      </c>
      <c r="BO248" s="66"/>
      <c r="BP248" s="66">
        <f t="shared" si="231"/>
        <v>10618625</v>
      </c>
      <c r="BQ248" s="66"/>
      <c r="BR248" s="435">
        <f t="shared" si="232"/>
        <v>6.4300068102710661E-2</v>
      </c>
      <c r="BS248" s="66"/>
      <c r="BT248" s="75"/>
      <c r="BU248" s="170"/>
      <c r="BV248" s="1"/>
      <c r="BW248" s="61">
        <f t="shared" si="189"/>
        <v>239</v>
      </c>
    </row>
    <row r="249" spans="2:75" x14ac:dyDescent="0.3">
      <c r="B249" s="158">
        <f t="shared" si="163"/>
        <v>44149</v>
      </c>
      <c r="C249" s="61"/>
      <c r="D249" s="17">
        <v>157253</v>
      </c>
      <c r="E249" s="16"/>
      <c r="F249" s="16"/>
      <c r="G249" s="16"/>
      <c r="H249" s="16">
        <f t="shared" si="212"/>
        <v>11682856</v>
      </c>
      <c r="I249" s="16"/>
      <c r="J249" s="436">
        <f t="shared" si="213"/>
        <v>1.3643798072864387E-2</v>
      </c>
      <c r="K249" s="16"/>
      <c r="L249" s="16"/>
      <c r="M249" s="16"/>
      <c r="N249" s="16">
        <f t="shared" si="233"/>
        <v>1009295</v>
      </c>
      <c r="O249" s="16">
        <f t="shared" si="214"/>
        <v>48678.566666666666</v>
      </c>
      <c r="P249" s="41"/>
      <c r="Q249" s="17">
        <f t="shared" si="234"/>
        <v>1009295</v>
      </c>
      <c r="R249" s="16"/>
      <c r="S249" s="60">
        <f t="shared" si="235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5"/>
        <v>253210</v>
      </c>
      <c r="AB249" s="33"/>
      <c r="AC249" s="46">
        <f t="shared" si="216"/>
        <v>2.167363870615199E-2</v>
      </c>
      <c r="AD249" s="33"/>
      <c r="AE249" s="33">
        <f t="shared" si="217"/>
        <v>1055.0416666666667</v>
      </c>
      <c r="AF249" s="50"/>
      <c r="AG249" s="33">
        <f t="shared" si="218"/>
        <v>7814</v>
      </c>
      <c r="AH249" s="33">
        <f t="shared" si="219"/>
        <v>1182979385.060914</v>
      </c>
      <c r="AI249" s="213">
        <f t="shared" si="220"/>
        <v>0.1643570257785725</v>
      </c>
      <c r="AJ249" s="50"/>
      <c r="AK249" s="10"/>
      <c r="AL249" s="23">
        <f t="shared" si="221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22"/>
        <v>1.5007042122823696E-2</v>
      </c>
      <c r="AS249" s="25"/>
      <c r="AT249" s="25"/>
      <c r="AU249" s="24"/>
      <c r="AV249" s="298">
        <f t="shared" si="223"/>
        <v>0.58984130250342892</v>
      </c>
      <c r="AW249" s="298"/>
      <c r="AX249" s="24">
        <f t="shared" si="224"/>
        <v>28712.629166666666</v>
      </c>
      <c r="AY249" s="308"/>
      <c r="AZ249" s="10"/>
      <c r="BA249" s="65">
        <f t="shared" si="225"/>
        <v>1609746</v>
      </c>
      <c r="BB249" s="66"/>
      <c r="BC249" s="66">
        <v>166751484</v>
      </c>
      <c r="BD249" s="66"/>
      <c r="BE249" s="66">
        <f t="shared" si="226"/>
        <v>157253</v>
      </c>
      <c r="BF249" s="66"/>
      <c r="BG249" s="144">
        <f t="shared" si="227"/>
        <v>9.7688082467668816E-2</v>
      </c>
      <c r="BH249" s="66"/>
      <c r="BI249" s="170"/>
      <c r="BJ249" s="66"/>
      <c r="BK249" s="66">
        <f t="shared" si="228"/>
        <v>10196558</v>
      </c>
      <c r="BL249" s="66"/>
      <c r="BM249" s="144">
        <f t="shared" si="229"/>
        <v>9.8983892407614418E-2</v>
      </c>
      <c r="BN249" s="65">
        <f t="shared" si="230"/>
        <v>694797.85</v>
      </c>
      <c r="BO249" s="66"/>
      <c r="BP249" s="66">
        <f t="shared" si="231"/>
        <v>10775878</v>
      </c>
      <c r="BQ249" s="66"/>
      <c r="BR249" s="435">
        <f t="shared" si="232"/>
        <v>6.46223814116101E-2</v>
      </c>
      <c r="BS249" s="66"/>
      <c r="BT249" s="75"/>
      <c r="BU249" s="170"/>
      <c r="BV249" s="1"/>
      <c r="BW249" s="61">
        <f t="shared" si="189"/>
        <v>240</v>
      </c>
    </row>
    <row r="250" spans="2:75" x14ac:dyDescent="0.3">
      <c r="B250" s="347">
        <f t="shared" si="163"/>
        <v>44150</v>
      </c>
      <c r="C250" s="61"/>
      <c r="D250" s="17">
        <v>138249</v>
      </c>
      <c r="E250" s="16"/>
      <c r="F250" s="16"/>
      <c r="G250" s="16"/>
      <c r="H250" s="16">
        <f t="shared" si="212"/>
        <v>11821105</v>
      </c>
      <c r="I250" s="16"/>
      <c r="J250" s="436">
        <f t="shared" si="213"/>
        <v>1.1833493453997892E-2</v>
      </c>
      <c r="K250" s="16"/>
      <c r="L250" s="16"/>
      <c r="M250" s="16"/>
      <c r="N250" s="16">
        <f t="shared" si="233"/>
        <v>1044818</v>
      </c>
      <c r="O250" s="16">
        <f t="shared" si="214"/>
        <v>49050.228215767638</v>
      </c>
      <c r="P250" s="41"/>
      <c r="Q250" s="17">
        <f t="shared" si="234"/>
        <v>1044818</v>
      </c>
      <c r="R250" s="16"/>
      <c r="S250" s="60">
        <f t="shared" si="235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5"/>
        <v>253789</v>
      </c>
      <c r="AB250" s="33"/>
      <c r="AC250" s="46">
        <f t="shared" si="216"/>
        <v>2.1469143536073827E-2</v>
      </c>
      <c r="AD250" s="33"/>
      <c r="AE250" s="33">
        <f t="shared" si="217"/>
        <v>1053.0663900414938</v>
      </c>
      <c r="AF250" s="50"/>
      <c r="AG250" s="33">
        <f t="shared" si="218"/>
        <v>7881</v>
      </c>
      <c r="AH250" s="33">
        <f t="shared" si="219"/>
        <v>1182907698.060914</v>
      </c>
      <c r="AI250" s="213">
        <f t="shared" si="220"/>
        <v>0.15489449003517</v>
      </c>
      <c r="AJ250" s="50"/>
      <c r="AK250" s="348"/>
      <c r="AL250" s="23">
        <f t="shared" si="221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22"/>
        <v>6.4720358970958049E-3</v>
      </c>
      <c r="AS250" s="25"/>
      <c r="AT250" s="25"/>
      <c r="AU250" s="24"/>
      <c r="AV250" s="298">
        <f t="shared" si="223"/>
        <v>0.58671587808415537</v>
      </c>
      <c r="AW250" s="298"/>
      <c r="AX250" s="24">
        <f t="shared" si="224"/>
        <v>28778.547717842324</v>
      </c>
      <c r="AY250" s="308"/>
      <c r="AZ250" s="10"/>
      <c r="BA250" s="65">
        <f t="shared" si="225"/>
        <v>1404360</v>
      </c>
      <c r="BB250" s="66"/>
      <c r="BC250" s="66">
        <v>168155844</v>
      </c>
      <c r="BD250" s="66"/>
      <c r="BE250" s="66">
        <f t="shared" si="226"/>
        <v>138249</v>
      </c>
      <c r="BF250" s="66"/>
      <c r="BG250" s="144">
        <f t="shared" si="227"/>
        <v>9.8442706998205592E-2</v>
      </c>
      <c r="BH250" s="66"/>
      <c r="BI250" s="170"/>
      <c r="BJ250" s="66"/>
      <c r="BK250" s="66">
        <f t="shared" si="228"/>
        <v>10552987</v>
      </c>
      <c r="BL250" s="66"/>
      <c r="BM250" s="144">
        <f t="shared" si="229"/>
        <v>9.9006849908940472E-2</v>
      </c>
      <c r="BN250" s="65">
        <f t="shared" si="230"/>
        <v>697742.09128630708</v>
      </c>
      <c r="BO250" s="66"/>
      <c r="BP250" s="66">
        <f t="shared" si="231"/>
        <v>10914127</v>
      </c>
      <c r="BQ250" s="66"/>
      <c r="BR250" s="435">
        <f t="shared" si="232"/>
        <v>6.4904833161790076E-2</v>
      </c>
      <c r="BS250" s="66"/>
      <c r="BT250" s="75"/>
      <c r="BU250" s="170"/>
      <c r="BV250" s="1"/>
      <c r="BW250" s="61">
        <f t="shared" si="189"/>
        <v>241</v>
      </c>
    </row>
    <row r="251" spans="2:75" x14ac:dyDescent="0.3">
      <c r="B251" s="158">
        <f t="shared" si="163"/>
        <v>44151</v>
      </c>
      <c r="C251" s="61"/>
      <c r="D251" s="17">
        <v>162149</v>
      </c>
      <c r="E251" s="16"/>
      <c r="F251" s="16"/>
      <c r="G251" s="16"/>
      <c r="H251" s="16">
        <f t="shared" si="212"/>
        <v>11983254</v>
      </c>
      <c r="I251" s="16"/>
      <c r="J251" s="436">
        <f t="shared" si="213"/>
        <v>1.371690717576741E-2</v>
      </c>
      <c r="K251" s="16"/>
      <c r="L251" s="16"/>
      <c r="M251" s="16"/>
      <c r="N251" s="16">
        <f t="shared" si="233"/>
        <v>1081278</v>
      </c>
      <c r="O251" s="16">
        <f t="shared" si="214"/>
        <v>49517.578512396693</v>
      </c>
      <c r="P251" s="41"/>
      <c r="Q251" s="17">
        <f t="shared" si="234"/>
        <v>1081278</v>
      </c>
      <c r="R251" s="16"/>
      <c r="S251" s="60">
        <f t="shared" si="235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5"/>
        <v>254528</v>
      </c>
      <c r="AB251" s="33"/>
      <c r="AC251" s="46">
        <f t="shared" si="216"/>
        <v>2.1240307515804972E-2</v>
      </c>
      <c r="AD251" s="33"/>
      <c r="AE251" s="33">
        <f t="shared" si="217"/>
        <v>1051.7685950413222</v>
      </c>
      <c r="AF251" s="50"/>
      <c r="AG251" s="33">
        <f t="shared" si="218"/>
        <v>7979</v>
      </c>
      <c r="AH251" s="33">
        <f t="shared" si="219"/>
        <v>1182853466.060914</v>
      </c>
      <c r="AI251" s="213">
        <f t="shared" si="220"/>
        <v>0.14921503672763936</v>
      </c>
      <c r="AJ251" s="50"/>
      <c r="AK251" s="10"/>
      <c r="AL251" s="23">
        <f t="shared" si="221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22"/>
        <v>1.2064369062363477E-2</v>
      </c>
      <c r="AS251" s="25"/>
      <c r="AT251" s="25"/>
      <c r="AU251" s="24"/>
      <c r="AV251" s="298">
        <f t="shared" si="223"/>
        <v>0.58575942728077035</v>
      </c>
      <c r="AW251" s="298"/>
      <c r="AX251" s="24">
        <f t="shared" si="224"/>
        <v>29005.388429752067</v>
      </c>
      <c r="AY251" s="308"/>
      <c r="AZ251" s="10"/>
      <c r="BA251" s="65">
        <f t="shared" si="225"/>
        <v>1980160</v>
      </c>
      <c r="BB251" s="66"/>
      <c r="BC251" s="66">
        <v>170136004</v>
      </c>
      <c r="BD251" s="66"/>
      <c r="BE251" s="66">
        <f t="shared" si="226"/>
        <v>162149</v>
      </c>
      <c r="BF251" s="66"/>
      <c r="BG251" s="144">
        <f t="shared" si="227"/>
        <v>8.1886817226890757E-2</v>
      </c>
      <c r="BH251" s="66"/>
      <c r="BI251" s="170"/>
      <c r="BJ251" s="66"/>
      <c r="BK251" s="66">
        <f t="shared" si="228"/>
        <v>10851891</v>
      </c>
      <c r="BL251" s="66"/>
      <c r="BM251" s="144">
        <f t="shared" si="229"/>
        <v>9.9639592767748961E-2</v>
      </c>
      <c r="BN251" s="65">
        <f t="shared" si="230"/>
        <v>703041.33884297521</v>
      </c>
      <c r="BO251" s="66"/>
      <c r="BP251" s="66">
        <f t="shared" si="231"/>
        <v>11076276</v>
      </c>
      <c r="BQ251" s="66"/>
      <c r="BR251" s="435">
        <f t="shared" si="232"/>
        <v>6.5102481189107983E-2</v>
      </c>
      <c r="BS251" s="66"/>
      <c r="BT251" s="75"/>
      <c r="BU251" s="170"/>
      <c r="BV251" s="1"/>
      <c r="BW251" s="61">
        <f t="shared" si="189"/>
        <v>242</v>
      </c>
    </row>
    <row r="252" spans="2:75" x14ac:dyDescent="0.3">
      <c r="B252" s="158">
        <f t="shared" si="163"/>
        <v>44152</v>
      </c>
      <c r="C252" s="61"/>
      <c r="D252" s="17">
        <v>157261</v>
      </c>
      <c r="E252" s="16"/>
      <c r="F252" s="16"/>
      <c r="G252" s="16"/>
      <c r="H252" s="16">
        <f t="shared" si="212"/>
        <v>12140515</v>
      </c>
      <c r="I252" s="16"/>
      <c r="J252" s="436">
        <f t="shared" si="213"/>
        <v>1.3123397033894132E-2</v>
      </c>
      <c r="K252" s="16"/>
      <c r="L252" s="16"/>
      <c r="M252" s="16"/>
      <c r="N252" s="16">
        <f t="shared" si="233"/>
        <v>1102886</v>
      </c>
      <c r="O252" s="16">
        <f t="shared" si="214"/>
        <v>49960.9670781893</v>
      </c>
      <c r="P252" s="41"/>
      <c r="Q252" s="17">
        <f t="shared" si="234"/>
        <v>1102886</v>
      </c>
      <c r="R252" s="16"/>
      <c r="S252" s="60">
        <f t="shared" si="235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5"/>
        <v>256143</v>
      </c>
      <c r="AB252" s="33"/>
      <c r="AC252" s="46">
        <f t="shared" si="216"/>
        <v>2.1098198882007889E-2</v>
      </c>
      <c r="AD252" s="33"/>
      <c r="AE252" s="33">
        <f t="shared" si="217"/>
        <v>1054.0864197530864</v>
      </c>
      <c r="AF252" s="50"/>
      <c r="AG252" s="33">
        <f t="shared" si="218"/>
        <v>8248</v>
      </c>
      <c r="AH252" s="33">
        <f t="shared" si="219"/>
        <v>1182808525.060914</v>
      </c>
      <c r="AI252" s="213">
        <f t="shared" si="220"/>
        <v>0.16136299633905943</v>
      </c>
      <c r="AJ252" s="50"/>
      <c r="AK252" s="10"/>
      <c r="AL252" s="23">
        <f t="shared" si="221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22"/>
        <v>9.7576625830709147E-3</v>
      </c>
      <c r="AS252" s="25"/>
      <c r="AT252" s="25"/>
      <c r="AU252" s="24"/>
      <c r="AV252" s="298">
        <f t="shared" si="223"/>
        <v>0.58381345437158139</v>
      </c>
      <c r="AW252" s="298"/>
      <c r="AX252" s="24">
        <f t="shared" si="224"/>
        <v>29167.88477366255</v>
      </c>
      <c r="AY252" s="308"/>
      <c r="AZ252" s="10"/>
      <c r="BA252" s="65">
        <f t="shared" si="225"/>
        <v>1555687</v>
      </c>
      <c r="BB252" s="66"/>
      <c r="BC252" s="66">
        <v>171691691</v>
      </c>
      <c r="BD252" s="66"/>
      <c r="BE252" s="66">
        <f t="shared" si="226"/>
        <v>157261</v>
      </c>
      <c r="BF252" s="66"/>
      <c r="BG252" s="144">
        <f t="shared" si="227"/>
        <v>0.10108781522247084</v>
      </c>
      <c r="BH252" s="66"/>
      <c r="BI252" s="170"/>
      <c r="BJ252" s="66"/>
      <c r="BK252" s="66">
        <f t="shared" si="228"/>
        <v>11096112</v>
      </c>
      <c r="BL252" s="66"/>
      <c r="BM252" s="144">
        <f t="shared" si="229"/>
        <v>9.9393913832160313E-2</v>
      </c>
      <c r="BN252" s="65">
        <f t="shared" si="230"/>
        <v>706550.16872427985</v>
      </c>
      <c r="BO252" s="66"/>
      <c r="BP252" s="66">
        <f t="shared" si="231"/>
        <v>11233537</v>
      </c>
      <c r="BQ252" s="66"/>
      <c r="BR252" s="435">
        <f t="shared" si="232"/>
        <v>6.5428541908880145E-2</v>
      </c>
      <c r="BS252" s="66"/>
      <c r="BT252" s="75"/>
      <c r="BU252" s="170"/>
      <c r="BV252" s="1"/>
      <c r="BW252" s="61">
        <f t="shared" si="189"/>
        <v>243</v>
      </c>
    </row>
    <row r="253" spans="2:75" x14ac:dyDescent="0.3">
      <c r="B253" s="158">
        <f t="shared" si="163"/>
        <v>44153</v>
      </c>
      <c r="C253" s="61"/>
      <c r="D253" s="17">
        <v>173768</v>
      </c>
      <c r="E253" s="16"/>
      <c r="F253" s="16"/>
      <c r="G253" s="16"/>
      <c r="H253" s="16">
        <f t="shared" si="212"/>
        <v>12314283</v>
      </c>
      <c r="I253" s="16"/>
      <c r="J253" s="436">
        <f t="shared" si="213"/>
        <v>1.4313066620320473E-2</v>
      </c>
      <c r="K253" s="16"/>
      <c r="L253" s="16"/>
      <c r="M253" s="16"/>
      <c r="N253" s="16">
        <f t="shared" si="233"/>
        <v>1133748</v>
      </c>
      <c r="O253" s="16">
        <f t="shared" si="214"/>
        <v>50468.37295081967</v>
      </c>
      <c r="P253" s="41"/>
      <c r="Q253" s="17">
        <f t="shared" si="234"/>
        <v>1133748</v>
      </c>
      <c r="R253" s="16"/>
      <c r="S253" s="60">
        <f t="shared" si="235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5"/>
        <v>258107</v>
      </c>
      <c r="AB253" s="33"/>
      <c r="AC253" s="46">
        <f t="shared" si="216"/>
        <v>2.0959969817162721E-2</v>
      </c>
      <c r="AD253" s="33"/>
      <c r="AE253" s="33">
        <f t="shared" si="217"/>
        <v>1057.8155737704917</v>
      </c>
      <c r="AF253" s="50"/>
      <c r="AG253" s="33">
        <f t="shared" si="218"/>
        <v>8742</v>
      </c>
      <c r="AH253" s="33">
        <f t="shared" si="219"/>
        <v>1182751198.060914</v>
      </c>
      <c r="AI253" s="213">
        <f t="shared" si="220"/>
        <v>0.185999185999186</v>
      </c>
      <c r="AJ253" s="50"/>
      <c r="AK253" s="10"/>
      <c r="AL253" s="23">
        <f t="shared" si="221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22"/>
        <v>1.583002671070104E-2</v>
      </c>
      <c r="AS253" s="25"/>
      <c r="AT253" s="25"/>
      <c r="AU253" s="24"/>
      <c r="AV253" s="298">
        <f t="shared" si="223"/>
        <v>0.58468657899124132</v>
      </c>
      <c r="AW253" s="298"/>
      <c r="AX253" s="24">
        <f t="shared" si="224"/>
        <v>29508.180327868853</v>
      </c>
      <c r="AY253" s="308"/>
      <c r="AZ253" s="10"/>
      <c r="BA253" s="65">
        <f t="shared" si="225"/>
        <v>1544138</v>
      </c>
      <c r="BB253" s="66"/>
      <c r="BC253" s="66">
        <v>173235829</v>
      </c>
      <c r="BD253" s="66"/>
      <c r="BE253" s="66">
        <f t="shared" si="226"/>
        <v>173768</v>
      </c>
      <c r="BF253" s="66"/>
      <c r="BG253" s="144">
        <f t="shared" si="227"/>
        <v>0.11253398336159073</v>
      </c>
      <c r="BH253" s="66"/>
      <c r="BI253" s="170"/>
      <c r="BJ253" s="66"/>
      <c r="BK253" s="66">
        <f t="shared" si="228"/>
        <v>11318262</v>
      </c>
      <c r="BL253" s="66"/>
      <c r="BM253" s="144">
        <f t="shared" si="229"/>
        <v>0.10016979638746655</v>
      </c>
      <c r="BN253" s="65">
        <f t="shared" si="230"/>
        <v>709982.90573770495</v>
      </c>
      <c r="BO253" s="66"/>
      <c r="BP253" s="66">
        <f t="shared" si="231"/>
        <v>11407305</v>
      </c>
      <c r="BQ253" s="66"/>
      <c r="BR253" s="435">
        <f t="shared" si="232"/>
        <v>6.5848416380424393E-2</v>
      </c>
      <c r="BS253" s="66"/>
      <c r="BT253" s="75"/>
      <c r="BU253" s="170"/>
      <c r="BV253" s="1"/>
      <c r="BW253" s="61">
        <f t="shared" si="189"/>
        <v>244</v>
      </c>
    </row>
    <row r="254" spans="2:75" x14ac:dyDescent="0.3">
      <c r="B254" s="158">
        <f t="shared" si="163"/>
        <v>44154</v>
      </c>
      <c r="C254" s="61"/>
      <c r="D254" s="17">
        <v>192186</v>
      </c>
      <c r="E254" s="16"/>
      <c r="F254" s="16"/>
      <c r="G254" s="16"/>
      <c r="H254" s="16">
        <f t="shared" si="212"/>
        <v>12506469</v>
      </c>
      <c r="I254" s="16"/>
      <c r="J254" s="436">
        <f t="shared" si="213"/>
        <v>1.5606755180143253E-2</v>
      </c>
      <c r="K254" s="16"/>
      <c r="L254" s="16"/>
      <c r="M254" s="16"/>
      <c r="N254" s="16">
        <f t="shared" si="233"/>
        <v>1164393</v>
      </c>
      <c r="O254" s="16">
        <f t="shared" si="214"/>
        <v>51046.812244897956</v>
      </c>
      <c r="P254" s="41"/>
      <c r="Q254" s="17">
        <f t="shared" si="234"/>
        <v>1164393</v>
      </c>
      <c r="R254" s="16"/>
      <c r="S254" s="60">
        <f t="shared" si="235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5"/>
        <v>260172</v>
      </c>
      <c r="AB254" s="33"/>
      <c r="AC254" s="46">
        <f t="shared" si="216"/>
        <v>2.0802994034527251E-2</v>
      </c>
      <c r="AD254" s="33"/>
      <c r="AE254" s="33">
        <f t="shared" si="217"/>
        <v>1061.926530612245</v>
      </c>
      <c r="AF254" s="50"/>
      <c r="AG254" s="33">
        <f t="shared" si="218"/>
        <v>9617</v>
      </c>
      <c r="AH254" s="33">
        <f t="shared" si="219"/>
        <v>1182689126.060914</v>
      </c>
      <c r="AI254" s="213">
        <f t="shared" si="220"/>
        <v>0.29365079365079366</v>
      </c>
      <c r="AJ254" s="50"/>
      <c r="AK254" s="10"/>
      <c r="AL254" s="23">
        <f t="shared" si="221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22"/>
        <v>6.0405589114216176E-3</v>
      </c>
      <c r="AS254" s="25"/>
      <c r="AT254" s="25"/>
      <c r="AU254" s="24"/>
      <c r="AV254" s="298">
        <f t="shared" si="223"/>
        <v>0.57917930312704569</v>
      </c>
      <c r="AW254" s="298"/>
      <c r="AX254" s="24">
        <f t="shared" si="224"/>
        <v>29565.257142857143</v>
      </c>
      <c r="AY254" s="308"/>
      <c r="AZ254" s="10"/>
      <c r="BA254" s="65">
        <f t="shared" si="225"/>
        <v>1748416</v>
      </c>
      <c r="BB254" s="66"/>
      <c r="BC254" s="66">
        <v>174984245</v>
      </c>
      <c r="BD254" s="66"/>
      <c r="BE254" s="66">
        <f t="shared" si="226"/>
        <v>192186</v>
      </c>
      <c r="BF254" s="66"/>
      <c r="BG254" s="144">
        <f t="shared" si="227"/>
        <v>0.10992006479007284</v>
      </c>
      <c r="BH254" s="66"/>
      <c r="BI254" s="170"/>
      <c r="BJ254" s="66"/>
      <c r="BK254" s="66">
        <f t="shared" si="228"/>
        <v>11529540</v>
      </c>
      <c r="BL254" s="66"/>
      <c r="BM254" s="144">
        <f t="shared" si="229"/>
        <v>0.10099214712815949</v>
      </c>
      <c r="BN254" s="65">
        <f t="shared" si="230"/>
        <v>714221.40816326533</v>
      </c>
      <c r="BO254" s="66"/>
      <c r="BP254" s="66">
        <f t="shared" si="231"/>
        <v>11599491</v>
      </c>
      <c r="BQ254" s="66"/>
      <c r="BR254" s="435">
        <f t="shared" si="232"/>
        <v>6.6288773597874481E-2</v>
      </c>
      <c r="BS254" s="66"/>
      <c r="BT254" s="75"/>
      <c r="BU254" s="170"/>
      <c r="BV254" s="1"/>
      <c r="BW254" s="61">
        <f t="shared" si="189"/>
        <v>245</v>
      </c>
    </row>
    <row r="255" spans="2:75" x14ac:dyDescent="0.3">
      <c r="B255" s="158">
        <f t="shared" si="163"/>
        <v>44155</v>
      </c>
      <c r="C255" s="61"/>
      <c r="D255" s="17">
        <v>204179</v>
      </c>
      <c r="E255" s="16"/>
      <c r="F255" s="16"/>
      <c r="G255" s="16"/>
      <c r="H255" s="16">
        <f t="shared" si="212"/>
        <v>12710648</v>
      </c>
      <c r="I255" s="16"/>
      <c r="J255" s="436">
        <f t="shared" si="213"/>
        <v>1.6325871035221852E-2</v>
      </c>
      <c r="K255" s="16"/>
      <c r="L255" s="16"/>
      <c r="M255" s="16"/>
      <c r="N255" s="16">
        <f t="shared" si="233"/>
        <v>1185045</v>
      </c>
      <c r="O255" s="16">
        <f t="shared" si="214"/>
        <v>51669.300813008129</v>
      </c>
      <c r="P255" s="41"/>
      <c r="Q255" s="17">
        <f t="shared" si="234"/>
        <v>1185045</v>
      </c>
      <c r="R255" s="16"/>
      <c r="S255" s="60">
        <f t="shared" si="235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5"/>
        <v>262170</v>
      </c>
      <c r="AB255" s="33"/>
      <c r="AC255" s="46">
        <f t="shared" si="216"/>
        <v>2.0626013717003257E-2</v>
      </c>
      <c r="AD255" s="33"/>
      <c r="AE255" s="33">
        <f t="shared" si="217"/>
        <v>1065.7317073170732</v>
      </c>
      <c r="AF255" s="50"/>
      <c r="AG255" s="33">
        <f t="shared" si="218"/>
        <v>10220</v>
      </c>
      <c r="AH255" s="33">
        <f t="shared" si="219"/>
        <v>1182625463.060914</v>
      </c>
      <c r="AI255" s="213">
        <f t="shared" si="220"/>
        <v>0.34739617666446937</v>
      </c>
      <c r="AJ255" s="50"/>
      <c r="AK255" s="10"/>
      <c r="AL255" s="23">
        <f t="shared" si="221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22"/>
        <v>1.0156985143069196E-2</v>
      </c>
      <c r="AS255" s="25"/>
      <c r="AT255" s="25"/>
      <c r="AU255" s="24"/>
      <c r="AV255" s="298">
        <f t="shared" si="223"/>
        <v>0.57566380565333886</v>
      </c>
      <c r="AW255" s="298"/>
      <c r="AX255" s="24">
        <f t="shared" si="224"/>
        <v>29744.146341463416</v>
      </c>
      <c r="AY255" s="308"/>
      <c r="AZ255" s="10"/>
      <c r="BA255" s="65">
        <f t="shared" si="225"/>
        <v>2172596</v>
      </c>
      <c r="BB255" s="66"/>
      <c r="BC255" s="66">
        <v>177156841</v>
      </c>
      <c r="BD255" s="66"/>
      <c r="BE255" s="66">
        <f t="shared" si="226"/>
        <v>204179</v>
      </c>
      <c r="BF255" s="66"/>
      <c r="BG255" s="144">
        <f t="shared" si="227"/>
        <v>9.3979276404817097E-2</v>
      </c>
      <c r="BH255" s="66"/>
      <c r="BI255" s="170"/>
      <c r="BJ255" s="66"/>
      <c r="BK255" s="66">
        <f t="shared" si="228"/>
        <v>12015103</v>
      </c>
      <c r="BL255" s="66"/>
      <c r="BM255" s="144">
        <f t="shared" si="229"/>
        <v>9.8629616408615062E-2</v>
      </c>
      <c r="BN255" s="65">
        <f t="shared" si="230"/>
        <v>720149.7601626016</v>
      </c>
      <c r="BO255" s="66"/>
      <c r="BP255" s="66">
        <f t="shared" si="231"/>
        <v>11803670</v>
      </c>
      <c r="BQ255" s="66"/>
      <c r="BR255" s="435">
        <f t="shared" si="232"/>
        <v>6.6628361249679316E-2</v>
      </c>
      <c r="BS255" s="66"/>
      <c r="BT255" s="75"/>
      <c r="BU255" s="170"/>
      <c r="BV255" s="1"/>
      <c r="BW255" s="61">
        <f t="shared" si="189"/>
        <v>246</v>
      </c>
    </row>
    <row r="256" spans="2:75" x14ac:dyDescent="0.3">
      <c r="B256" s="158">
        <f t="shared" si="163"/>
        <v>44156</v>
      </c>
      <c r="C256" s="61"/>
      <c r="D256" s="17">
        <v>172839</v>
      </c>
      <c r="E256" s="16"/>
      <c r="F256" s="16"/>
      <c r="G256" s="16"/>
      <c r="H256" s="16">
        <f t="shared" si="212"/>
        <v>12883487</v>
      </c>
      <c r="I256" s="16"/>
      <c r="J256" s="436">
        <f t="shared" si="213"/>
        <v>1.3597969198737941E-2</v>
      </c>
      <c r="K256" s="16"/>
      <c r="L256" s="16"/>
      <c r="M256" s="16"/>
      <c r="N256" s="16">
        <f t="shared" si="233"/>
        <v>1200631</v>
      </c>
      <c r="O256" s="16">
        <f t="shared" si="214"/>
        <v>52159.866396761136</v>
      </c>
      <c r="P256" s="41"/>
      <c r="Q256" s="17">
        <f t="shared" si="234"/>
        <v>1200631</v>
      </c>
      <c r="R256" s="16"/>
      <c r="S256" s="60">
        <f t="shared" si="235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5"/>
        <v>263630</v>
      </c>
      <c r="AB256" s="33"/>
      <c r="AC256" s="46">
        <f t="shared" si="216"/>
        <v>2.0462627858436153E-2</v>
      </c>
      <c r="AD256" s="33"/>
      <c r="AE256" s="33">
        <f t="shared" si="217"/>
        <v>1067.3279352226721</v>
      </c>
      <c r="AF256" s="50"/>
      <c r="AG256" s="33">
        <f t="shared" si="218"/>
        <v>10420</v>
      </c>
      <c r="AH256" s="33">
        <f t="shared" si="219"/>
        <v>1182551162.060914</v>
      </c>
      <c r="AI256" s="213">
        <f t="shared" si="220"/>
        <v>0.33350396723829023</v>
      </c>
      <c r="AJ256" s="50"/>
      <c r="AK256" s="10"/>
      <c r="AL256" s="23">
        <f t="shared" si="221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22"/>
        <v>1.1860911349640429E-2</v>
      </c>
      <c r="AS256" s="25"/>
      <c r="AT256" s="25"/>
      <c r="AU256" s="24"/>
      <c r="AV256" s="298">
        <f t="shared" si="223"/>
        <v>0.57467725934756642</v>
      </c>
      <c r="AW256" s="298"/>
      <c r="AX256" s="24">
        <f t="shared" si="224"/>
        <v>29975.08906882591</v>
      </c>
      <c r="AY256" s="308"/>
      <c r="AZ256" s="10"/>
      <c r="BA256" s="65">
        <f t="shared" si="225"/>
        <v>1882866</v>
      </c>
      <c r="BB256" s="66"/>
      <c r="BC256" s="66">
        <v>179039707</v>
      </c>
      <c r="BD256" s="66"/>
      <c r="BE256" s="66">
        <f t="shared" si="226"/>
        <v>172839</v>
      </c>
      <c r="BF256" s="66"/>
      <c r="BG256" s="144">
        <f t="shared" si="227"/>
        <v>9.1795698684877206E-2</v>
      </c>
      <c r="BH256" s="66"/>
      <c r="BI256" s="170"/>
      <c r="BJ256" s="66"/>
      <c r="BK256" s="66">
        <f t="shared" si="228"/>
        <v>12288223</v>
      </c>
      <c r="BL256" s="66"/>
      <c r="BM256" s="144">
        <f t="shared" si="229"/>
        <v>9.7705827766960282E-2</v>
      </c>
      <c r="BN256" s="65">
        <f t="shared" si="230"/>
        <v>724857.11336032394</v>
      </c>
      <c r="BO256" s="66"/>
      <c r="BP256" s="66">
        <f t="shared" si="231"/>
        <v>11976509</v>
      </c>
      <c r="BQ256" s="66"/>
      <c r="BR256" s="435">
        <f t="shared" si="232"/>
        <v>6.689303283991635E-2</v>
      </c>
      <c r="BS256" s="66"/>
      <c r="BT256" s="75"/>
      <c r="BU256" s="170"/>
      <c r="BV256" s="1"/>
      <c r="BW256" s="61">
        <f t="shared" si="189"/>
        <v>247</v>
      </c>
    </row>
    <row r="257" spans="2:75" x14ac:dyDescent="0.3">
      <c r="B257" s="347">
        <f t="shared" si="163"/>
        <v>44157</v>
      </c>
      <c r="C257" s="61"/>
      <c r="D257" s="17">
        <v>136627</v>
      </c>
      <c r="E257" s="16"/>
      <c r="F257" s="16"/>
      <c r="G257" s="16"/>
      <c r="H257" s="16">
        <f t="shared" si="212"/>
        <v>13020114</v>
      </c>
      <c r="I257" s="16"/>
      <c r="J257" s="436">
        <f t="shared" si="213"/>
        <v>1.0604815295734765E-2</v>
      </c>
      <c r="K257" s="16"/>
      <c r="L257" s="16"/>
      <c r="M257" s="16"/>
      <c r="N257" s="16">
        <f t="shared" si="233"/>
        <v>1199009</v>
      </c>
      <c r="O257" s="16">
        <f t="shared" si="214"/>
        <v>52500.459677419356</v>
      </c>
      <c r="P257" s="41"/>
      <c r="Q257" s="17">
        <f t="shared" si="234"/>
        <v>1199009</v>
      </c>
      <c r="R257" s="16"/>
      <c r="S257" s="60">
        <f t="shared" si="235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5"/>
        <v>264496</v>
      </c>
      <c r="AB257" s="33"/>
      <c r="AC257" s="46">
        <f t="shared" si="216"/>
        <v>2.0314415065797425E-2</v>
      </c>
      <c r="AD257" s="33"/>
      <c r="AE257" s="33">
        <f t="shared" si="217"/>
        <v>1066.516129032258</v>
      </c>
      <c r="AF257" s="50"/>
      <c r="AG257" s="33">
        <f t="shared" si="218"/>
        <v>10707</v>
      </c>
      <c r="AH257" s="33">
        <f t="shared" si="219"/>
        <v>1182469748.060914</v>
      </c>
      <c r="AI257" s="213">
        <f t="shared" si="220"/>
        <v>0.35858393604872479</v>
      </c>
      <c r="AJ257" s="50"/>
      <c r="AK257" s="10"/>
      <c r="AL257" s="23">
        <f t="shared" si="221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22"/>
        <v>6.5767161314921824E-3</v>
      </c>
      <c r="AS257" s="25"/>
      <c r="AT257" s="25"/>
      <c r="AU257" s="24"/>
      <c r="AV257" s="298">
        <f t="shared" si="223"/>
        <v>0.57238669338839887</v>
      </c>
      <c r="AW257" s="298"/>
      <c r="AX257" s="24">
        <f t="shared" si="224"/>
        <v>30050.564516129034</v>
      </c>
      <c r="AY257" s="308"/>
      <c r="AZ257" s="10"/>
      <c r="BA257" s="65">
        <f t="shared" si="225"/>
        <v>1632877</v>
      </c>
      <c r="BB257" s="66"/>
      <c r="BC257" s="66">
        <v>180672584</v>
      </c>
      <c r="BD257" s="66"/>
      <c r="BE257" s="66">
        <f t="shared" si="226"/>
        <v>136627</v>
      </c>
      <c r="BF257" s="66"/>
      <c r="BG257" s="144">
        <f t="shared" si="227"/>
        <v>8.3672560762384426E-2</v>
      </c>
      <c r="BH257" s="66"/>
      <c r="BI257" s="170"/>
      <c r="BJ257" s="66"/>
      <c r="BK257" s="66">
        <f t="shared" si="228"/>
        <v>12516740</v>
      </c>
      <c r="BL257" s="66"/>
      <c r="BM257" s="144">
        <f t="shared" si="229"/>
        <v>9.5792434771354198E-2</v>
      </c>
      <c r="BN257" s="65">
        <f t="shared" si="230"/>
        <v>728518.48387096776</v>
      </c>
      <c r="BO257" s="66"/>
      <c r="BP257" s="66">
        <f t="shared" si="231"/>
        <v>12113136</v>
      </c>
      <c r="BQ257" s="66"/>
      <c r="BR257" s="435">
        <f t="shared" si="232"/>
        <v>6.7044682329887972E-2</v>
      </c>
      <c r="BS257" s="66"/>
      <c r="BT257" s="75"/>
      <c r="BU257" s="170"/>
      <c r="BV257" s="1"/>
      <c r="BW257" s="61">
        <f t="shared" si="189"/>
        <v>248</v>
      </c>
    </row>
    <row r="258" spans="2:75" x14ac:dyDescent="0.3">
      <c r="B258" s="158">
        <f t="shared" si="163"/>
        <v>44158</v>
      </c>
      <c r="C258" s="61"/>
      <c r="D258" s="17">
        <v>172300</v>
      </c>
      <c r="E258" s="16"/>
      <c r="F258" s="16"/>
      <c r="G258" s="16"/>
      <c r="H258" s="16">
        <f t="shared" si="212"/>
        <v>13192414</v>
      </c>
      <c r="I258" s="16"/>
      <c r="J258" s="436">
        <f t="shared" si="213"/>
        <v>1.323337107493836E-2</v>
      </c>
      <c r="K258" s="16"/>
      <c r="L258" s="16"/>
      <c r="M258" s="16"/>
      <c r="N258" s="16">
        <f t="shared" si="233"/>
        <v>1209160</v>
      </c>
      <c r="O258" s="16">
        <f t="shared" si="214"/>
        <v>52981.582329317273</v>
      </c>
      <c r="P258" s="41"/>
      <c r="Q258" s="17">
        <f t="shared" si="234"/>
        <v>1209160</v>
      </c>
      <c r="R258" s="16"/>
      <c r="S258" s="60">
        <f t="shared" si="235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5"/>
        <v>265468</v>
      </c>
      <c r="AB258" s="33"/>
      <c r="AC258" s="46">
        <f t="shared" si="216"/>
        <v>2.01227766199575E-2</v>
      </c>
      <c r="AD258" s="33"/>
      <c r="AE258" s="33">
        <f t="shared" si="217"/>
        <v>1066.136546184739</v>
      </c>
      <c r="AF258" s="50"/>
      <c r="AG258" s="33">
        <f t="shared" si="218"/>
        <v>10940</v>
      </c>
      <c r="AH258" s="33">
        <f t="shared" si="219"/>
        <v>1182390299.060914</v>
      </c>
      <c r="AI258" s="213">
        <f t="shared" si="220"/>
        <v>0.37109913522997867</v>
      </c>
      <c r="AJ258" s="50"/>
      <c r="AK258" s="10"/>
      <c r="AL258" s="23">
        <f t="shared" si="221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22"/>
        <v>1.2945116698467905E-2</v>
      </c>
      <c r="AS258" s="25"/>
      <c r="AT258" s="25"/>
      <c r="AU258" s="24"/>
      <c r="AV258" s="298">
        <f t="shared" si="223"/>
        <v>0.57222385531563824</v>
      </c>
      <c r="AW258" s="298"/>
      <c r="AX258" s="24">
        <f t="shared" si="224"/>
        <v>30317.325301204819</v>
      </c>
      <c r="AY258" s="308"/>
      <c r="AZ258" s="10"/>
      <c r="BA258" s="65">
        <f t="shared" si="225"/>
        <v>1957711</v>
      </c>
      <c r="BB258" s="66"/>
      <c r="BC258" s="66">
        <v>182630295</v>
      </c>
      <c r="BD258" s="66"/>
      <c r="BE258" s="66">
        <f t="shared" si="226"/>
        <v>172300</v>
      </c>
      <c r="BF258" s="66"/>
      <c r="BG258" s="144">
        <f t="shared" si="227"/>
        <v>8.8010947478969065E-2</v>
      </c>
      <c r="BH258" s="66"/>
      <c r="BI258" s="170"/>
      <c r="BJ258" s="66"/>
      <c r="BK258" s="66">
        <f t="shared" si="228"/>
        <v>12494291</v>
      </c>
      <c r="BL258" s="66"/>
      <c r="BM258" s="144">
        <f t="shared" si="229"/>
        <v>9.6776999991436088E-2</v>
      </c>
      <c r="BN258" s="65">
        <f t="shared" si="230"/>
        <v>733455</v>
      </c>
      <c r="BO258" s="66"/>
      <c r="BP258" s="66">
        <f t="shared" si="231"/>
        <v>12285436</v>
      </c>
      <c r="BQ258" s="66"/>
      <c r="BR258" s="435">
        <f t="shared" si="232"/>
        <v>6.7269430846618294E-2</v>
      </c>
      <c r="BS258" s="66"/>
      <c r="BT258" s="75"/>
      <c r="BU258" s="170"/>
      <c r="BV258" s="1"/>
      <c r="BW258" s="61">
        <f t="shared" si="189"/>
        <v>249</v>
      </c>
    </row>
    <row r="259" spans="2:75" x14ac:dyDescent="0.3">
      <c r="B259" s="158">
        <f t="shared" si="163"/>
        <v>44159</v>
      </c>
      <c r="C259" s="61"/>
      <c r="D259" s="17">
        <v>177082</v>
      </c>
      <c r="E259" s="16"/>
      <c r="F259" s="16"/>
      <c r="G259" s="16"/>
      <c r="H259" s="16">
        <f t="shared" si="212"/>
        <v>13369496</v>
      </c>
      <c r="I259" s="16"/>
      <c r="J259" s="436">
        <f t="shared" si="213"/>
        <v>1.3423017197610687E-2</v>
      </c>
      <c r="K259" s="16"/>
      <c r="L259" s="16"/>
      <c r="M259" s="16"/>
      <c r="N259" s="16">
        <f t="shared" si="233"/>
        <v>1228981</v>
      </c>
      <c r="O259" s="16">
        <f t="shared" si="214"/>
        <v>53477.983999999997</v>
      </c>
      <c r="P259" s="41"/>
      <c r="Q259" s="17">
        <f t="shared" si="234"/>
        <v>1228981</v>
      </c>
      <c r="R259" s="16"/>
      <c r="S259" s="60">
        <f t="shared" si="235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5"/>
        <v>267684</v>
      </c>
      <c r="AB259" s="33"/>
      <c r="AC259" s="46">
        <f t="shared" si="216"/>
        <v>2.0021996341522522E-2</v>
      </c>
      <c r="AD259" s="33"/>
      <c r="AE259" s="33">
        <f t="shared" si="217"/>
        <v>1070.7360000000001</v>
      </c>
      <c r="AF259" s="50"/>
      <c r="AG259" s="33">
        <f t="shared" si="218"/>
        <v>11541</v>
      </c>
      <c r="AH259" s="33">
        <f t="shared" si="219"/>
        <v>1182329410.060914</v>
      </c>
      <c r="AI259" s="213">
        <f t="shared" si="220"/>
        <v>0.39924830261881666</v>
      </c>
      <c r="AJ259" s="50"/>
      <c r="AK259" s="10"/>
      <c r="AL259" s="23">
        <f t="shared" si="221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22"/>
        <v>1.165609177569415E-2</v>
      </c>
      <c r="AS259" s="25"/>
      <c r="AT259" s="25"/>
      <c r="AU259" s="24"/>
      <c r="AV259" s="298">
        <f t="shared" si="223"/>
        <v>0.57122617038069345</v>
      </c>
      <c r="AW259" s="298"/>
      <c r="AX259" s="24">
        <f t="shared" si="224"/>
        <v>30548.024000000001</v>
      </c>
      <c r="AY259" s="308"/>
      <c r="AZ259" s="10"/>
      <c r="BA259" s="65">
        <f t="shared" si="225"/>
        <v>1731520</v>
      </c>
      <c r="BB259" s="66"/>
      <c r="BC259" s="66">
        <v>184361815</v>
      </c>
      <c r="BD259" s="66"/>
      <c r="BE259" s="66">
        <f t="shared" si="226"/>
        <v>177082</v>
      </c>
      <c r="BF259" s="66"/>
      <c r="BG259" s="144">
        <f t="shared" si="227"/>
        <v>0.10226968212899649</v>
      </c>
      <c r="BH259" s="66"/>
      <c r="BI259" s="170"/>
      <c r="BJ259" s="66"/>
      <c r="BK259" s="66">
        <f t="shared" si="228"/>
        <v>12670124</v>
      </c>
      <c r="BL259" s="66"/>
      <c r="BM259" s="144">
        <f t="shared" si="229"/>
        <v>9.6998340347734566E-2</v>
      </c>
      <c r="BN259" s="65">
        <f t="shared" si="230"/>
        <v>737447.26</v>
      </c>
      <c r="BO259" s="66"/>
      <c r="BP259" s="66">
        <f t="shared" si="231"/>
        <v>12462518</v>
      </c>
      <c r="BQ259" s="66"/>
      <c r="BR259" s="435">
        <f t="shared" si="232"/>
        <v>6.7598152035984238E-2</v>
      </c>
      <c r="BS259" s="66"/>
      <c r="BT259" s="75"/>
      <c r="BU259" s="170"/>
      <c r="BV259" s="1"/>
      <c r="BW259" s="61">
        <f t="shared" si="189"/>
        <v>250</v>
      </c>
    </row>
    <row r="260" spans="2:75" x14ac:dyDescent="0.3">
      <c r="B260" s="158">
        <f t="shared" si="163"/>
        <v>44160</v>
      </c>
      <c r="C260" s="61"/>
      <c r="D260" s="17">
        <v>180903</v>
      </c>
      <c r="E260" s="16"/>
      <c r="F260" s="16"/>
      <c r="G260" s="16"/>
      <c r="H260" s="16">
        <f t="shared" si="212"/>
        <v>13550399</v>
      </c>
      <c r="I260" s="16"/>
      <c r="J260" s="436">
        <f t="shared" si="213"/>
        <v>1.35310261508736E-2</v>
      </c>
      <c r="K260" s="16"/>
      <c r="L260" s="16"/>
      <c r="M260" s="16"/>
      <c r="N260" s="16">
        <f t="shared" si="233"/>
        <v>1236116</v>
      </c>
      <c r="O260" s="16">
        <f t="shared" si="214"/>
        <v>53985.653386454185</v>
      </c>
      <c r="P260" s="41"/>
      <c r="Q260" s="17">
        <f t="shared" si="234"/>
        <v>1236116</v>
      </c>
      <c r="R260" s="16"/>
      <c r="S260" s="60">
        <f t="shared" si="235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5"/>
        <v>269986</v>
      </c>
      <c r="AB260" s="33"/>
      <c r="AC260" s="46">
        <f t="shared" si="216"/>
        <v>1.9924579342645188E-2</v>
      </c>
      <c r="AD260" s="33"/>
      <c r="AE260" s="33">
        <f t="shared" si="217"/>
        <v>1075.6414342629482</v>
      </c>
      <c r="AF260" s="50"/>
      <c r="AG260" s="33">
        <f t="shared" si="218"/>
        <v>11879</v>
      </c>
      <c r="AH260" s="33">
        <f t="shared" si="219"/>
        <v>1182259569.060914</v>
      </c>
      <c r="AI260" s="213">
        <f t="shared" si="220"/>
        <v>0.35884237016700982</v>
      </c>
      <c r="AJ260" s="50"/>
      <c r="AK260" s="10"/>
      <c r="AL260" s="23">
        <f t="shared" si="221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22"/>
        <v>2.2034027470974882E-2</v>
      </c>
      <c r="AS260" s="25"/>
      <c r="AT260" s="25"/>
      <c r="AU260" s="24"/>
      <c r="AV260" s="298">
        <f t="shared" si="223"/>
        <v>0.57601846262977197</v>
      </c>
      <c r="AW260" s="298"/>
      <c r="AX260" s="24">
        <f t="shared" si="224"/>
        <v>31096.733067729085</v>
      </c>
      <c r="AY260" s="308"/>
      <c r="AZ260" s="10"/>
      <c r="BA260" s="65">
        <f t="shared" si="225"/>
        <v>1743927</v>
      </c>
      <c r="BB260" s="66"/>
      <c r="BC260" s="66">
        <v>186105742</v>
      </c>
      <c r="BD260" s="66"/>
      <c r="BE260" s="66">
        <f t="shared" si="226"/>
        <v>180903</v>
      </c>
      <c r="BF260" s="66"/>
      <c r="BG260" s="144">
        <f t="shared" si="227"/>
        <v>0.10373312644393945</v>
      </c>
      <c r="BH260" s="66"/>
      <c r="BI260" s="170"/>
      <c r="BJ260" s="66"/>
      <c r="BK260" s="66">
        <f t="shared" si="228"/>
        <v>12869913</v>
      </c>
      <c r="BL260" s="66"/>
      <c r="BM260" s="144">
        <f t="shared" si="229"/>
        <v>9.6046958514793376E-2</v>
      </c>
      <c r="BN260" s="65">
        <f t="shared" si="230"/>
        <v>741457.13944223104</v>
      </c>
      <c r="BO260" s="66"/>
      <c r="BP260" s="66">
        <f t="shared" si="231"/>
        <v>12643421</v>
      </c>
      <c r="BQ260" s="66"/>
      <c r="BR260" s="435">
        <f t="shared" si="232"/>
        <v>6.793675930751239E-2</v>
      </c>
      <c r="BS260" s="66"/>
      <c r="BT260" s="75"/>
      <c r="BU260" s="170"/>
      <c r="BV260" s="1"/>
      <c r="BW260" s="61">
        <f t="shared" si="189"/>
        <v>251</v>
      </c>
    </row>
    <row r="261" spans="2:75" x14ac:dyDescent="0.3">
      <c r="B261" s="158">
        <f t="shared" si="163"/>
        <v>44161</v>
      </c>
      <c r="C261" s="61"/>
      <c r="D261" s="17">
        <v>108063</v>
      </c>
      <c r="E261" s="16"/>
      <c r="F261" s="16"/>
      <c r="G261" s="16"/>
      <c r="H261" s="16">
        <f t="shared" si="212"/>
        <v>13658462</v>
      </c>
      <c r="I261" s="16"/>
      <c r="J261" s="436">
        <f t="shared" si="213"/>
        <v>7.9748943186101016E-3</v>
      </c>
      <c r="K261" s="16"/>
      <c r="L261" s="16"/>
      <c r="M261" s="16"/>
      <c r="N261" s="16">
        <f t="shared" si="233"/>
        <v>1151993</v>
      </c>
      <c r="O261" s="16">
        <f t="shared" si="214"/>
        <v>54200.246031746028</v>
      </c>
      <c r="P261" s="41"/>
      <c r="Q261" s="17">
        <f t="shared" si="234"/>
        <v>1151993</v>
      </c>
      <c r="R261" s="16"/>
      <c r="S261" s="60">
        <f t="shared" si="235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5"/>
        <v>271292</v>
      </c>
      <c r="AB261" s="33"/>
      <c r="AC261" s="46">
        <f t="shared" si="216"/>
        <v>1.9862558463756754E-2</v>
      </c>
      <c r="AD261" s="33"/>
      <c r="AE261" s="33">
        <f t="shared" si="217"/>
        <v>1076.5555555555557</v>
      </c>
      <c r="AF261" s="50"/>
      <c r="AG261" s="33">
        <f t="shared" si="218"/>
        <v>11120</v>
      </c>
      <c r="AH261" s="33">
        <f t="shared" si="219"/>
        <v>1182184497.060914</v>
      </c>
      <c r="AI261" s="213">
        <f t="shared" si="220"/>
        <v>0.15628574399500883</v>
      </c>
      <c r="AJ261" s="50"/>
      <c r="AK261" s="10"/>
      <c r="AL261" s="23">
        <f t="shared" si="221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22"/>
        <v>5.3287005719205461E-3</v>
      </c>
      <c r="AS261" s="25"/>
      <c r="AT261" s="25"/>
      <c r="AU261" s="24"/>
      <c r="AV261" s="298">
        <f t="shared" si="223"/>
        <v>0.57450626578600139</v>
      </c>
      <c r="AW261" s="298"/>
      <c r="AX261" s="24">
        <f t="shared" si="224"/>
        <v>31138.380952380954</v>
      </c>
      <c r="AY261" s="308"/>
      <c r="AZ261" s="10"/>
      <c r="BA261" s="65">
        <f t="shared" si="225"/>
        <v>1036887</v>
      </c>
      <c r="BB261" s="66"/>
      <c r="BC261" s="66">
        <v>187142629</v>
      </c>
      <c r="BD261" s="66"/>
      <c r="BE261" s="66">
        <f t="shared" si="226"/>
        <v>108063</v>
      </c>
      <c r="BF261" s="66"/>
      <c r="BG261" s="144">
        <f t="shared" si="227"/>
        <v>0.10421868535337023</v>
      </c>
      <c r="BH261" s="66"/>
      <c r="BI261" s="170"/>
      <c r="BJ261" s="66"/>
      <c r="BK261" s="66">
        <f t="shared" si="228"/>
        <v>12158384</v>
      </c>
      <c r="BL261" s="66"/>
      <c r="BM261" s="144">
        <f t="shared" si="229"/>
        <v>9.4748858071927983E-2</v>
      </c>
      <c r="BN261" s="65">
        <f t="shared" si="230"/>
        <v>742629.48015873018</v>
      </c>
      <c r="BO261" s="66"/>
      <c r="BP261" s="66">
        <f t="shared" si="231"/>
        <v>12751484</v>
      </c>
      <c r="BQ261" s="66"/>
      <c r="BR261" s="435">
        <f t="shared" si="232"/>
        <v>6.8137783829038762E-2</v>
      </c>
      <c r="BS261" s="66"/>
      <c r="BT261" s="75"/>
      <c r="BU261" s="170"/>
      <c r="BV261" s="1"/>
      <c r="BW261" s="61">
        <f t="shared" si="189"/>
        <v>252</v>
      </c>
    </row>
    <row r="262" spans="2:75" x14ac:dyDescent="0.3">
      <c r="B262" s="158">
        <f t="shared" si="163"/>
        <v>44162</v>
      </c>
      <c r="C262" s="61"/>
      <c r="D262" s="17">
        <v>164012</v>
      </c>
      <c r="E262" s="16"/>
      <c r="F262" s="16"/>
      <c r="G262" s="16"/>
      <c r="H262" s="16">
        <f t="shared" ref="H262:H293" si="236">+H261+D262</f>
        <v>13822474</v>
      </c>
      <c r="I262" s="16"/>
      <c r="J262" s="436">
        <f t="shared" ref="J262:J293" si="237">+D262/H261</f>
        <v>1.2008087001303661E-2</v>
      </c>
      <c r="K262" s="16"/>
      <c r="L262" s="16"/>
      <c r="M262" s="16"/>
      <c r="N262" s="16">
        <f t="shared" si="233"/>
        <v>1111826</v>
      </c>
      <c r="O262" s="16">
        <f t="shared" ref="O262:O293" si="238">+H262/BW262</f>
        <v>54634.28458498024</v>
      </c>
      <c r="P262" s="41"/>
      <c r="Q262" s="17">
        <f t="shared" si="234"/>
        <v>1111826</v>
      </c>
      <c r="R262" s="16"/>
      <c r="S262" s="60">
        <f t="shared" si="235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9">+AA261+W262</f>
        <v>272656</v>
      </c>
      <c r="AB262" s="33"/>
      <c r="AC262" s="46">
        <f t="shared" ref="AC262:AC293" si="240">+AA262/H262</f>
        <v>1.9725557089128907E-2</v>
      </c>
      <c r="AD262" s="33"/>
      <c r="AE262" s="33">
        <f t="shared" ref="AE262:AE293" si="241">+AA262/BW262</f>
        <v>1077.691699604743</v>
      </c>
      <c r="AF262" s="50"/>
      <c r="AG262" s="33">
        <f t="shared" ref="AG262:AG293" si="242">SUM(W256:W262)</f>
        <v>10486</v>
      </c>
      <c r="AH262" s="33">
        <f t="shared" si="219"/>
        <v>1182102916.060914</v>
      </c>
      <c r="AI262" s="213">
        <f t="shared" ref="AI262:AI293" si="243">+(AG262-AG255)/AG255</f>
        <v>2.6027397260273973E-2</v>
      </c>
      <c r="AJ262" s="50"/>
      <c r="AK262" s="10"/>
      <c r="AL262" s="23">
        <f t="shared" ref="AL262:AL293" si="244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5">+AL262/AP261</f>
        <v>1.2579534877082231E-2</v>
      </c>
      <c r="AS262" s="25"/>
      <c r="AT262" s="25"/>
      <c r="AU262" s="24"/>
      <c r="AV262" s="298">
        <f t="shared" ref="AV262:AV293" si="246">+AP262/H262</f>
        <v>0.57483067068890847</v>
      </c>
      <c r="AW262" s="298"/>
      <c r="AX262" s="24">
        <f t="shared" ref="AX262:AX293" si="247">+AP262/BW262</f>
        <v>31405.462450592884</v>
      </c>
      <c r="AY262" s="308"/>
      <c r="AZ262" s="10"/>
      <c r="BA262" s="65">
        <f t="shared" ref="BA262:BA293" si="248">+BC262-BC261</f>
        <v>2146376</v>
      </c>
      <c r="BB262" s="66"/>
      <c r="BC262" s="66">
        <v>189289005</v>
      </c>
      <c r="BD262" s="66"/>
      <c r="BE262" s="66">
        <f t="shared" ref="BE262:BE293" si="249">+D262</f>
        <v>164012</v>
      </c>
      <c r="BF262" s="66"/>
      <c r="BG262" s="144">
        <f t="shared" ref="BG262:BG293" si="250">+BE262/BA262</f>
        <v>7.6413452256268236E-2</v>
      </c>
      <c r="BH262" s="66"/>
      <c r="BI262" s="170"/>
      <c r="BJ262" s="66"/>
      <c r="BK262" s="66">
        <f t="shared" ref="BK262:BK293" si="251">SUM(BA256:BA262)</f>
        <v>12132164</v>
      </c>
      <c r="BL262" s="66"/>
      <c r="BM262" s="144">
        <f t="shared" ref="BM262:BM293" si="252">+Q262/BK262</f>
        <v>9.1642842942116512E-2</v>
      </c>
      <c r="BN262" s="65">
        <f t="shared" ref="BN262:BN293" si="253">+BC262/BW262</f>
        <v>748177.88537549402</v>
      </c>
      <c r="BO262" s="66"/>
      <c r="BP262" s="66">
        <f t="shared" ref="BP262:BP293" si="254">+BP261+BE262</f>
        <v>12915496</v>
      </c>
      <c r="BQ262" s="66"/>
      <c r="BR262" s="435">
        <f t="shared" ref="BR262:BR297" si="255">+BP262/BC262</f>
        <v>6.823162285627736E-2</v>
      </c>
      <c r="BS262" s="66"/>
      <c r="BT262" s="75"/>
      <c r="BU262" s="170"/>
      <c r="BV262" s="1"/>
      <c r="BW262" s="61">
        <f t="shared" si="189"/>
        <v>253</v>
      </c>
    </row>
    <row r="263" spans="2:75" x14ac:dyDescent="0.3">
      <c r="B263" s="158">
        <f t="shared" si="163"/>
        <v>44163</v>
      </c>
      <c r="C263" s="61"/>
      <c r="D263" s="17">
        <v>143373</v>
      </c>
      <c r="E263" s="16"/>
      <c r="F263" s="16"/>
      <c r="G263" s="16"/>
      <c r="H263" s="16">
        <f t="shared" si="236"/>
        <v>13965847</v>
      </c>
      <c r="I263" s="16"/>
      <c r="J263" s="436">
        <f t="shared" si="237"/>
        <v>1.0372455755749658E-2</v>
      </c>
      <c r="K263" s="16"/>
      <c r="L263" s="16"/>
      <c r="M263" s="16"/>
      <c r="N263" s="16">
        <f t="shared" si="233"/>
        <v>1082360</v>
      </c>
      <c r="O263" s="16">
        <f t="shared" si="238"/>
        <v>54983.649606299216</v>
      </c>
      <c r="P263" s="41"/>
      <c r="Q263" s="17">
        <f t="shared" si="234"/>
        <v>1082360</v>
      </c>
      <c r="R263" s="16"/>
      <c r="S263" s="60">
        <f t="shared" si="235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9"/>
        <v>273872</v>
      </c>
      <c r="AB263" s="33"/>
      <c r="AC263" s="46">
        <f t="shared" si="240"/>
        <v>1.9610124613279812E-2</v>
      </c>
      <c r="AD263" s="33"/>
      <c r="AE263" s="33">
        <f t="shared" si="241"/>
        <v>1078.2362204724409</v>
      </c>
      <c r="AF263" s="50"/>
      <c r="AG263" s="33">
        <f t="shared" si="242"/>
        <v>10242</v>
      </c>
      <c r="AH263" s="33">
        <f t="shared" si="219"/>
        <v>1182011386.060914</v>
      </c>
      <c r="AI263" s="213">
        <f t="shared" si="243"/>
        <v>-1.708253358925144E-2</v>
      </c>
      <c r="AJ263" s="50"/>
      <c r="AK263" s="10"/>
      <c r="AL263" s="23">
        <f t="shared" si="244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5"/>
        <v>1.203901740615099E-2</v>
      </c>
      <c r="AS263" s="25"/>
      <c r="AT263" s="25"/>
      <c r="AU263" s="24"/>
      <c r="AV263" s="298">
        <f t="shared" si="246"/>
        <v>0.57577882673353076</v>
      </c>
      <c r="AW263" s="298"/>
      <c r="AX263" s="24">
        <f t="shared" si="247"/>
        <v>31658.421259842518</v>
      </c>
      <c r="AY263" s="308"/>
      <c r="AZ263" s="10"/>
      <c r="BA263" s="65">
        <f t="shared" si="248"/>
        <v>1744219</v>
      </c>
      <c r="BB263" s="66"/>
      <c r="BC263" s="66">
        <v>191033224</v>
      </c>
      <c r="BD263" s="66"/>
      <c r="BE263" s="66">
        <f t="shared" si="249"/>
        <v>143373</v>
      </c>
      <c r="BF263" s="66"/>
      <c r="BG263" s="144">
        <f t="shared" si="250"/>
        <v>8.2198966987517053E-2</v>
      </c>
      <c r="BH263" s="66"/>
      <c r="BI263" s="170"/>
      <c r="BJ263" s="66"/>
      <c r="BK263" s="66">
        <f t="shared" si="251"/>
        <v>11993517</v>
      </c>
      <c r="BL263" s="66"/>
      <c r="BM263" s="144">
        <f t="shared" si="252"/>
        <v>9.0245421755770217E-2</v>
      </c>
      <c r="BN263" s="65">
        <f t="shared" si="253"/>
        <v>752099.30708661419</v>
      </c>
      <c r="BO263" s="66"/>
      <c r="BP263" s="66">
        <f t="shared" si="254"/>
        <v>13058869</v>
      </c>
      <c r="BQ263" s="66"/>
      <c r="BR263" s="435">
        <f t="shared" si="255"/>
        <v>6.8359150971560839E-2</v>
      </c>
      <c r="BS263" s="66"/>
      <c r="BT263" s="75"/>
      <c r="BU263" s="170"/>
      <c r="BV263" s="1"/>
      <c r="BW263" s="61">
        <f t="shared" si="189"/>
        <v>254</v>
      </c>
    </row>
    <row r="264" spans="2:75" x14ac:dyDescent="0.3">
      <c r="B264" s="347">
        <f t="shared" si="163"/>
        <v>44164</v>
      </c>
      <c r="C264" s="61"/>
      <c r="D264" s="17">
        <v>138188</v>
      </c>
      <c r="E264" s="16"/>
      <c r="F264" s="16"/>
      <c r="G264" s="16"/>
      <c r="H264" s="16">
        <f t="shared" si="236"/>
        <v>14104035</v>
      </c>
      <c r="I264" s="16"/>
      <c r="J264" s="436">
        <f t="shared" si="237"/>
        <v>9.8947095725737226E-3</v>
      </c>
      <c r="K264" s="16"/>
      <c r="L264" s="16"/>
      <c r="M264" s="16"/>
      <c r="N264" s="16">
        <f t="shared" si="233"/>
        <v>1083921</v>
      </c>
      <c r="O264" s="16">
        <f t="shared" si="238"/>
        <v>55309.941176470587</v>
      </c>
      <c r="P264" s="41"/>
      <c r="Q264" s="17">
        <f t="shared" si="234"/>
        <v>1083921</v>
      </c>
      <c r="R264" s="16"/>
      <c r="S264" s="60">
        <f t="shared" si="235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9"/>
        <v>274691</v>
      </c>
      <c r="AB264" s="33"/>
      <c r="AC264" s="46">
        <f t="shared" si="240"/>
        <v>1.947605773808701E-2</v>
      </c>
      <c r="AD264" s="33"/>
      <c r="AE264" s="33">
        <f t="shared" si="241"/>
        <v>1077.2196078431373</v>
      </c>
      <c r="AF264" s="50"/>
      <c r="AG264" s="33">
        <f t="shared" si="242"/>
        <v>10195</v>
      </c>
      <c r="AH264" s="33">
        <f t="shared" si="219"/>
        <v>1181909925.060914</v>
      </c>
      <c r="AI264" s="213">
        <f t="shared" si="243"/>
        <v>-4.7819183711590552E-2</v>
      </c>
      <c r="AJ264" s="50"/>
      <c r="AK264" s="10"/>
      <c r="AL264" s="23">
        <f t="shared" si="244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5"/>
        <v>8.2032134600153028E-3</v>
      </c>
      <c r="AS264" s="25"/>
      <c r="AT264" s="25"/>
      <c r="AU264" s="24"/>
      <c r="AV264" s="298">
        <f t="shared" si="246"/>
        <v>0.57481444139921656</v>
      </c>
      <c r="AW264" s="298"/>
      <c r="AX264" s="24">
        <f t="shared" si="247"/>
        <v>31792.952941176471</v>
      </c>
      <c r="AY264" s="308"/>
      <c r="AZ264" s="10"/>
      <c r="BA264" s="65">
        <f t="shared" si="248"/>
        <v>1238144</v>
      </c>
      <c r="BB264" s="66"/>
      <c r="BC264" s="66">
        <v>192271368</v>
      </c>
      <c r="BD264" s="66"/>
      <c r="BE264" s="66">
        <f t="shared" si="249"/>
        <v>138188</v>
      </c>
      <c r="BF264" s="66"/>
      <c r="BG264" s="144">
        <f t="shared" si="250"/>
        <v>0.11160898893828182</v>
      </c>
      <c r="BH264" s="66"/>
      <c r="BI264" s="170"/>
      <c r="BJ264" s="66"/>
      <c r="BK264" s="66">
        <f t="shared" si="251"/>
        <v>11598784</v>
      </c>
      <c r="BL264" s="66"/>
      <c r="BM264" s="144">
        <f t="shared" si="252"/>
        <v>9.3451261787442549E-2</v>
      </c>
      <c r="BN264" s="65">
        <f t="shared" si="253"/>
        <v>754005.36470588238</v>
      </c>
      <c r="BO264" s="66"/>
      <c r="BP264" s="66">
        <f t="shared" si="254"/>
        <v>13197057</v>
      </c>
      <c r="BQ264" s="66"/>
      <c r="BR264" s="435">
        <f t="shared" si="255"/>
        <v>6.8637661120713511E-2</v>
      </c>
      <c r="BS264" s="66"/>
      <c r="BT264" s="75"/>
      <c r="BU264" s="170"/>
      <c r="BV264" s="1"/>
      <c r="BW264" s="61">
        <f t="shared" si="189"/>
        <v>255</v>
      </c>
    </row>
    <row r="265" spans="2:75" x14ac:dyDescent="0.3">
      <c r="B265" s="158">
        <f t="shared" si="163"/>
        <v>44165</v>
      </c>
      <c r="C265" s="61"/>
      <c r="D265" s="17">
        <v>161568</v>
      </c>
      <c r="E265" s="16"/>
      <c r="F265" s="16"/>
      <c r="G265" s="16"/>
      <c r="H265" s="16">
        <f t="shared" si="236"/>
        <v>14265603</v>
      </c>
      <c r="I265" s="16"/>
      <c r="J265" s="436">
        <f t="shared" si="237"/>
        <v>1.1455445197065947E-2</v>
      </c>
      <c r="K265" s="16"/>
      <c r="L265" s="16"/>
      <c r="M265" s="16"/>
      <c r="N265" s="16">
        <f t="shared" si="233"/>
        <v>1073189</v>
      </c>
      <c r="O265" s="16">
        <f t="shared" si="238"/>
        <v>55725.01171875</v>
      </c>
      <c r="P265" s="41"/>
      <c r="Q265" s="17">
        <f t="shared" si="234"/>
        <v>1073189</v>
      </c>
      <c r="R265" s="16"/>
      <c r="S265" s="60">
        <f t="shared" si="235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9"/>
        <v>275929</v>
      </c>
      <c r="AB265" s="33"/>
      <c r="AC265" s="46">
        <f t="shared" si="240"/>
        <v>1.9342259839980124E-2</v>
      </c>
      <c r="AD265" s="33"/>
      <c r="AE265" s="33">
        <f t="shared" si="241"/>
        <v>1077.84765625</v>
      </c>
      <c r="AF265" s="50"/>
      <c r="AG265" s="33">
        <f t="shared" si="242"/>
        <v>10461</v>
      </c>
      <c r="AH265" s="33">
        <f t="shared" si="219"/>
        <v>1181823632.060914</v>
      </c>
      <c r="AI265" s="213">
        <f t="shared" si="243"/>
        <v>-4.3784277879341867E-2</v>
      </c>
      <c r="AJ265" s="50"/>
      <c r="AK265" s="10"/>
      <c r="AL265" s="23">
        <f t="shared" si="244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5"/>
        <v>1.4268299436932811E-2</v>
      </c>
      <c r="AS265" s="25"/>
      <c r="AT265" s="25"/>
      <c r="AU265" s="24"/>
      <c r="AV265" s="298">
        <f t="shared" si="246"/>
        <v>0.57641299845509508</v>
      </c>
      <c r="AW265" s="298"/>
      <c r="AX265" s="24">
        <f t="shared" si="247"/>
        <v>32120.62109375</v>
      </c>
      <c r="AY265" s="308"/>
      <c r="AZ265" s="10"/>
      <c r="BA265" s="65">
        <f t="shared" si="248"/>
        <v>2637381</v>
      </c>
      <c r="BB265" s="66"/>
      <c r="BC265" s="66">
        <v>194908749</v>
      </c>
      <c r="BD265" s="66"/>
      <c r="BE265" s="66">
        <f t="shared" si="249"/>
        <v>161568</v>
      </c>
      <c r="BF265" s="66"/>
      <c r="BG265" s="144">
        <f t="shared" si="250"/>
        <v>6.1260773471864705E-2</v>
      </c>
      <c r="BH265" s="66"/>
      <c r="BI265" s="170"/>
      <c r="BJ265" s="66"/>
      <c r="BK265" s="66">
        <f t="shared" si="251"/>
        <v>12278454</v>
      </c>
      <c r="BL265" s="66"/>
      <c r="BM265" s="144">
        <f t="shared" si="252"/>
        <v>8.7404244866658293E-2</v>
      </c>
      <c r="BN265" s="65">
        <f t="shared" si="253"/>
        <v>761362.30078125</v>
      </c>
      <c r="BO265" s="66"/>
      <c r="BP265" s="66">
        <f t="shared" si="254"/>
        <v>13358625</v>
      </c>
      <c r="BQ265" s="66"/>
      <c r="BR265" s="435">
        <f t="shared" si="255"/>
        <v>6.8537841777436062E-2</v>
      </c>
      <c r="BS265" s="66"/>
      <c r="BT265" s="75"/>
      <c r="BU265" s="170"/>
      <c r="BV265" s="1"/>
      <c r="BW265" s="61">
        <f t="shared" si="189"/>
        <v>256</v>
      </c>
    </row>
    <row r="266" spans="2:75" x14ac:dyDescent="0.3">
      <c r="B266" s="158">
        <f t="shared" si="163"/>
        <v>44166</v>
      </c>
      <c r="C266" s="61"/>
      <c r="D266" s="17">
        <v>182276</v>
      </c>
      <c r="E266" s="16"/>
      <c r="F266" s="16"/>
      <c r="G266" s="16"/>
      <c r="H266" s="16">
        <f t="shared" si="236"/>
        <v>14447879</v>
      </c>
      <c r="I266" s="16"/>
      <c r="J266" s="436">
        <f t="shared" si="237"/>
        <v>1.2777307766100037E-2</v>
      </c>
      <c r="K266" s="16"/>
      <c r="L266" s="16"/>
      <c r="M266" s="16"/>
      <c r="N266" s="16">
        <f t="shared" si="233"/>
        <v>1078383</v>
      </c>
      <c r="O266" s="16">
        <f t="shared" si="238"/>
        <v>56217.428015564205</v>
      </c>
      <c r="P266" s="41"/>
      <c r="Q266" s="17">
        <f t="shared" si="234"/>
        <v>1078383</v>
      </c>
      <c r="R266" s="16"/>
      <c r="S266" s="60">
        <f t="shared" si="235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9"/>
        <v>278543</v>
      </c>
      <c r="AB266" s="33"/>
      <c r="AC266" s="46">
        <f t="shared" si="240"/>
        <v>1.9279162014022959E-2</v>
      </c>
      <c r="AD266" s="33"/>
      <c r="AE266" s="33">
        <f t="shared" si="241"/>
        <v>1083.8249027237355</v>
      </c>
      <c r="AF266" s="50"/>
      <c r="AG266" s="33">
        <f t="shared" si="242"/>
        <v>10859</v>
      </c>
      <c r="AH266" s="33">
        <f t="shared" si="219"/>
        <v>1181752311.060914</v>
      </c>
      <c r="AI266" s="213">
        <f t="shared" si="243"/>
        <v>-5.9093666060133436E-2</v>
      </c>
      <c r="AJ266" s="50"/>
      <c r="AK266" s="10"/>
      <c r="AL266" s="23">
        <f t="shared" si="244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5"/>
        <v>1.3423035897767679E-2</v>
      </c>
      <c r="AS266" s="25"/>
      <c r="AT266" s="25"/>
      <c r="AU266" s="24"/>
      <c r="AV266" s="298">
        <f t="shared" si="246"/>
        <v>0.57678050875149223</v>
      </c>
      <c r="AW266" s="298"/>
      <c r="AX266" s="24">
        <f t="shared" si="247"/>
        <v>32425.116731517508</v>
      </c>
      <c r="AY266" s="308"/>
      <c r="AZ266" s="10"/>
      <c r="BA266" s="65">
        <f t="shared" si="248"/>
        <v>1298299</v>
      </c>
      <c r="BB266" s="66"/>
      <c r="BC266" s="66">
        <v>196207048</v>
      </c>
      <c r="BD266" s="66"/>
      <c r="BE266" s="66">
        <f t="shared" si="249"/>
        <v>182276</v>
      </c>
      <c r="BF266" s="66"/>
      <c r="BG266" s="144">
        <f t="shared" si="250"/>
        <v>0.14039601047216396</v>
      </c>
      <c r="BH266" s="66"/>
      <c r="BI266" s="170"/>
      <c r="BJ266" s="66"/>
      <c r="BK266" s="66">
        <f t="shared" si="251"/>
        <v>11845233</v>
      </c>
      <c r="BL266" s="66"/>
      <c r="BM266" s="144">
        <f t="shared" si="252"/>
        <v>9.1039408004891076E-2</v>
      </c>
      <c r="BN266" s="65">
        <f t="shared" si="253"/>
        <v>763451.54863813228</v>
      </c>
      <c r="BO266" s="66"/>
      <c r="BP266" s="66">
        <f t="shared" si="254"/>
        <v>13540901</v>
      </c>
      <c r="BQ266" s="66"/>
      <c r="BR266" s="435">
        <f t="shared" si="255"/>
        <v>6.901332616756968E-2</v>
      </c>
      <c r="BS266" s="66"/>
      <c r="BT266" s="75"/>
      <c r="BU266" s="170"/>
      <c r="BV266" s="1"/>
      <c r="BW266" s="61">
        <f t="shared" si="189"/>
        <v>257</v>
      </c>
    </row>
    <row r="267" spans="2:75" x14ac:dyDescent="0.3">
      <c r="B267" s="158">
        <f t="shared" si="163"/>
        <v>44167</v>
      </c>
      <c r="C267" s="61"/>
      <c r="D267" s="17">
        <v>203737</v>
      </c>
      <c r="E267" s="16"/>
      <c r="F267" s="16"/>
      <c r="G267" s="16"/>
      <c r="H267" s="16">
        <f t="shared" si="236"/>
        <v>14651616</v>
      </c>
      <c r="I267" s="16"/>
      <c r="J267" s="436">
        <f t="shared" si="237"/>
        <v>1.4101516215632758E-2</v>
      </c>
      <c r="K267" s="16"/>
      <c r="L267" s="16"/>
      <c r="M267" s="16"/>
      <c r="N267" s="16">
        <f t="shared" si="233"/>
        <v>1101217</v>
      </c>
      <c r="O267" s="16">
        <f t="shared" si="238"/>
        <v>56789.20930232558</v>
      </c>
      <c r="P267" s="41"/>
      <c r="Q267" s="17">
        <f t="shared" si="234"/>
        <v>1101217</v>
      </c>
      <c r="R267" s="16"/>
      <c r="S267" s="60">
        <f t="shared" si="235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9"/>
        <v>281376</v>
      </c>
      <c r="AB267" s="33"/>
      <c r="AC267" s="46">
        <f t="shared" si="240"/>
        <v>1.9204434514254264E-2</v>
      </c>
      <c r="AD267" s="33"/>
      <c r="AE267" s="33">
        <f t="shared" si="241"/>
        <v>1090.6046511627908</v>
      </c>
      <c r="AF267" s="50"/>
      <c r="AG267" s="33">
        <f t="shared" si="242"/>
        <v>11390</v>
      </c>
      <c r="AH267" s="33">
        <f t="shared" si="219"/>
        <v>1181663406.060914</v>
      </c>
      <c r="AI267" s="213">
        <f t="shared" si="243"/>
        <v>-4.1165081235794258E-2</v>
      </c>
      <c r="AJ267" s="50"/>
      <c r="AK267" s="10"/>
      <c r="AL267" s="23">
        <f t="shared" si="244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5"/>
        <v>1.5501625715281724E-2</v>
      </c>
      <c r="AS267" s="25"/>
      <c r="AT267" s="25"/>
      <c r="AU267" s="24"/>
      <c r="AV267" s="298">
        <f t="shared" si="246"/>
        <v>0.57757683521053238</v>
      </c>
      <c r="AW267" s="298"/>
      <c r="AX267" s="24">
        <f t="shared" si="247"/>
        <v>32800.131782945733</v>
      </c>
      <c r="AY267" s="308"/>
      <c r="AZ267" s="10"/>
      <c r="BA267" s="65">
        <f t="shared" si="248"/>
        <v>3699465</v>
      </c>
      <c r="BB267" s="66"/>
      <c r="BC267" s="66">
        <v>199906513</v>
      </c>
      <c r="BD267" s="66"/>
      <c r="BE267" s="66">
        <f t="shared" si="249"/>
        <v>203737</v>
      </c>
      <c r="BF267" s="66"/>
      <c r="BG267" s="144">
        <f t="shared" si="250"/>
        <v>5.5072017170050266E-2</v>
      </c>
      <c r="BH267" s="66"/>
      <c r="BI267" s="170"/>
      <c r="BJ267" s="66"/>
      <c r="BK267" s="66">
        <f t="shared" si="251"/>
        <v>13800771</v>
      </c>
      <c r="BL267" s="66"/>
      <c r="BM267" s="144">
        <f t="shared" si="252"/>
        <v>7.9793875284214194E-2</v>
      </c>
      <c r="BN267" s="65">
        <f t="shared" si="253"/>
        <v>774831.44573643408</v>
      </c>
      <c r="BO267" s="66"/>
      <c r="BP267" s="66">
        <f t="shared" si="254"/>
        <v>13744638</v>
      </c>
      <c r="BQ267" s="66"/>
      <c r="BR267" s="435">
        <f t="shared" si="255"/>
        <v>6.8755328647046129E-2</v>
      </c>
      <c r="BS267" s="66"/>
      <c r="BT267" s="75"/>
      <c r="BU267" s="170"/>
      <c r="BV267" s="1"/>
      <c r="BW267" s="61">
        <f t="shared" si="189"/>
        <v>258</v>
      </c>
    </row>
    <row r="268" spans="2:75" x14ac:dyDescent="0.3">
      <c r="B268" s="158">
        <f t="shared" si="163"/>
        <v>44168</v>
      </c>
      <c r="C268" s="61"/>
      <c r="D268" s="17">
        <v>218576</v>
      </c>
      <c r="E268" s="16"/>
      <c r="F268" s="16"/>
      <c r="G268" s="16"/>
      <c r="H268" s="16">
        <f t="shared" si="236"/>
        <v>14870192</v>
      </c>
      <c r="I268" s="16"/>
      <c r="J268" s="436">
        <f t="shared" si="237"/>
        <v>1.4918217894872484E-2</v>
      </c>
      <c r="K268" s="16"/>
      <c r="L268" s="16"/>
      <c r="M268" s="16"/>
      <c r="N268" s="16">
        <f t="shared" ref="N268:N299" si="256">SUM(D262:D268)</f>
        <v>1211730</v>
      </c>
      <c r="O268" s="16">
        <f t="shared" si="238"/>
        <v>57413.868725868728</v>
      </c>
      <c r="P268" s="41"/>
      <c r="Q268" s="17">
        <f t="shared" si="234"/>
        <v>1211730</v>
      </c>
      <c r="R268" s="16"/>
      <c r="S268" s="60">
        <f t="shared" si="235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9"/>
        <v>284294</v>
      </c>
      <c r="AB268" s="33"/>
      <c r="AC268" s="46">
        <f t="shared" si="240"/>
        <v>1.9118381255601811E-2</v>
      </c>
      <c r="AD268" s="33"/>
      <c r="AE268" s="33">
        <f t="shared" si="241"/>
        <v>1097.6602316602316</v>
      </c>
      <c r="AF268" s="50"/>
      <c r="AG268" s="33">
        <f t="shared" si="242"/>
        <v>13002</v>
      </c>
      <c r="AH268" s="33">
        <f t="shared" si="219"/>
        <v>1181568939.060914</v>
      </c>
      <c r="AI268" s="213">
        <f t="shared" si="243"/>
        <v>0.16924460431654675</v>
      </c>
      <c r="AJ268" s="50"/>
      <c r="AK268" s="10"/>
      <c r="AL268" s="23">
        <f t="shared" si="244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5"/>
        <v>1.1697934660406214E-2</v>
      </c>
      <c r="AS268" s="25"/>
      <c r="AT268" s="25"/>
      <c r="AU268" s="24"/>
      <c r="AV268" s="298">
        <f t="shared" si="246"/>
        <v>0.57574421365911077</v>
      </c>
      <c r="AW268" s="298"/>
      <c r="AX268" s="24">
        <f t="shared" si="247"/>
        <v>33055.7027027027</v>
      </c>
      <c r="AY268" s="308"/>
      <c r="AZ268" s="10"/>
      <c r="BA268" s="65">
        <f t="shared" si="248"/>
        <v>1862950</v>
      </c>
      <c r="BB268" s="66"/>
      <c r="BC268" s="66">
        <v>201769463</v>
      </c>
      <c r="BD268" s="66"/>
      <c r="BE268" s="66">
        <f t="shared" si="249"/>
        <v>218576</v>
      </c>
      <c r="BF268" s="66"/>
      <c r="BG268" s="144">
        <f t="shared" si="250"/>
        <v>0.11732789393166752</v>
      </c>
      <c r="BH268" s="66"/>
      <c r="BI268" s="170"/>
      <c r="BJ268" s="66"/>
      <c r="BK268" s="66">
        <f t="shared" si="251"/>
        <v>14626834</v>
      </c>
      <c r="BL268" s="66"/>
      <c r="BM268" s="144">
        <f t="shared" si="252"/>
        <v>8.2842944686457781E-2</v>
      </c>
      <c r="BN268" s="65">
        <f t="shared" si="253"/>
        <v>779032.67567567562</v>
      </c>
      <c r="BO268" s="66"/>
      <c r="BP268" s="66">
        <f t="shared" si="254"/>
        <v>13963214</v>
      </c>
      <c r="BQ268" s="66"/>
      <c r="BR268" s="435">
        <f t="shared" si="255"/>
        <v>6.9203802163065681E-2</v>
      </c>
      <c r="BS268" s="66"/>
      <c r="BT268" s="75"/>
      <c r="BU268" s="170"/>
      <c r="BV268" s="1"/>
      <c r="BW268" s="61">
        <f t="shared" si="189"/>
        <v>259</v>
      </c>
    </row>
    <row r="269" spans="2:75" x14ac:dyDescent="0.3">
      <c r="B269" s="158">
        <f t="shared" si="163"/>
        <v>44169</v>
      </c>
      <c r="C269" s="61"/>
      <c r="D269" s="17">
        <v>235272</v>
      </c>
      <c r="E269" s="16"/>
      <c r="F269" s="16"/>
      <c r="G269" s="16"/>
      <c r="H269" s="16">
        <f t="shared" si="236"/>
        <v>15105464</v>
      </c>
      <c r="I269" s="16"/>
      <c r="J269" s="436">
        <f t="shared" si="237"/>
        <v>1.5821719047070811E-2</v>
      </c>
      <c r="K269" s="16"/>
      <c r="L269" s="16"/>
      <c r="M269" s="16"/>
      <c r="N269" s="16">
        <f t="shared" si="256"/>
        <v>1282990</v>
      </c>
      <c r="O269" s="16">
        <f t="shared" si="238"/>
        <v>58097.938461538462</v>
      </c>
      <c r="P269" s="41"/>
      <c r="Q269" s="17">
        <f t="shared" ref="Q269:Q300" si="257">SUM(D263:D269)</f>
        <v>1282990</v>
      </c>
      <c r="R269" s="16"/>
      <c r="S269" s="60">
        <f t="shared" ref="S269:S300" si="258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9"/>
        <v>287012</v>
      </c>
      <c r="AB269" s="33"/>
      <c r="AC269" s="46">
        <f t="shared" si="240"/>
        <v>1.9000541790705667E-2</v>
      </c>
      <c r="AD269" s="33"/>
      <c r="AE269" s="33">
        <f t="shared" si="241"/>
        <v>1103.8923076923077</v>
      </c>
      <c r="AF269" s="50"/>
      <c r="AG269" s="33">
        <f t="shared" si="242"/>
        <v>14356</v>
      </c>
      <c r="AH269" s="33">
        <f t="shared" si="219"/>
        <v>1181460550.060914</v>
      </c>
      <c r="AI269" s="213">
        <f t="shared" si="243"/>
        <v>0.36906351325576958</v>
      </c>
      <c r="AJ269" s="50"/>
      <c r="AK269" s="10"/>
      <c r="AL269" s="23">
        <f t="shared" si="244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5"/>
        <v>1.1383032291229021E-2</v>
      </c>
      <c r="AS269" s="25"/>
      <c r="AT269" s="25"/>
      <c r="AU269" s="24"/>
      <c r="AV269" s="298">
        <f t="shared" si="246"/>
        <v>0.57322846885074175</v>
      </c>
      <c r="AW269" s="298"/>
      <c r="AX269" s="24">
        <f t="shared" si="247"/>
        <v>33303.392307692309</v>
      </c>
      <c r="AY269" s="308"/>
      <c r="AZ269" s="10"/>
      <c r="BA269" s="65">
        <f t="shared" si="248"/>
        <v>2114538</v>
      </c>
      <c r="BB269" s="66"/>
      <c r="BC269" s="66">
        <v>203884001</v>
      </c>
      <c r="BD269" s="66"/>
      <c r="BE269" s="66">
        <f t="shared" si="249"/>
        <v>235272</v>
      </c>
      <c r="BF269" s="66"/>
      <c r="BG269" s="144">
        <f t="shared" si="250"/>
        <v>0.11126402079319454</v>
      </c>
      <c r="BH269" s="66"/>
      <c r="BI269" s="170"/>
      <c r="BJ269" s="66"/>
      <c r="BK269" s="66">
        <f t="shared" si="251"/>
        <v>14594996</v>
      </c>
      <c r="BL269" s="66"/>
      <c r="BM269" s="144">
        <f t="shared" si="252"/>
        <v>8.7906156329196669E-2</v>
      </c>
      <c r="BN269" s="65">
        <f t="shared" si="253"/>
        <v>784169.2346153846</v>
      </c>
      <c r="BO269" s="66"/>
      <c r="BP269" s="66">
        <f t="shared" si="254"/>
        <v>14198486</v>
      </c>
      <c r="BQ269" s="66"/>
      <c r="BR269" s="435">
        <f t="shared" si="255"/>
        <v>6.9640020454572113E-2</v>
      </c>
      <c r="BS269" s="66"/>
      <c r="BT269" s="75"/>
      <c r="BU269" s="170"/>
      <c r="BV269" s="1"/>
      <c r="BW269" s="61">
        <f t="shared" si="189"/>
        <v>260</v>
      </c>
    </row>
    <row r="270" spans="2:75" x14ac:dyDescent="0.3">
      <c r="B270" s="158">
        <f t="shared" si="163"/>
        <v>44170</v>
      </c>
      <c r="C270" s="61"/>
      <c r="D270" s="17">
        <v>212483</v>
      </c>
      <c r="E270" s="16"/>
      <c r="F270" s="16"/>
      <c r="G270" s="16"/>
      <c r="H270" s="16">
        <f t="shared" si="236"/>
        <v>15317947</v>
      </c>
      <c r="I270" s="16"/>
      <c r="J270" s="436">
        <f t="shared" si="237"/>
        <v>1.4066631783042216E-2</v>
      </c>
      <c r="K270" s="16"/>
      <c r="L270" s="16"/>
      <c r="M270" s="16"/>
      <c r="N270" s="16">
        <f t="shared" si="256"/>
        <v>1352100</v>
      </c>
      <c r="O270" s="16">
        <f t="shared" si="238"/>
        <v>58689.452107279692</v>
      </c>
      <c r="P270" s="41"/>
      <c r="Q270" s="17">
        <f t="shared" si="257"/>
        <v>1352100</v>
      </c>
      <c r="R270" s="16"/>
      <c r="S270" s="60">
        <f t="shared" si="258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9"/>
        <v>289278</v>
      </c>
      <c r="AB270" s="33"/>
      <c r="AC270" s="46">
        <f t="shared" si="240"/>
        <v>1.8884906704534229E-2</v>
      </c>
      <c r="AD270" s="33"/>
      <c r="AE270" s="33">
        <f t="shared" si="241"/>
        <v>1108.344827586207</v>
      </c>
      <c r="AF270" s="50"/>
      <c r="AG270" s="33">
        <f t="shared" si="242"/>
        <v>15406</v>
      </c>
      <c r="AH270" s="33">
        <f t="shared" si="219"/>
        <v>1181342231.060914</v>
      </c>
      <c r="AI270" s="213">
        <f t="shared" si="243"/>
        <v>0.50419839875024408</v>
      </c>
      <c r="AJ270" s="50"/>
      <c r="AK270" s="10"/>
      <c r="AL270" s="23">
        <f t="shared" si="244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5"/>
        <v>1.5067418634414928E-2</v>
      </c>
      <c r="AS270" s="25"/>
      <c r="AT270" s="25"/>
      <c r="AU270" s="24"/>
      <c r="AV270" s="298">
        <f t="shared" si="246"/>
        <v>0.5737941905661379</v>
      </c>
      <c r="AW270" s="298"/>
      <c r="AX270" s="24">
        <f t="shared" si="247"/>
        <v>33675.666666666664</v>
      </c>
      <c r="AY270" s="308"/>
      <c r="AZ270" s="10"/>
      <c r="BA270" s="65">
        <f t="shared" si="248"/>
        <v>1966240</v>
      </c>
      <c r="BB270" s="66"/>
      <c r="BC270" s="66">
        <v>205850241</v>
      </c>
      <c r="BD270" s="66"/>
      <c r="BE270" s="66">
        <f t="shared" si="249"/>
        <v>212483</v>
      </c>
      <c r="BF270" s="66"/>
      <c r="BG270" s="144">
        <f t="shared" si="250"/>
        <v>0.10806564814061356</v>
      </c>
      <c r="BH270" s="66"/>
      <c r="BI270" s="170"/>
      <c r="BJ270" s="66"/>
      <c r="BK270" s="66">
        <f t="shared" si="251"/>
        <v>14817017</v>
      </c>
      <c r="BL270" s="66"/>
      <c r="BM270" s="144">
        <f t="shared" si="252"/>
        <v>9.1253185442116996E-2</v>
      </c>
      <c r="BN270" s="65">
        <f t="shared" si="253"/>
        <v>788698.24137931038</v>
      </c>
      <c r="BO270" s="66"/>
      <c r="BP270" s="66">
        <f t="shared" si="254"/>
        <v>14410969</v>
      </c>
      <c r="BQ270" s="66"/>
      <c r="BR270" s="435">
        <f t="shared" si="255"/>
        <v>7.0007054303132921E-2</v>
      </c>
      <c r="BS270" s="66"/>
      <c r="BT270" s="75"/>
      <c r="BU270" s="170"/>
      <c r="BV270" s="1"/>
      <c r="BW270" s="61">
        <f t="shared" si="189"/>
        <v>261</v>
      </c>
    </row>
    <row r="271" spans="2:75" x14ac:dyDescent="0.3">
      <c r="B271" s="347">
        <f t="shared" si="163"/>
        <v>44171</v>
      </c>
      <c r="C271" s="61"/>
      <c r="D271" s="17">
        <v>182779</v>
      </c>
      <c r="E271" s="16"/>
      <c r="F271" s="16"/>
      <c r="G271" s="16"/>
      <c r="H271" s="16">
        <f t="shared" si="236"/>
        <v>15500726</v>
      </c>
      <c r="I271" s="16"/>
      <c r="J271" s="436">
        <f t="shared" si="237"/>
        <v>1.1932343152773672E-2</v>
      </c>
      <c r="K271" s="16"/>
      <c r="L271" s="16"/>
      <c r="M271" s="16"/>
      <c r="N271" s="16">
        <f t="shared" si="256"/>
        <v>1396691</v>
      </c>
      <c r="O271" s="16">
        <f t="shared" si="238"/>
        <v>59163.076335877864</v>
      </c>
      <c r="P271" s="41"/>
      <c r="Q271" s="17">
        <f t="shared" si="257"/>
        <v>1396691</v>
      </c>
      <c r="R271" s="16"/>
      <c r="S271" s="60">
        <f t="shared" si="258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9"/>
        <v>290370</v>
      </c>
      <c r="AB271" s="33"/>
      <c r="AC271" s="46">
        <f t="shared" si="240"/>
        <v>1.8732670972959588E-2</v>
      </c>
      <c r="AD271" s="33"/>
      <c r="AE271" s="33">
        <f t="shared" si="241"/>
        <v>1108.2824427480916</v>
      </c>
      <c r="AF271" s="50"/>
      <c r="AG271" s="33">
        <f t="shared" si="242"/>
        <v>15679</v>
      </c>
      <c r="AH271" s="33">
        <f t="shared" si="219"/>
        <v>1181209690.060914</v>
      </c>
      <c r="AI271" s="213">
        <f t="shared" si="243"/>
        <v>0.5379107405590976</v>
      </c>
      <c r="AJ271" s="50"/>
      <c r="AK271" s="10"/>
      <c r="AL271" s="23">
        <f t="shared" si="244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5"/>
        <v>7.708989596385352E-3</v>
      </c>
      <c r="AS271" s="25"/>
      <c r="AT271" s="25"/>
      <c r="AU271" s="24"/>
      <c r="AV271" s="298">
        <f t="shared" si="246"/>
        <v>0.57139942993637849</v>
      </c>
      <c r="AW271" s="298"/>
      <c r="AX271" s="24">
        <f t="shared" si="247"/>
        <v>33805.748091603054</v>
      </c>
      <c r="AY271" s="308"/>
      <c r="AZ271" s="10"/>
      <c r="BA271" s="65">
        <f t="shared" si="248"/>
        <v>1610100</v>
      </c>
      <c r="BB271" s="66"/>
      <c r="BC271" s="66">
        <v>207460341</v>
      </c>
      <c r="BD271" s="66"/>
      <c r="BE271" s="66">
        <f t="shared" si="249"/>
        <v>182779</v>
      </c>
      <c r="BF271" s="66"/>
      <c r="BG271" s="144">
        <f t="shared" si="250"/>
        <v>0.11352027824358736</v>
      </c>
      <c r="BH271" s="66"/>
      <c r="BI271" s="170"/>
      <c r="BJ271" s="66"/>
      <c r="BK271" s="66">
        <f t="shared" si="251"/>
        <v>15188973</v>
      </c>
      <c r="BL271" s="66"/>
      <c r="BM271" s="144">
        <f t="shared" si="252"/>
        <v>9.1954274986202164E-2</v>
      </c>
      <c r="BN271" s="65">
        <f t="shared" si="253"/>
        <v>791833.36259541987</v>
      </c>
      <c r="BO271" s="66"/>
      <c r="BP271" s="66">
        <f t="shared" si="254"/>
        <v>14593748</v>
      </c>
      <c r="BQ271" s="66"/>
      <c r="BR271" s="435">
        <f t="shared" si="255"/>
        <v>7.0344760495693964E-2</v>
      </c>
      <c r="BS271" s="66"/>
      <c r="BT271" s="75"/>
      <c r="BU271" s="170"/>
      <c r="BV271" s="1"/>
      <c r="BW271" s="61">
        <f t="shared" si="189"/>
        <v>262</v>
      </c>
    </row>
    <row r="272" spans="2:75" x14ac:dyDescent="0.3">
      <c r="B272" s="158">
        <f t="shared" si="163"/>
        <v>44172</v>
      </c>
      <c r="C272" s="61"/>
      <c r="D272" s="17">
        <v>200085</v>
      </c>
      <c r="E272" s="16"/>
      <c r="F272" s="16"/>
      <c r="G272" s="16"/>
      <c r="H272" s="16">
        <f t="shared" si="236"/>
        <v>15700811</v>
      </c>
      <c r="I272" s="16"/>
      <c r="J272" s="436">
        <f t="shared" si="237"/>
        <v>1.29081050784331E-2</v>
      </c>
      <c r="K272" s="16"/>
      <c r="L272" s="16"/>
      <c r="M272" s="16"/>
      <c r="N272" s="16">
        <f t="shared" si="256"/>
        <v>1435208</v>
      </c>
      <c r="O272" s="16">
        <f t="shared" si="238"/>
        <v>59698.901140684407</v>
      </c>
      <c r="P272" s="41"/>
      <c r="Q272" s="17">
        <f t="shared" si="257"/>
        <v>1435208</v>
      </c>
      <c r="R272" s="16"/>
      <c r="S272" s="60">
        <f t="shared" si="258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9"/>
        <v>291908</v>
      </c>
      <c r="AB272" s="33"/>
      <c r="AC272" s="46">
        <f t="shared" si="240"/>
        <v>1.8591905857601877E-2</v>
      </c>
      <c r="AD272" s="33"/>
      <c r="AE272" s="33">
        <f t="shared" si="241"/>
        <v>1109.916349809886</v>
      </c>
      <c r="AF272" s="50"/>
      <c r="AG272" s="33">
        <f t="shared" si="242"/>
        <v>15979</v>
      </c>
      <c r="AH272" s="33">
        <f t="shared" si="219"/>
        <v>1181085300.060914</v>
      </c>
      <c r="AI272" s="213">
        <f t="shared" si="243"/>
        <v>0.52748303221489345</v>
      </c>
      <c r="AJ272" s="50"/>
      <c r="AK272" s="10"/>
      <c r="AL272" s="23">
        <f t="shared" si="244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5"/>
        <v>1.4286269126732818E-2</v>
      </c>
      <c r="AS272" s="25"/>
      <c r="AT272" s="25"/>
      <c r="AU272" s="24"/>
      <c r="AV272" s="298">
        <f t="shared" si="246"/>
        <v>0.57217687672311957</v>
      </c>
      <c r="AW272" s="298"/>
      <c r="AX272" s="24">
        <f t="shared" si="247"/>
        <v>34158.330798479088</v>
      </c>
      <c r="AY272" s="308"/>
      <c r="AZ272" s="10"/>
      <c r="BA272" s="65">
        <f t="shared" si="248"/>
        <v>2038932</v>
      </c>
      <c r="BB272" s="66"/>
      <c r="BC272" s="66">
        <v>209499273</v>
      </c>
      <c r="BD272" s="66"/>
      <c r="BE272" s="66">
        <f t="shared" si="249"/>
        <v>200085</v>
      </c>
      <c r="BF272" s="66"/>
      <c r="BG272" s="144">
        <f t="shared" si="250"/>
        <v>9.813225747597272E-2</v>
      </c>
      <c r="BH272" s="66"/>
      <c r="BI272" s="170"/>
      <c r="BJ272" s="66"/>
      <c r="BK272" s="66">
        <f t="shared" si="251"/>
        <v>14590524</v>
      </c>
      <c r="BL272" s="66"/>
      <c r="BM272" s="144">
        <f t="shared" si="252"/>
        <v>9.8365761229685794E-2</v>
      </c>
      <c r="BN272" s="65">
        <f t="shared" si="253"/>
        <v>796575.18250950566</v>
      </c>
      <c r="BO272" s="66"/>
      <c r="BP272" s="66">
        <f t="shared" si="254"/>
        <v>14793833</v>
      </c>
      <c r="BQ272" s="66"/>
      <c r="BR272" s="435">
        <f t="shared" si="255"/>
        <v>7.0615199700478193E-2</v>
      </c>
      <c r="BS272" s="66"/>
      <c r="BT272" s="75"/>
      <c r="BU272" s="170"/>
      <c r="BV272" s="1"/>
      <c r="BW272" s="61">
        <f t="shared" si="189"/>
        <v>263</v>
      </c>
    </row>
    <row r="273" spans="2:75" x14ac:dyDescent="0.3">
      <c r="B273" s="158">
        <f t="shared" si="163"/>
        <v>44173</v>
      </c>
      <c r="C273" s="61"/>
      <c r="D273" s="17">
        <v>209756</v>
      </c>
      <c r="E273" s="16"/>
      <c r="F273" s="16"/>
      <c r="G273" s="16"/>
      <c r="H273" s="16">
        <f t="shared" si="236"/>
        <v>15910567</v>
      </c>
      <c r="I273" s="16"/>
      <c r="J273" s="436">
        <f t="shared" si="237"/>
        <v>1.3359564674716485E-2</v>
      </c>
      <c r="K273" s="16"/>
      <c r="L273" s="16"/>
      <c r="M273" s="16"/>
      <c r="N273" s="16">
        <f t="shared" si="256"/>
        <v>1462688</v>
      </c>
      <c r="O273" s="16">
        <f t="shared" si="238"/>
        <v>60267.29924242424</v>
      </c>
      <c r="P273" s="41"/>
      <c r="Q273" s="17">
        <f t="shared" si="257"/>
        <v>1462688</v>
      </c>
      <c r="R273" s="16"/>
      <c r="S273" s="60">
        <f t="shared" si="258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9"/>
        <v>294868</v>
      </c>
      <c r="AB273" s="33"/>
      <c r="AC273" s="46">
        <f t="shared" si="240"/>
        <v>1.853284047011021E-2</v>
      </c>
      <c r="AD273" s="33"/>
      <c r="AE273" s="33">
        <f t="shared" si="241"/>
        <v>1116.9242424242425</v>
      </c>
      <c r="AF273" s="50"/>
      <c r="AG273" s="33">
        <f t="shared" si="242"/>
        <v>16325</v>
      </c>
      <c r="AH273" s="33">
        <f t="shared" si="219"/>
        <v>1180982574.060914</v>
      </c>
      <c r="AI273" s="213">
        <f t="shared" si="243"/>
        <v>0.5033612671516714</v>
      </c>
      <c r="AJ273" s="50"/>
      <c r="AK273" s="10"/>
      <c r="AL273" s="23">
        <f t="shared" si="244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5"/>
        <v>1.1628581329106985E-2</v>
      </c>
      <c r="AS273" s="25"/>
      <c r="AT273" s="25"/>
      <c r="AU273" s="24"/>
      <c r="AV273" s="298">
        <f t="shared" si="246"/>
        <v>0.57119950533503927</v>
      </c>
      <c r="AW273" s="298"/>
      <c r="AX273" s="24">
        <f t="shared" si="247"/>
        <v>34424.651515151512</v>
      </c>
      <c r="AY273" s="308"/>
      <c r="AZ273" s="10"/>
      <c r="BA273" s="65">
        <f t="shared" si="248"/>
        <v>1699673</v>
      </c>
      <c r="BB273" s="66"/>
      <c r="BC273" s="66">
        <v>211198946</v>
      </c>
      <c r="BD273" s="66"/>
      <c r="BE273" s="66">
        <f t="shared" si="249"/>
        <v>209756</v>
      </c>
      <c r="BF273" s="66"/>
      <c r="BG273" s="144">
        <f t="shared" si="250"/>
        <v>0.12340962055642468</v>
      </c>
      <c r="BH273" s="66"/>
      <c r="BI273" s="170"/>
      <c r="BJ273" s="66"/>
      <c r="BK273" s="66">
        <f t="shared" si="251"/>
        <v>14991898</v>
      </c>
      <c r="BL273" s="66"/>
      <c r="BM273" s="144">
        <f t="shared" si="252"/>
        <v>9.7565231567077096E-2</v>
      </c>
      <c r="BN273" s="65">
        <f t="shared" si="253"/>
        <v>799996.00757575757</v>
      </c>
      <c r="BO273" s="66"/>
      <c r="BP273" s="66">
        <f t="shared" si="254"/>
        <v>15003589</v>
      </c>
      <c r="BQ273" s="66"/>
      <c r="BR273" s="435">
        <f t="shared" si="255"/>
        <v>7.1040075171587266E-2</v>
      </c>
      <c r="BS273" s="66"/>
      <c r="BT273" s="75"/>
      <c r="BU273" s="170"/>
      <c r="BV273" s="1"/>
      <c r="BW273" s="61">
        <f t="shared" si="189"/>
        <v>264</v>
      </c>
    </row>
    <row r="274" spans="2:75" x14ac:dyDescent="0.3">
      <c r="B274" s="158">
        <f t="shared" si="163"/>
        <v>44174</v>
      </c>
      <c r="C274" s="61"/>
      <c r="D274" s="17">
        <v>226953</v>
      </c>
      <c r="E274" s="16"/>
      <c r="F274" s="16"/>
      <c r="G274" s="16"/>
      <c r="H274" s="16">
        <f t="shared" si="236"/>
        <v>16137520</v>
      </c>
      <c r="I274" s="16"/>
      <c r="J274" s="436">
        <f t="shared" si="237"/>
        <v>1.4264293660936157E-2</v>
      </c>
      <c r="K274" s="16"/>
      <c r="L274" s="16"/>
      <c r="M274" s="16"/>
      <c r="N274" s="16">
        <f t="shared" si="256"/>
        <v>1485904</v>
      </c>
      <c r="O274" s="16">
        <f t="shared" si="238"/>
        <v>60896.301886792455</v>
      </c>
      <c r="P274" s="41"/>
      <c r="Q274" s="17">
        <f t="shared" si="257"/>
        <v>1485904</v>
      </c>
      <c r="R274" s="16"/>
      <c r="S274" s="60">
        <f t="shared" si="258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9"/>
        <v>298133</v>
      </c>
      <c r="AB274" s="33"/>
      <c r="AC274" s="46">
        <f t="shared" si="240"/>
        <v>1.8474523966507866E-2</v>
      </c>
      <c r="AD274" s="33"/>
      <c r="AE274" s="33">
        <f t="shared" si="241"/>
        <v>1125.0301886792454</v>
      </c>
      <c r="AF274" s="50"/>
      <c r="AG274" s="33">
        <f t="shared" si="242"/>
        <v>16757</v>
      </c>
      <c r="AH274" s="33">
        <f t="shared" si="219"/>
        <v>1180856885.060914</v>
      </c>
      <c r="AI274" s="213">
        <f t="shared" si="243"/>
        <v>0.47120280948200177</v>
      </c>
      <c r="AJ274" s="50"/>
      <c r="AK274" s="10"/>
      <c r="AL274" s="23">
        <f t="shared" si="244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5"/>
        <v>1.5341477015898138E-2</v>
      </c>
      <c r="AS274" s="25"/>
      <c r="AT274" s="25"/>
      <c r="AU274" s="24"/>
      <c r="AV274" s="298">
        <f t="shared" si="246"/>
        <v>0.57180613873755071</v>
      </c>
      <c r="AW274" s="298"/>
      <c r="AX274" s="24">
        <f t="shared" si="247"/>
        <v>34820.879245283017</v>
      </c>
      <c r="AY274" s="308"/>
      <c r="AZ274" s="10"/>
      <c r="BA274" s="65">
        <f t="shared" si="248"/>
        <v>1915218</v>
      </c>
      <c r="BB274" s="66"/>
      <c r="BC274" s="66">
        <v>213114164</v>
      </c>
      <c r="BD274" s="66"/>
      <c r="BE274" s="66">
        <f t="shared" si="249"/>
        <v>226953</v>
      </c>
      <c r="BF274" s="66"/>
      <c r="BG274" s="144">
        <f t="shared" si="250"/>
        <v>0.11849982612945367</v>
      </c>
      <c r="BH274" s="66"/>
      <c r="BI274" s="170"/>
      <c r="BJ274" s="66"/>
      <c r="BK274" s="66">
        <f t="shared" si="251"/>
        <v>13207651</v>
      </c>
      <c r="BL274" s="66"/>
      <c r="BM274" s="144">
        <f t="shared" si="252"/>
        <v>0.11250327556353511</v>
      </c>
      <c r="BN274" s="65">
        <f t="shared" si="253"/>
        <v>804204.39245283022</v>
      </c>
      <c r="BO274" s="66"/>
      <c r="BP274" s="66">
        <f t="shared" si="254"/>
        <v>15230542</v>
      </c>
      <c r="BQ274" s="66"/>
      <c r="BR274" s="435">
        <f t="shared" si="255"/>
        <v>7.1466587270098109E-2</v>
      </c>
      <c r="BS274" s="66"/>
      <c r="BT274" s="75"/>
      <c r="BU274" s="170"/>
      <c r="BV274" s="1"/>
      <c r="BW274" s="61">
        <f t="shared" si="189"/>
        <v>265</v>
      </c>
    </row>
    <row r="275" spans="2:75" x14ac:dyDescent="0.3">
      <c r="B275" s="158">
        <f t="shared" si="163"/>
        <v>44175</v>
      </c>
      <c r="C275" s="61"/>
      <c r="D275" s="17">
        <v>227314</v>
      </c>
      <c r="E275" s="16"/>
      <c r="F275" s="16"/>
      <c r="G275" s="16"/>
      <c r="H275" s="16">
        <f t="shared" si="236"/>
        <v>16364834</v>
      </c>
      <c r="I275" s="16"/>
      <c r="J275" s="436">
        <f t="shared" si="237"/>
        <v>1.408605535423039E-2</v>
      </c>
      <c r="K275" s="16"/>
      <c r="L275" s="16"/>
      <c r="M275" s="16"/>
      <c r="N275" s="16">
        <f t="shared" si="256"/>
        <v>1494642</v>
      </c>
      <c r="O275" s="16">
        <f t="shared" si="238"/>
        <v>61521.932330827069</v>
      </c>
      <c r="P275" s="41"/>
      <c r="Q275" s="17">
        <f t="shared" si="257"/>
        <v>1494642</v>
      </c>
      <c r="R275" s="16"/>
      <c r="S275" s="60">
        <f t="shared" si="258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9"/>
        <v>301240</v>
      </c>
      <c r="AB275" s="33"/>
      <c r="AC275" s="46">
        <f t="shared" si="240"/>
        <v>1.8407763867326732E-2</v>
      </c>
      <c r="AD275" s="33"/>
      <c r="AE275" s="33">
        <f t="shared" si="241"/>
        <v>1132.4812030075188</v>
      </c>
      <c r="AF275" s="50"/>
      <c r="AG275" s="33">
        <f t="shared" si="242"/>
        <v>16946</v>
      </c>
      <c r="AH275" s="33">
        <f t="shared" si="219"/>
        <v>1180721232.060914</v>
      </c>
      <c r="AI275" s="213">
        <f t="shared" si="243"/>
        <v>0.30333794800799879</v>
      </c>
      <c r="AJ275" s="50"/>
      <c r="AK275" s="10"/>
      <c r="AL275" s="23">
        <f t="shared" si="244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5"/>
        <v>1.144867214238085E-2</v>
      </c>
      <c r="AS275" s="25"/>
      <c r="AT275" s="25"/>
      <c r="AU275" s="24"/>
      <c r="AV275" s="298">
        <f t="shared" si="246"/>
        <v>0.5703190145405691</v>
      </c>
      <c r="AW275" s="298"/>
      <c r="AX275" s="24">
        <f t="shared" si="247"/>
        <v>35087.12781954887</v>
      </c>
      <c r="AY275" s="308"/>
      <c r="AZ275" s="10"/>
      <c r="BA275" s="65">
        <f t="shared" si="248"/>
        <v>2007280</v>
      </c>
      <c r="BB275" s="66"/>
      <c r="BC275" s="66">
        <v>215121444</v>
      </c>
      <c r="BD275" s="66"/>
      <c r="BE275" s="66">
        <f t="shared" si="249"/>
        <v>227314</v>
      </c>
      <c r="BF275" s="66"/>
      <c r="BG275" s="144">
        <f t="shared" si="250"/>
        <v>0.11324478896815592</v>
      </c>
      <c r="BH275" s="66"/>
      <c r="BI275" s="170"/>
      <c r="BJ275" s="66"/>
      <c r="BK275" s="66">
        <f t="shared" si="251"/>
        <v>13351981</v>
      </c>
      <c r="BL275" s="66"/>
      <c r="BM275" s="144">
        <f t="shared" si="252"/>
        <v>0.11194159128896304</v>
      </c>
      <c r="BN275" s="65">
        <f t="shared" si="253"/>
        <v>808727.23308270681</v>
      </c>
      <c r="BO275" s="66"/>
      <c r="BP275" s="66">
        <f t="shared" si="254"/>
        <v>15457856</v>
      </c>
      <c r="BQ275" s="66"/>
      <c r="BR275" s="435">
        <f t="shared" si="255"/>
        <v>7.1856416136738099E-2</v>
      </c>
      <c r="BS275" s="66"/>
      <c r="BT275" s="75"/>
      <c r="BU275" s="170"/>
      <c r="BV275" s="1"/>
      <c r="BW275" s="61">
        <f t="shared" si="189"/>
        <v>266</v>
      </c>
    </row>
    <row r="276" spans="2:75" x14ac:dyDescent="0.3">
      <c r="B276" s="158">
        <f t="shared" si="163"/>
        <v>44176</v>
      </c>
      <c r="C276" s="61"/>
      <c r="D276" s="17">
        <v>246761</v>
      </c>
      <c r="E276" s="16"/>
      <c r="F276" s="16"/>
      <c r="G276" s="16"/>
      <c r="H276" s="16">
        <f t="shared" si="236"/>
        <v>16611595</v>
      </c>
      <c r="I276" s="16"/>
      <c r="J276" s="436">
        <f t="shared" si="237"/>
        <v>1.5078735293006944E-2</v>
      </c>
      <c r="K276" s="16"/>
      <c r="L276" s="16"/>
      <c r="M276" s="16"/>
      <c r="N276" s="16">
        <f t="shared" si="256"/>
        <v>1506131</v>
      </c>
      <c r="O276" s="16">
        <f t="shared" si="238"/>
        <v>62215.711610486891</v>
      </c>
      <c r="P276" s="41"/>
      <c r="Q276" s="17">
        <f t="shared" si="257"/>
        <v>1506131</v>
      </c>
      <c r="R276" s="16"/>
      <c r="S276" s="60">
        <f t="shared" si="258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9"/>
        <v>304271</v>
      </c>
      <c r="AB276" s="33"/>
      <c r="AC276" s="46">
        <f t="shared" si="240"/>
        <v>1.8316784149866403E-2</v>
      </c>
      <c r="AD276" s="33"/>
      <c r="AE276" s="33">
        <f t="shared" si="241"/>
        <v>1139.5917602996255</v>
      </c>
      <c r="AF276" s="50"/>
      <c r="AG276" s="33">
        <f t="shared" si="242"/>
        <v>17259</v>
      </c>
      <c r="AH276" s="33">
        <f t="shared" si="219"/>
        <v>1180578326.060914</v>
      </c>
      <c r="AI276" s="213">
        <f t="shared" si="243"/>
        <v>0.20221510169963777</v>
      </c>
      <c r="AJ276" s="50"/>
      <c r="AK276" s="10"/>
      <c r="AL276" s="23">
        <f t="shared" si="244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5"/>
        <v>1.8675314812449696E-2</v>
      </c>
      <c r="AS276" s="25"/>
      <c r="AT276" s="25"/>
      <c r="AU276" s="24"/>
      <c r="AV276" s="298">
        <f t="shared" si="246"/>
        <v>0.57233974221018513</v>
      </c>
      <c r="AW276" s="298"/>
      <c r="AX276" s="24">
        <f t="shared" si="247"/>
        <v>35608.52434456929</v>
      </c>
      <c r="AY276" s="308"/>
      <c r="AZ276" s="10"/>
      <c r="BA276" s="65">
        <f t="shared" si="248"/>
        <v>2071253</v>
      </c>
      <c r="BB276" s="66"/>
      <c r="BC276" s="66">
        <v>217192697</v>
      </c>
      <c r="BD276" s="66"/>
      <c r="BE276" s="66">
        <f t="shared" si="249"/>
        <v>246761</v>
      </c>
      <c r="BF276" s="66"/>
      <c r="BG276" s="144">
        <f t="shared" si="250"/>
        <v>0.11913609781132484</v>
      </c>
      <c r="BH276" s="66"/>
      <c r="BI276" s="170"/>
      <c r="BJ276" s="66"/>
      <c r="BK276" s="66">
        <f t="shared" si="251"/>
        <v>13308696</v>
      </c>
      <c r="BL276" s="66"/>
      <c r="BM276" s="144">
        <f t="shared" si="252"/>
        <v>0.11316893856467981</v>
      </c>
      <c r="BN276" s="65">
        <f t="shared" si="253"/>
        <v>813455.79400749062</v>
      </c>
      <c r="BO276" s="66"/>
      <c r="BP276" s="66">
        <f t="shared" si="254"/>
        <v>15704617</v>
      </c>
      <c r="BQ276" s="66"/>
      <c r="BR276" s="435">
        <f t="shared" si="255"/>
        <v>7.2307297698872439E-2</v>
      </c>
      <c r="BS276" s="66"/>
      <c r="BT276" s="75"/>
      <c r="BU276" s="170"/>
      <c r="BV276" s="1"/>
      <c r="BW276" s="61">
        <f t="shared" si="189"/>
        <v>267</v>
      </c>
    </row>
    <row r="277" spans="2:75" x14ac:dyDescent="0.3">
      <c r="B277" s="158">
        <f t="shared" si="163"/>
        <v>44177</v>
      </c>
      <c r="C277" s="61"/>
      <c r="D277" s="17">
        <v>220298</v>
      </c>
      <c r="E277" s="16"/>
      <c r="F277" s="16"/>
      <c r="G277" s="16"/>
      <c r="H277" s="16">
        <f t="shared" si="236"/>
        <v>16831893</v>
      </c>
      <c r="I277" s="16"/>
      <c r="J277" s="436">
        <f t="shared" si="237"/>
        <v>1.3261700637416215E-2</v>
      </c>
      <c r="K277" s="16"/>
      <c r="L277" s="16"/>
      <c r="M277" s="16"/>
      <c r="N277" s="16">
        <f t="shared" si="256"/>
        <v>1513946</v>
      </c>
      <c r="O277" s="16">
        <f t="shared" si="238"/>
        <v>62805.570895522389</v>
      </c>
      <c r="P277" s="41"/>
      <c r="Q277" s="17">
        <f t="shared" si="257"/>
        <v>1513946</v>
      </c>
      <c r="R277" s="16"/>
      <c r="S277" s="60">
        <f t="shared" si="258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9"/>
        <v>306578</v>
      </c>
      <c r="AB277" s="33"/>
      <c r="AC277" s="46">
        <f t="shared" si="240"/>
        <v>1.8214112934296815E-2</v>
      </c>
      <c r="AD277" s="33"/>
      <c r="AE277" s="33">
        <f t="shared" si="241"/>
        <v>1143.9477611940299</v>
      </c>
      <c r="AF277" s="50"/>
      <c r="AG277" s="33">
        <f t="shared" si="242"/>
        <v>17300</v>
      </c>
      <c r="AH277" s="33">
        <f t="shared" si="219"/>
        <v>1180416785.060914</v>
      </c>
      <c r="AI277" s="213">
        <f t="shared" si="243"/>
        <v>0.12293911463066338</v>
      </c>
      <c r="AJ277" s="50"/>
      <c r="AK277" s="10"/>
      <c r="AL277" s="23">
        <f t="shared" si="244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5"/>
        <v>1.4393830707540045E-2</v>
      </c>
      <c r="AS277" s="25"/>
      <c r="AT277" s="25"/>
      <c r="AU277" s="24"/>
      <c r="AV277" s="298">
        <f t="shared" si="246"/>
        <v>0.57297922461840745</v>
      </c>
      <c r="AW277" s="298"/>
      <c r="AX277" s="24">
        <f t="shared" si="247"/>
        <v>35986.287313432833</v>
      </c>
      <c r="AY277" s="308"/>
      <c r="AZ277" s="10"/>
      <c r="BA277" s="65">
        <f t="shared" si="248"/>
        <v>2312375</v>
      </c>
      <c r="BB277" s="66"/>
      <c r="BC277" s="66">
        <v>219505072</v>
      </c>
      <c r="BD277" s="66"/>
      <c r="BE277" s="66">
        <f t="shared" si="249"/>
        <v>220298</v>
      </c>
      <c r="BF277" s="66"/>
      <c r="BG277" s="144">
        <f t="shared" si="250"/>
        <v>9.5269149683766693E-2</v>
      </c>
      <c r="BH277" s="66"/>
      <c r="BI277" s="170"/>
      <c r="BJ277" s="66"/>
      <c r="BK277" s="66">
        <f t="shared" si="251"/>
        <v>13654831</v>
      </c>
      <c r="BL277" s="66"/>
      <c r="BM277" s="144">
        <f t="shared" si="252"/>
        <v>0.11087255492213709</v>
      </c>
      <c r="BN277" s="65">
        <f t="shared" si="253"/>
        <v>819048.77611940296</v>
      </c>
      <c r="BO277" s="66"/>
      <c r="BP277" s="66">
        <f t="shared" si="254"/>
        <v>15924915</v>
      </c>
      <c r="BQ277" s="66"/>
      <c r="BR277" s="435">
        <f t="shared" si="255"/>
        <v>7.2549189205067657E-2</v>
      </c>
      <c r="BS277" s="66"/>
      <c r="BT277" s="75"/>
      <c r="BU277" s="170"/>
      <c r="BV277" s="1"/>
      <c r="BW277" s="61">
        <f t="shared" si="189"/>
        <v>268</v>
      </c>
    </row>
    <row r="278" spans="2:75" x14ac:dyDescent="0.3">
      <c r="B278" s="347">
        <f t="shared" si="163"/>
        <v>44178</v>
      </c>
      <c r="C278" s="61"/>
      <c r="D278" s="17">
        <v>187901</v>
      </c>
      <c r="E278" s="16"/>
      <c r="F278" s="16"/>
      <c r="G278" s="16"/>
      <c r="H278" s="16">
        <f t="shared" si="236"/>
        <v>17019794</v>
      </c>
      <c r="I278" s="16"/>
      <c r="J278" s="436">
        <f t="shared" si="237"/>
        <v>1.1163390831916529E-2</v>
      </c>
      <c r="K278" s="16"/>
      <c r="L278" s="16"/>
      <c r="M278" s="16"/>
      <c r="N278" s="16">
        <f t="shared" si="256"/>
        <v>1519068</v>
      </c>
      <c r="O278" s="16">
        <f t="shared" si="238"/>
        <v>63270.60966542751</v>
      </c>
      <c r="P278" s="41"/>
      <c r="Q278" s="17">
        <f t="shared" si="257"/>
        <v>1519068</v>
      </c>
      <c r="R278" s="16"/>
      <c r="S278" s="60">
        <f t="shared" si="258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9"/>
        <v>307957</v>
      </c>
      <c r="AB278" s="33"/>
      <c r="AC278" s="46">
        <f t="shared" si="240"/>
        <v>1.8094049786971569E-2</v>
      </c>
      <c r="AD278" s="33"/>
      <c r="AE278" s="33">
        <f t="shared" si="241"/>
        <v>1144.8215613382899</v>
      </c>
      <c r="AF278" s="50"/>
      <c r="AG278" s="33">
        <f t="shared" si="242"/>
        <v>17587</v>
      </c>
      <c r="AH278" s="33">
        <f t="shared" si="219"/>
        <v>1180233258.060914</v>
      </c>
      <c r="AI278" s="213">
        <f t="shared" si="243"/>
        <v>0.12169143440270426</v>
      </c>
      <c r="AJ278" s="50"/>
      <c r="AK278" s="10"/>
      <c r="AL278" s="23">
        <f t="shared" si="244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5"/>
        <v>8.3068540307382841E-3</v>
      </c>
      <c r="AS278" s="25"/>
      <c r="AT278" s="25"/>
      <c r="AU278" s="24"/>
      <c r="AV278" s="298">
        <f t="shared" si="246"/>
        <v>0.57136055818301912</v>
      </c>
      <c r="AW278" s="298"/>
      <c r="AX278" s="24">
        <f t="shared" si="247"/>
        <v>36150.33085501859</v>
      </c>
      <c r="AY278" s="308"/>
      <c r="AZ278" s="10"/>
      <c r="BA278" s="65">
        <f t="shared" si="248"/>
        <v>1690558</v>
      </c>
      <c r="BB278" s="66"/>
      <c r="BC278" s="66">
        <v>221195630</v>
      </c>
      <c r="BD278" s="66"/>
      <c r="BE278" s="66">
        <f t="shared" si="249"/>
        <v>187901</v>
      </c>
      <c r="BF278" s="66"/>
      <c r="BG278" s="144">
        <f t="shared" si="250"/>
        <v>0.11114732532098869</v>
      </c>
      <c r="BH278" s="66"/>
      <c r="BI278" s="170"/>
      <c r="BJ278" s="66"/>
      <c r="BK278" s="66">
        <f t="shared" si="251"/>
        <v>13735289</v>
      </c>
      <c r="BL278" s="66"/>
      <c r="BM278" s="144">
        <f t="shared" si="252"/>
        <v>0.11059599838052188</v>
      </c>
      <c r="BN278" s="65">
        <f t="shared" si="253"/>
        <v>822288.58736059477</v>
      </c>
      <c r="BO278" s="66"/>
      <c r="BP278" s="66">
        <f t="shared" si="254"/>
        <v>16112816</v>
      </c>
      <c r="BQ278" s="66"/>
      <c r="BR278" s="435">
        <f t="shared" si="255"/>
        <v>7.2844187744577057E-2</v>
      </c>
      <c r="BS278" s="66"/>
      <c r="BT278" s="75"/>
      <c r="BU278" s="170"/>
      <c r="BV278" s="1"/>
      <c r="BW278" s="61">
        <f t="shared" si="189"/>
        <v>269</v>
      </c>
    </row>
    <row r="279" spans="2:75" x14ac:dyDescent="0.3">
      <c r="B279" s="158">
        <f t="shared" si="163"/>
        <v>44179</v>
      </c>
      <c r="C279" s="61"/>
      <c r="D279" s="17">
        <v>199732</v>
      </c>
      <c r="E279" s="16"/>
      <c r="F279" s="16"/>
      <c r="G279" s="16"/>
      <c r="H279" s="16">
        <f t="shared" si="236"/>
        <v>17219526</v>
      </c>
      <c r="I279" s="16"/>
      <c r="J279" s="436">
        <f t="shared" si="237"/>
        <v>1.1735277171979872E-2</v>
      </c>
      <c r="K279" s="16"/>
      <c r="L279" s="16"/>
      <c r="M279" s="16"/>
      <c r="N279" s="16">
        <f t="shared" si="256"/>
        <v>1518715</v>
      </c>
      <c r="O279" s="16">
        <f t="shared" si="238"/>
        <v>63776.022222222222</v>
      </c>
      <c r="P279" s="41"/>
      <c r="Q279" s="17">
        <f t="shared" si="257"/>
        <v>1518715</v>
      </c>
      <c r="R279" s="16"/>
      <c r="S279" s="60">
        <f t="shared" si="258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9"/>
        <v>309579</v>
      </c>
      <c r="AB279" s="33"/>
      <c r="AC279" s="46">
        <f t="shared" si="240"/>
        <v>1.7978369439437532E-2</v>
      </c>
      <c r="AD279" s="33"/>
      <c r="AE279" s="33">
        <f t="shared" si="241"/>
        <v>1146.588888888889</v>
      </c>
      <c r="AF279" s="50"/>
      <c r="AG279" s="33">
        <f t="shared" si="242"/>
        <v>17671</v>
      </c>
      <c r="AH279" s="33">
        <f t="shared" si="219"/>
        <v>1180076005.060914</v>
      </c>
      <c r="AI279" s="213">
        <f t="shared" si="243"/>
        <v>0.10588897928531198</v>
      </c>
      <c r="AJ279" s="50"/>
      <c r="AK279" s="10"/>
      <c r="AL279" s="23">
        <f t="shared" si="244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5"/>
        <v>1.5289828030182513E-2</v>
      </c>
      <c r="AS279" s="25"/>
      <c r="AT279" s="25"/>
      <c r="AU279" s="24"/>
      <c r="AV279" s="298">
        <f t="shared" si="246"/>
        <v>0.5733679312659361</v>
      </c>
      <c r="AW279" s="298"/>
      <c r="AX279" s="24">
        <f t="shared" si="247"/>
        <v>36567.125925925924</v>
      </c>
      <c r="AY279" s="308"/>
      <c r="AZ279" s="10"/>
      <c r="BA279" s="65">
        <f t="shared" si="248"/>
        <v>1989576</v>
      </c>
      <c r="BB279" s="66"/>
      <c r="BC279" s="66">
        <v>223185206</v>
      </c>
      <c r="BD279" s="66"/>
      <c r="BE279" s="66">
        <f t="shared" si="249"/>
        <v>199732</v>
      </c>
      <c r="BF279" s="66"/>
      <c r="BG279" s="144">
        <f t="shared" si="250"/>
        <v>0.10038922865977475</v>
      </c>
      <c r="BH279" s="66"/>
      <c r="BI279" s="170"/>
      <c r="BJ279" s="66"/>
      <c r="BK279" s="66">
        <f t="shared" si="251"/>
        <v>13685933</v>
      </c>
      <c r="BL279" s="66"/>
      <c r="BM279" s="144">
        <f t="shared" si="252"/>
        <v>0.11096905121484958</v>
      </c>
      <c r="BN279" s="65">
        <f t="shared" si="253"/>
        <v>826611.87407407409</v>
      </c>
      <c r="BO279" s="66"/>
      <c r="BP279" s="66">
        <f t="shared" si="254"/>
        <v>16312548</v>
      </c>
      <c r="BQ279" s="66"/>
      <c r="BR279" s="435">
        <f t="shared" si="255"/>
        <v>7.3089736960432763E-2</v>
      </c>
      <c r="BS279" s="66"/>
      <c r="BT279" s="75"/>
      <c r="BU279" s="170"/>
      <c r="BV279" s="1"/>
      <c r="BW279" s="61">
        <f t="shared" si="189"/>
        <v>270</v>
      </c>
    </row>
    <row r="280" spans="2:75" x14ac:dyDescent="0.3">
      <c r="B280" s="158">
        <f t="shared" si="163"/>
        <v>44180</v>
      </c>
      <c r="C280" s="61"/>
      <c r="D280" s="17">
        <v>200035</v>
      </c>
      <c r="E280" s="16"/>
      <c r="F280" s="16"/>
      <c r="G280" s="16"/>
      <c r="H280" s="16">
        <f t="shared" si="236"/>
        <v>17419561</v>
      </c>
      <c r="I280" s="16"/>
      <c r="J280" s="436">
        <f t="shared" si="237"/>
        <v>1.1616754142942146E-2</v>
      </c>
      <c r="K280" s="16"/>
      <c r="L280" s="16"/>
      <c r="M280" s="16"/>
      <c r="N280" s="16">
        <f t="shared" si="256"/>
        <v>1508994</v>
      </c>
      <c r="O280" s="16">
        <f t="shared" si="238"/>
        <v>64278.822878228784</v>
      </c>
      <c r="P280" s="41"/>
      <c r="Q280" s="17">
        <f t="shared" si="257"/>
        <v>1508994</v>
      </c>
      <c r="R280" s="16"/>
      <c r="S280" s="60">
        <f t="shared" si="258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9"/>
        <v>312560</v>
      </c>
      <c r="AB280" s="33"/>
      <c r="AC280" s="46">
        <f t="shared" si="240"/>
        <v>1.794304689997641E-2</v>
      </c>
      <c r="AD280" s="33"/>
      <c r="AE280" s="33">
        <f t="shared" si="241"/>
        <v>1153.3579335793358</v>
      </c>
      <c r="AF280" s="50"/>
      <c r="AG280" s="33">
        <f t="shared" si="242"/>
        <v>17692</v>
      </c>
      <c r="AH280" s="33">
        <f t="shared" si="219"/>
        <v>1179937756.060914</v>
      </c>
      <c r="AI280" s="213">
        <f t="shared" si="243"/>
        <v>8.3736600306278719E-2</v>
      </c>
      <c r="AJ280" s="50"/>
      <c r="AK280" s="10"/>
      <c r="AL280" s="23">
        <f t="shared" si="244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5"/>
        <v>1.3656467800870322E-2</v>
      </c>
      <c r="AS280" s="25"/>
      <c r="AT280" s="25"/>
      <c r="AU280" s="24"/>
      <c r="AV280" s="298">
        <f t="shared" si="246"/>
        <v>0.57452400780938162</v>
      </c>
      <c r="AW280" s="298"/>
      <c r="AX280" s="24">
        <f t="shared" si="247"/>
        <v>36929.72693726937</v>
      </c>
      <c r="AY280" s="308"/>
      <c r="AZ280" s="10"/>
      <c r="BA280" s="65">
        <f t="shared" si="248"/>
        <v>1753436</v>
      </c>
      <c r="BB280" s="66"/>
      <c r="BC280" s="66">
        <v>224938642</v>
      </c>
      <c r="BD280" s="66"/>
      <c r="BE280" s="66">
        <f t="shared" si="249"/>
        <v>200035</v>
      </c>
      <c r="BF280" s="66"/>
      <c r="BG280" s="144">
        <f t="shared" si="250"/>
        <v>0.11408172297135453</v>
      </c>
      <c r="BH280" s="66"/>
      <c r="BI280" s="170"/>
      <c r="BJ280" s="66"/>
      <c r="BK280" s="66">
        <f t="shared" si="251"/>
        <v>13739696</v>
      </c>
      <c r="BL280" s="66"/>
      <c r="BM280" s="144">
        <f t="shared" si="252"/>
        <v>0.1098273207791497</v>
      </c>
      <c r="BN280" s="65">
        <f t="shared" si="253"/>
        <v>830031.88929889305</v>
      </c>
      <c r="BO280" s="66"/>
      <c r="BP280" s="66">
        <f t="shared" si="254"/>
        <v>16512583</v>
      </c>
      <c r="BQ280" s="66"/>
      <c r="BR280" s="435">
        <f t="shared" si="255"/>
        <v>7.3409276650652139E-2</v>
      </c>
      <c r="BS280" s="66"/>
      <c r="BT280" s="75"/>
      <c r="BU280" s="170"/>
      <c r="BV280" s="1"/>
      <c r="BW280" s="61">
        <f t="shared" si="189"/>
        <v>271</v>
      </c>
    </row>
    <row r="281" spans="2:75" x14ac:dyDescent="0.3">
      <c r="B281" s="158">
        <f t="shared" si="163"/>
        <v>44181</v>
      </c>
      <c r="C281" s="61"/>
      <c r="D281" s="17">
        <v>250173</v>
      </c>
      <c r="E281" s="16"/>
      <c r="F281" s="16"/>
      <c r="G281" s="16"/>
      <c r="H281" s="16">
        <f t="shared" si="236"/>
        <v>17669734</v>
      </c>
      <c r="I281" s="16"/>
      <c r="J281" s="436">
        <f t="shared" si="237"/>
        <v>1.4361613360979648E-2</v>
      </c>
      <c r="K281" s="16"/>
      <c r="L281" s="16"/>
      <c r="M281" s="16"/>
      <c r="N281" s="16">
        <f t="shared" si="256"/>
        <v>1532214</v>
      </c>
      <c r="O281" s="16">
        <f t="shared" si="238"/>
        <v>64962.257352941175</v>
      </c>
      <c r="P281" s="41"/>
      <c r="Q281" s="17">
        <f t="shared" si="257"/>
        <v>1532214</v>
      </c>
      <c r="R281" s="16"/>
      <c r="S281" s="60">
        <f t="shared" si="258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9"/>
        <v>316121</v>
      </c>
      <c r="AB281" s="33"/>
      <c r="AC281" s="46">
        <f t="shared" si="240"/>
        <v>1.7890535307435868E-2</v>
      </c>
      <c r="AD281" s="33"/>
      <c r="AE281" s="33">
        <f t="shared" si="241"/>
        <v>1162.2095588235295</v>
      </c>
      <c r="AF281" s="50"/>
      <c r="AG281" s="33">
        <f t="shared" si="242"/>
        <v>17988</v>
      </c>
      <c r="AH281" s="33">
        <f t="shared" si="219"/>
        <v>1179775607.060914</v>
      </c>
      <c r="AI281" s="213">
        <f t="shared" si="243"/>
        <v>7.3461836844303879E-2</v>
      </c>
      <c r="AJ281" s="50"/>
      <c r="AK281" s="10"/>
      <c r="AL281" s="23">
        <f t="shared" si="244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5"/>
        <v>1.627025538481584E-2</v>
      </c>
      <c r="AS281" s="25"/>
      <c r="AT281" s="25"/>
      <c r="AU281" s="24"/>
      <c r="AV281" s="298">
        <f t="shared" si="246"/>
        <v>0.5756050430640326</v>
      </c>
      <c r="AW281" s="298"/>
      <c r="AX281" s="24">
        <f t="shared" si="247"/>
        <v>37392.602941176468</v>
      </c>
      <c r="AY281" s="308"/>
      <c r="AZ281" s="10"/>
      <c r="BA281" s="65">
        <f t="shared" si="248"/>
        <v>1784514</v>
      </c>
      <c r="BB281" s="66"/>
      <c r="BC281" s="66">
        <v>226723156</v>
      </c>
      <c r="BD281" s="66"/>
      <c r="BE281" s="66">
        <f t="shared" si="249"/>
        <v>250173</v>
      </c>
      <c r="BF281" s="66"/>
      <c r="BG281" s="144">
        <f t="shared" si="250"/>
        <v>0.1401911108570737</v>
      </c>
      <c r="BH281" s="66"/>
      <c r="BI281" s="170"/>
      <c r="BJ281" s="66"/>
      <c r="BK281" s="66">
        <f t="shared" si="251"/>
        <v>13608992</v>
      </c>
      <c r="BL281" s="66"/>
      <c r="BM281" s="144">
        <f t="shared" si="252"/>
        <v>0.11258835334755138</v>
      </c>
      <c r="BN281" s="65">
        <f t="shared" si="253"/>
        <v>833541.01470588241</v>
      </c>
      <c r="BO281" s="66"/>
      <c r="BP281" s="66">
        <f t="shared" si="254"/>
        <v>16762756</v>
      </c>
      <c r="BQ281" s="66"/>
      <c r="BR281" s="435">
        <f t="shared" si="255"/>
        <v>7.393490940995899E-2</v>
      </c>
      <c r="BS281" s="66"/>
      <c r="BT281" s="75"/>
      <c r="BU281" s="170"/>
      <c r="BV281" s="1"/>
      <c r="BW281" s="61">
        <f t="shared" si="189"/>
        <v>272</v>
      </c>
    </row>
    <row r="282" spans="2:75" x14ac:dyDescent="0.3">
      <c r="B282" s="158">
        <f t="shared" si="163"/>
        <v>44182</v>
      </c>
      <c r="C282" s="61"/>
      <c r="D282" s="17">
        <v>237872</v>
      </c>
      <c r="E282" s="16"/>
      <c r="F282" s="16"/>
      <c r="G282" s="16"/>
      <c r="H282" s="16">
        <f t="shared" si="236"/>
        <v>17907606</v>
      </c>
      <c r="I282" s="16"/>
      <c r="J282" s="436">
        <f t="shared" si="237"/>
        <v>1.3462115502134893E-2</v>
      </c>
      <c r="K282" s="16"/>
      <c r="L282" s="16"/>
      <c r="M282" s="16"/>
      <c r="N282" s="16">
        <f t="shared" si="256"/>
        <v>1542772</v>
      </c>
      <c r="O282" s="16">
        <f t="shared" si="238"/>
        <v>65595.626373626379</v>
      </c>
      <c r="P282" s="41"/>
      <c r="Q282" s="17">
        <f t="shared" si="257"/>
        <v>1542772</v>
      </c>
      <c r="R282" s="16"/>
      <c r="S282" s="60">
        <f t="shared" si="258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9"/>
        <v>319521</v>
      </c>
      <c r="AB282" s="33"/>
      <c r="AC282" s="46">
        <f t="shared" si="240"/>
        <v>1.784275352048733E-2</v>
      </c>
      <c r="AD282" s="33"/>
      <c r="AE282" s="33">
        <f t="shared" si="241"/>
        <v>1170.4065934065934</v>
      </c>
      <c r="AF282" s="50"/>
      <c r="AG282" s="33">
        <f t="shared" si="242"/>
        <v>18281</v>
      </c>
      <c r="AH282" s="33">
        <f t="shared" si="219"/>
        <v>1179618346.060914</v>
      </c>
      <c r="AI282" s="213">
        <f t="shared" si="243"/>
        <v>7.8779653015460874E-2</v>
      </c>
      <c r="AJ282" s="50"/>
      <c r="AK282" s="10"/>
      <c r="AL282" s="23">
        <f t="shared" si="244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5"/>
        <v>1.187882394166509E-2</v>
      </c>
      <c r="AS282" s="25"/>
      <c r="AT282" s="25"/>
      <c r="AU282" s="24"/>
      <c r="AV282" s="298">
        <f t="shared" si="246"/>
        <v>0.57470579819547063</v>
      </c>
      <c r="AW282" s="298"/>
      <c r="AX282" s="24">
        <f t="shared" si="247"/>
        <v>37698.18681318681</v>
      </c>
      <c r="AY282" s="308"/>
      <c r="AZ282" s="10"/>
      <c r="BA282" s="65">
        <f t="shared" si="248"/>
        <v>1885917</v>
      </c>
      <c r="BB282" s="66"/>
      <c r="BC282" s="66">
        <v>228609073</v>
      </c>
      <c r="BD282" s="66"/>
      <c r="BE282" s="66">
        <f t="shared" si="249"/>
        <v>237872</v>
      </c>
      <c r="BF282" s="66"/>
      <c r="BG282" s="144">
        <f t="shared" si="250"/>
        <v>0.12613068337577954</v>
      </c>
      <c r="BH282" s="66"/>
      <c r="BI282" s="170"/>
      <c r="BJ282" s="66"/>
      <c r="BK282" s="66">
        <f t="shared" si="251"/>
        <v>13487629</v>
      </c>
      <c r="BL282" s="66"/>
      <c r="BM282" s="144">
        <f t="shared" si="252"/>
        <v>0.11438422572269745</v>
      </c>
      <c r="BN282" s="65">
        <f t="shared" si="253"/>
        <v>837395.87179487175</v>
      </c>
      <c r="BO282" s="66"/>
      <c r="BP282" s="66">
        <f t="shared" si="254"/>
        <v>17000628</v>
      </c>
      <c r="BQ282" s="66"/>
      <c r="BR282" s="435">
        <f t="shared" si="255"/>
        <v>7.4365499920469036E-2</v>
      </c>
      <c r="BS282" s="66"/>
      <c r="BT282" s="75"/>
      <c r="BU282" s="170"/>
      <c r="BV282" s="1"/>
      <c r="BW282" s="61">
        <f t="shared" si="189"/>
        <v>273</v>
      </c>
    </row>
    <row r="283" spans="2:75" x14ac:dyDescent="0.3">
      <c r="B283" s="158">
        <f t="shared" si="163"/>
        <v>44183</v>
      </c>
      <c r="C283" s="61"/>
      <c r="D283" s="17">
        <v>254680</v>
      </c>
      <c r="E283" s="16"/>
      <c r="F283" s="16"/>
      <c r="G283" s="16"/>
      <c r="H283" s="16">
        <f t="shared" si="236"/>
        <v>18162286</v>
      </c>
      <c r="I283" s="16"/>
      <c r="J283" s="436">
        <f t="shared" si="237"/>
        <v>1.4221889849486302E-2</v>
      </c>
      <c r="K283" s="16"/>
      <c r="L283" s="16"/>
      <c r="M283" s="16"/>
      <c r="N283" s="16">
        <f t="shared" si="256"/>
        <v>1550691</v>
      </c>
      <c r="O283" s="16">
        <f t="shared" si="238"/>
        <v>66285.715328467151</v>
      </c>
      <c r="P283" s="41"/>
      <c r="Q283" s="17">
        <f t="shared" si="257"/>
        <v>1550691</v>
      </c>
      <c r="R283" s="16"/>
      <c r="S283" s="60">
        <f t="shared" si="258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9"/>
        <v>322315</v>
      </c>
      <c r="AB283" s="33"/>
      <c r="AC283" s="46">
        <f t="shared" si="240"/>
        <v>1.7746389413755514E-2</v>
      </c>
      <c r="AD283" s="33"/>
      <c r="AE283" s="33">
        <f t="shared" si="241"/>
        <v>1176.3321167883212</v>
      </c>
      <c r="AF283" s="50"/>
      <c r="AG283" s="33">
        <f t="shared" si="242"/>
        <v>18044</v>
      </c>
      <c r="AH283" s="33">
        <f t="shared" si="219"/>
        <v>1179444578.060914</v>
      </c>
      <c r="AI283" s="213">
        <f t="shared" si="243"/>
        <v>4.5483515846804566E-2</v>
      </c>
      <c r="AJ283" s="50"/>
      <c r="AK283" s="10"/>
      <c r="AL283" s="23">
        <f t="shared" si="244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5"/>
        <v>9.9771609967541502E-3</v>
      </c>
      <c r="AS283" s="25"/>
      <c r="AT283" s="25"/>
      <c r="AU283" s="24"/>
      <c r="AV283" s="298">
        <f t="shared" si="246"/>
        <v>0.57230053529605251</v>
      </c>
      <c r="AW283" s="298"/>
      <c r="AX283" s="24">
        <f t="shared" si="247"/>
        <v>37935.350364963502</v>
      </c>
      <c r="AY283" s="308"/>
      <c r="AZ283" s="10"/>
      <c r="BA283" s="65">
        <f t="shared" si="248"/>
        <v>2207096</v>
      </c>
      <c r="BB283" s="66"/>
      <c r="BC283" s="66">
        <v>230816169</v>
      </c>
      <c r="BD283" s="66"/>
      <c r="BE283" s="66">
        <f t="shared" si="249"/>
        <v>254680</v>
      </c>
      <c r="BF283" s="66"/>
      <c r="BG283" s="144">
        <f t="shared" si="250"/>
        <v>0.11539144649802274</v>
      </c>
      <c r="BH283" s="66"/>
      <c r="BI283" s="170"/>
      <c r="BJ283" s="66"/>
      <c r="BK283" s="66">
        <f t="shared" si="251"/>
        <v>13623472</v>
      </c>
      <c r="BL283" s="66"/>
      <c r="BM283" s="144">
        <f t="shared" si="252"/>
        <v>0.11382494858872981</v>
      </c>
      <c r="BN283" s="65">
        <f t="shared" si="253"/>
        <v>842394.77737226279</v>
      </c>
      <c r="BO283" s="66"/>
      <c r="BP283" s="66">
        <f t="shared" si="254"/>
        <v>17255308</v>
      </c>
      <c r="BQ283" s="66"/>
      <c r="BR283" s="435">
        <f t="shared" si="255"/>
        <v>7.4757795672451346E-2</v>
      </c>
      <c r="BS283" s="66"/>
      <c r="BT283" s="75"/>
      <c r="BU283" s="170"/>
      <c r="BV283" s="1"/>
      <c r="BW283" s="61">
        <f t="shared" si="189"/>
        <v>274</v>
      </c>
    </row>
    <row r="284" spans="2:75" x14ac:dyDescent="0.3">
      <c r="B284" s="158">
        <f t="shared" si="163"/>
        <v>44184</v>
      </c>
      <c r="C284" s="61"/>
      <c r="D284" s="17">
        <v>189650</v>
      </c>
      <c r="E284" s="16"/>
      <c r="F284" s="16"/>
      <c r="G284" s="16"/>
      <c r="H284" s="16">
        <f t="shared" si="236"/>
        <v>18351936</v>
      </c>
      <c r="I284" s="16"/>
      <c r="J284" s="436">
        <f t="shared" si="237"/>
        <v>1.044196749241808E-2</v>
      </c>
      <c r="K284" s="16"/>
      <c r="L284" s="16"/>
      <c r="M284" s="16"/>
      <c r="N284" s="16">
        <f t="shared" si="256"/>
        <v>1520043</v>
      </c>
      <c r="O284" s="16">
        <f t="shared" si="238"/>
        <v>66734.312727272729</v>
      </c>
      <c r="P284" s="41"/>
      <c r="Q284" s="17">
        <f t="shared" si="257"/>
        <v>1520043</v>
      </c>
      <c r="R284" s="16"/>
      <c r="S284" s="60">
        <f t="shared" si="258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9"/>
        <v>324874</v>
      </c>
      <c r="AB284" s="33"/>
      <c r="AC284" s="46">
        <f t="shared" si="240"/>
        <v>1.7702437497602433E-2</v>
      </c>
      <c r="AD284" s="33"/>
      <c r="AE284" s="33">
        <f t="shared" si="241"/>
        <v>1181.3599999999999</v>
      </c>
      <c r="AF284" s="50"/>
      <c r="AG284" s="33">
        <f t="shared" si="242"/>
        <v>18296</v>
      </c>
      <c r="AH284" s="33">
        <f t="shared" si="219"/>
        <v>1179252392.060914</v>
      </c>
      <c r="AI284" s="213">
        <f t="shared" si="243"/>
        <v>5.7572254335260115E-2</v>
      </c>
      <c r="AJ284" s="50"/>
      <c r="AK284" s="10"/>
      <c r="AL284" s="23">
        <f t="shared" si="244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5"/>
        <v>1.4542509220931577E-2</v>
      </c>
      <c r="AS284" s="25"/>
      <c r="AT284" s="25"/>
      <c r="AU284" s="24"/>
      <c r="AV284" s="298">
        <f t="shared" si="246"/>
        <v>0.57462302614830396</v>
      </c>
      <c r="AW284" s="298"/>
      <c r="AX284" s="24">
        <f t="shared" si="247"/>
        <v>38347.072727272731</v>
      </c>
      <c r="AY284" s="308"/>
      <c r="AZ284" s="10"/>
      <c r="BA284" s="65">
        <f t="shared" si="248"/>
        <v>1780784</v>
      </c>
      <c r="BB284" s="66"/>
      <c r="BC284" s="66">
        <v>232596953</v>
      </c>
      <c r="BD284" s="66"/>
      <c r="BE284" s="66">
        <f t="shared" si="249"/>
        <v>189650</v>
      </c>
      <c r="BF284" s="66"/>
      <c r="BG284" s="144">
        <f t="shared" si="250"/>
        <v>0.10649803681973782</v>
      </c>
      <c r="BH284" s="66"/>
      <c r="BI284" s="170"/>
      <c r="BJ284" s="66"/>
      <c r="BK284" s="66">
        <f t="shared" si="251"/>
        <v>13091881</v>
      </c>
      <c r="BL284" s="66"/>
      <c r="BM284" s="144">
        <f t="shared" si="252"/>
        <v>0.11610577578577135</v>
      </c>
      <c r="BN284" s="65">
        <f t="shared" si="253"/>
        <v>845807.10181818181</v>
      </c>
      <c r="BO284" s="66"/>
      <c r="BP284" s="66">
        <f t="shared" si="254"/>
        <v>17444958</v>
      </c>
      <c r="BQ284" s="66"/>
      <c r="BR284" s="435">
        <f t="shared" si="255"/>
        <v>7.5000801923660626E-2</v>
      </c>
      <c r="BS284" s="66"/>
      <c r="BT284" s="75"/>
      <c r="BU284" s="170"/>
      <c r="BV284" s="1"/>
      <c r="BW284" s="61">
        <f t="shared" si="189"/>
        <v>275</v>
      </c>
    </row>
    <row r="285" spans="2:75" x14ac:dyDescent="0.3">
      <c r="B285" s="347">
        <f t="shared" si="163"/>
        <v>44185</v>
      </c>
      <c r="C285" s="61"/>
      <c r="D285" s="17">
        <v>188280</v>
      </c>
      <c r="E285" s="16"/>
      <c r="F285" s="16"/>
      <c r="G285" s="16"/>
      <c r="H285" s="16">
        <f t="shared" si="236"/>
        <v>18540216</v>
      </c>
      <c r="I285" s="16"/>
      <c r="J285" s="436">
        <f t="shared" si="237"/>
        <v>1.0259408053733404E-2</v>
      </c>
      <c r="K285" s="16"/>
      <c r="L285" s="16"/>
      <c r="M285" s="16"/>
      <c r="N285" s="16">
        <f t="shared" si="256"/>
        <v>1520422</v>
      </c>
      <c r="O285" s="16">
        <f t="shared" si="238"/>
        <v>67174.695652173919</v>
      </c>
      <c r="P285" s="41"/>
      <c r="Q285" s="17">
        <f t="shared" si="257"/>
        <v>1520422</v>
      </c>
      <c r="R285" s="16"/>
      <c r="S285" s="60">
        <f t="shared" si="258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9"/>
        <v>326332</v>
      </c>
      <c r="AB285" s="33"/>
      <c r="AC285" s="46">
        <f t="shared" si="240"/>
        <v>1.7601305184362471E-2</v>
      </c>
      <c r="AD285" s="33"/>
      <c r="AE285" s="33">
        <f t="shared" si="241"/>
        <v>1182.3623188405797</v>
      </c>
      <c r="AF285" s="50"/>
      <c r="AG285" s="33">
        <f t="shared" si="242"/>
        <v>18375</v>
      </c>
      <c r="AH285" s="33">
        <f t="shared" si="219"/>
        <v>1179048213.060914</v>
      </c>
      <c r="AI285" s="213">
        <f t="shared" si="243"/>
        <v>4.4805822482515495E-2</v>
      </c>
      <c r="AJ285" s="50"/>
      <c r="AK285" s="10"/>
      <c r="AL285" s="23">
        <f t="shared" si="244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5"/>
        <v>7.2673083023049286E-3</v>
      </c>
      <c r="AS285" s="25"/>
      <c r="AT285" s="25"/>
      <c r="AU285" s="24"/>
      <c r="AV285" s="298">
        <f t="shared" si="246"/>
        <v>0.57292115690561529</v>
      </c>
      <c r="AW285" s="298"/>
      <c r="AX285" s="24">
        <f t="shared" si="247"/>
        <v>38485.804347826088</v>
      </c>
      <c r="AY285" s="308"/>
      <c r="AZ285" s="10"/>
      <c r="BA285" s="65">
        <f t="shared" si="248"/>
        <v>1620242</v>
      </c>
      <c r="BB285" s="66"/>
      <c r="BC285" s="66">
        <v>234217195</v>
      </c>
      <c r="BD285" s="66"/>
      <c r="BE285" s="66">
        <f t="shared" si="249"/>
        <v>188280</v>
      </c>
      <c r="BF285" s="66"/>
      <c r="BG285" s="144">
        <f t="shared" si="250"/>
        <v>0.11620486322413566</v>
      </c>
      <c r="BH285" s="66"/>
      <c r="BI285" s="170"/>
      <c r="BJ285" s="66"/>
      <c r="BK285" s="66">
        <f t="shared" si="251"/>
        <v>13021565</v>
      </c>
      <c r="BL285" s="66"/>
      <c r="BM285" s="144">
        <f t="shared" si="252"/>
        <v>0.11676184851820806</v>
      </c>
      <c r="BN285" s="65">
        <f t="shared" si="253"/>
        <v>848613.02536231885</v>
      </c>
      <c r="BO285" s="66"/>
      <c r="BP285" s="66">
        <f t="shared" si="254"/>
        <v>17633238</v>
      </c>
      <c r="BQ285" s="66"/>
      <c r="BR285" s="435">
        <f t="shared" si="255"/>
        <v>7.5285838855682644E-2</v>
      </c>
      <c r="BS285" s="66"/>
      <c r="BT285" s="75"/>
      <c r="BU285" s="170"/>
      <c r="BV285" s="1"/>
      <c r="BW285" s="61">
        <f t="shared" si="189"/>
        <v>276</v>
      </c>
    </row>
    <row r="286" spans="2:75" x14ac:dyDescent="0.3">
      <c r="B286" s="158">
        <f t="shared" si="163"/>
        <v>44186</v>
      </c>
      <c r="C286" s="61"/>
      <c r="D286" s="17">
        <v>200109</v>
      </c>
      <c r="E286" s="16"/>
      <c r="F286" s="16"/>
      <c r="G286" s="16"/>
      <c r="H286" s="16">
        <f t="shared" si="236"/>
        <v>18740325</v>
      </c>
      <c r="I286" s="16"/>
      <c r="J286" s="436">
        <f t="shared" si="237"/>
        <v>1.0793239949308035E-2</v>
      </c>
      <c r="K286" s="16"/>
      <c r="L286" s="16"/>
      <c r="M286" s="16"/>
      <c r="N286" s="16">
        <f t="shared" si="256"/>
        <v>1520799</v>
      </c>
      <c r="O286" s="16">
        <f t="shared" si="238"/>
        <v>67654.602888086636</v>
      </c>
      <c r="P286" s="41"/>
      <c r="Q286" s="17">
        <f t="shared" si="257"/>
        <v>1520799</v>
      </c>
      <c r="R286" s="16"/>
      <c r="S286" s="60">
        <f t="shared" si="258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9"/>
        <v>328173</v>
      </c>
      <c r="AB286" s="33"/>
      <c r="AC286" s="46">
        <f t="shared" si="240"/>
        <v>1.75115959835275E-2</v>
      </c>
      <c r="AD286" s="33"/>
      <c r="AE286" s="33">
        <f t="shared" si="241"/>
        <v>1184.7400722021662</v>
      </c>
      <c r="AF286" s="50"/>
      <c r="AG286" s="33">
        <f t="shared" si="242"/>
        <v>18594</v>
      </c>
      <c r="AH286" s="33">
        <f t="shared" si="219"/>
        <v>1178875374.060914</v>
      </c>
      <c r="AI286" s="213">
        <f t="shared" si="243"/>
        <v>5.2232471280629279E-2</v>
      </c>
      <c r="AJ286" s="50"/>
      <c r="AK286" s="10"/>
      <c r="AL286" s="23">
        <f t="shared" si="244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5"/>
        <v>1.6984805803607995E-2</v>
      </c>
      <c r="AS286" s="25"/>
      <c r="AT286" s="25"/>
      <c r="AU286" s="24"/>
      <c r="AV286" s="298">
        <f t="shared" si="246"/>
        <v>0.5764305581680147</v>
      </c>
      <c r="AW286" s="298"/>
      <c r="AX286" s="24">
        <f t="shared" si="247"/>
        <v>38998.180505415163</v>
      </c>
      <c r="AY286" s="308"/>
      <c r="AZ286" s="10"/>
      <c r="BA286" s="65">
        <f t="shared" si="248"/>
        <v>2403372</v>
      </c>
      <c r="BB286" s="66"/>
      <c r="BC286" s="66">
        <v>236620567</v>
      </c>
      <c r="BD286" s="66"/>
      <c r="BE286" s="66">
        <f t="shared" si="249"/>
        <v>200109</v>
      </c>
      <c r="BF286" s="66"/>
      <c r="BG286" s="144">
        <f t="shared" si="250"/>
        <v>8.3261767217060037E-2</v>
      </c>
      <c r="BH286" s="66"/>
      <c r="BI286" s="170"/>
      <c r="BJ286" s="66"/>
      <c r="BK286" s="66">
        <f t="shared" si="251"/>
        <v>13435361</v>
      </c>
      <c r="BL286" s="66"/>
      <c r="BM286" s="144">
        <f t="shared" si="252"/>
        <v>0.11319375787520708</v>
      </c>
      <c r="BN286" s="65">
        <f t="shared" si="253"/>
        <v>854225.87364620937</v>
      </c>
      <c r="BO286" s="66"/>
      <c r="BP286" s="66">
        <f t="shared" si="254"/>
        <v>17833347</v>
      </c>
      <c r="BQ286" s="66"/>
      <c r="BR286" s="435">
        <f t="shared" si="255"/>
        <v>7.536685092974188E-2</v>
      </c>
      <c r="BS286" s="66"/>
      <c r="BT286" s="75"/>
      <c r="BU286" s="170"/>
      <c r="BV286" s="1"/>
      <c r="BW286" s="61">
        <f t="shared" si="189"/>
        <v>277</v>
      </c>
    </row>
    <row r="287" spans="2:75" x14ac:dyDescent="0.3">
      <c r="B287" s="158">
        <f t="shared" si="163"/>
        <v>44187</v>
      </c>
      <c r="C287" s="61"/>
      <c r="D287" s="17">
        <v>199080</v>
      </c>
      <c r="E287" s="16"/>
      <c r="F287" s="16"/>
      <c r="G287" s="16"/>
      <c r="H287" s="16">
        <f t="shared" si="236"/>
        <v>18939405</v>
      </c>
      <c r="I287" s="16"/>
      <c r="J287" s="436">
        <f t="shared" si="237"/>
        <v>1.0623081510059191E-2</v>
      </c>
      <c r="K287" s="16"/>
      <c r="L287" s="16"/>
      <c r="M287" s="16"/>
      <c r="N287" s="16">
        <f t="shared" si="256"/>
        <v>1519844</v>
      </c>
      <c r="O287" s="16">
        <f t="shared" si="238"/>
        <v>68127.356115107919</v>
      </c>
      <c r="P287" s="41"/>
      <c r="Q287" s="17">
        <f t="shared" si="257"/>
        <v>1519844</v>
      </c>
      <c r="R287" s="16"/>
      <c r="S287" s="60">
        <f t="shared" si="258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9"/>
        <v>331549</v>
      </c>
      <c r="AB287" s="33"/>
      <c r="AC287" s="46">
        <f t="shared" si="240"/>
        <v>1.7505776976626246E-2</v>
      </c>
      <c r="AD287" s="33"/>
      <c r="AE287" s="33">
        <f t="shared" si="241"/>
        <v>1192.6223021582734</v>
      </c>
      <c r="AF287" s="50"/>
      <c r="AG287" s="33">
        <f t="shared" si="242"/>
        <v>18989</v>
      </c>
      <c r="AH287" s="33">
        <f t="shared" si="219"/>
        <v>1178738747.060914</v>
      </c>
      <c r="AI287" s="213">
        <f t="shared" si="243"/>
        <v>7.3309970608184491E-2</v>
      </c>
      <c r="AJ287" s="50"/>
      <c r="AK287" s="10"/>
      <c r="AL287" s="23">
        <f t="shared" si="244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5"/>
        <v>1.3200745457346154E-2</v>
      </c>
      <c r="AS287" s="25"/>
      <c r="AT287" s="25"/>
      <c r="AU287" s="24"/>
      <c r="AV287" s="298">
        <f t="shared" si="246"/>
        <v>0.57790078410594203</v>
      </c>
      <c r="AW287" s="298"/>
      <c r="AX287" s="24">
        <f t="shared" si="247"/>
        <v>39370.852517985615</v>
      </c>
      <c r="AY287" s="308"/>
      <c r="AZ287" s="10"/>
      <c r="BA287" s="65">
        <f t="shared" si="248"/>
        <v>1768330</v>
      </c>
      <c r="BB287" s="66"/>
      <c r="BC287" s="66">
        <v>238388897</v>
      </c>
      <c r="BD287" s="66"/>
      <c r="BE287" s="66">
        <f t="shared" si="249"/>
        <v>199080</v>
      </c>
      <c r="BF287" s="66"/>
      <c r="BG287" s="144">
        <f t="shared" si="250"/>
        <v>0.11258079657077581</v>
      </c>
      <c r="BH287" s="66"/>
      <c r="BI287" s="170"/>
      <c r="BJ287" s="66"/>
      <c r="BK287" s="66">
        <f t="shared" si="251"/>
        <v>13450255</v>
      </c>
      <c r="BL287" s="66"/>
      <c r="BM287" s="144">
        <f t="shared" si="252"/>
        <v>0.11299741157323782</v>
      </c>
      <c r="BN287" s="65">
        <f t="shared" si="253"/>
        <v>857514.01798561146</v>
      </c>
      <c r="BO287" s="66"/>
      <c r="BP287" s="66">
        <f t="shared" si="254"/>
        <v>18032427</v>
      </c>
      <c r="BQ287" s="66"/>
      <c r="BR287" s="435">
        <f t="shared" si="255"/>
        <v>7.5642897915669291E-2</v>
      </c>
      <c r="BS287" s="66"/>
      <c r="BT287" s="75"/>
      <c r="BU287" s="170"/>
      <c r="BV287" s="1"/>
      <c r="BW287" s="61">
        <f t="shared" si="189"/>
        <v>278</v>
      </c>
    </row>
    <row r="288" spans="2:75" x14ac:dyDescent="0.3">
      <c r="B288" s="158">
        <f t="shared" si="163"/>
        <v>44188</v>
      </c>
      <c r="C288" s="61"/>
      <c r="D288" s="17">
        <v>232342</v>
      </c>
      <c r="E288" s="16"/>
      <c r="F288" s="16"/>
      <c r="G288" s="16"/>
      <c r="H288" s="16">
        <f t="shared" si="236"/>
        <v>19171747</v>
      </c>
      <c r="I288" s="16"/>
      <c r="J288" s="436">
        <f t="shared" si="237"/>
        <v>1.2267650435692145E-2</v>
      </c>
      <c r="K288" s="16"/>
      <c r="L288" s="16"/>
      <c r="M288" s="16"/>
      <c r="N288" s="16">
        <f t="shared" si="256"/>
        <v>1502013</v>
      </c>
      <c r="O288" s="16">
        <f t="shared" si="238"/>
        <v>68715.939068100357</v>
      </c>
      <c r="P288" s="41"/>
      <c r="Q288" s="17">
        <f t="shared" si="257"/>
        <v>1502013</v>
      </c>
      <c r="R288" s="16"/>
      <c r="S288" s="60">
        <f t="shared" si="258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9"/>
        <v>334950</v>
      </c>
      <c r="AB288" s="33"/>
      <c r="AC288" s="46">
        <f t="shared" si="240"/>
        <v>1.747102128981777E-2</v>
      </c>
      <c r="AD288" s="33"/>
      <c r="AE288" s="33">
        <f t="shared" si="241"/>
        <v>1200.5376344086021</v>
      </c>
      <c r="AF288" s="50"/>
      <c r="AG288" s="33">
        <f t="shared" si="242"/>
        <v>18829</v>
      </c>
      <c r="AH288" s="33">
        <f t="shared" si="219"/>
        <v>1178566447.060914</v>
      </c>
      <c r="AI288" s="213">
        <f t="shared" si="243"/>
        <v>4.6753391149655328E-2</v>
      </c>
      <c r="AJ288" s="50"/>
      <c r="AK288" s="10"/>
      <c r="AL288" s="23">
        <f t="shared" si="244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5"/>
        <v>1.4323217053261382E-2</v>
      </c>
      <c r="AS288" s="25"/>
      <c r="AT288" s="25"/>
      <c r="AU288" s="24"/>
      <c r="AV288" s="298">
        <f t="shared" si="246"/>
        <v>0.57907430136648474</v>
      </c>
      <c r="AW288" s="298"/>
      <c r="AX288" s="24">
        <f t="shared" si="247"/>
        <v>39791.634408602149</v>
      </c>
      <c r="AY288" s="308"/>
      <c r="AZ288" s="10"/>
      <c r="BA288" s="65">
        <f t="shared" si="248"/>
        <v>1746852</v>
      </c>
      <c r="BB288" s="66"/>
      <c r="BC288" s="66">
        <v>240135749</v>
      </c>
      <c r="BD288" s="66"/>
      <c r="BE288" s="66">
        <f t="shared" si="249"/>
        <v>232342</v>
      </c>
      <c r="BF288" s="66"/>
      <c r="BG288" s="144">
        <f t="shared" si="250"/>
        <v>0.13300611614492813</v>
      </c>
      <c r="BH288" s="66"/>
      <c r="BI288" s="170"/>
      <c r="BJ288" s="66"/>
      <c r="BK288" s="66">
        <f t="shared" si="251"/>
        <v>13412593</v>
      </c>
      <c r="BL288" s="66"/>
      <c r="BM288" s="144">
        <f t="shared" si="252"/>
        <v>0.11198528129497407</v>
      </c>
      <c r="BN288" s="65">
        <f t="shared" si="253"/>
        <v>860701.60931899643</v>
      </c>
      <c r="BO288" s="66"/>
      <c r="BP288" s="66">
        <f t="shared" si="254"/>
        <v>18264769</v>
      </c>
      <c r="BQ288" s="66"/>
      <c r="BR288" s="435">
        <f t="shared" si="255"/>
        <v>7.6060182942607177E-2</v>
      </c>
      <c r="BS288" s="66"/>
      <c r="BT288" s="75"/>
      <c r="BU288" s="170"/>
      <c r="BV288" s="1"/>
      <c r="BW288" s="61">
        <f t="shared" si="189"/>
        <v>279</v>
      </c>
    </row>
    <row r="289" spans="2:75" x14ac:dyDescent="0.3">
      <c r="B289" s="158">
        <f t="shared" si="163"/>
        <v>44189</v>
      </c>
      <c r="C289" s="61"/>
      <c r="D289" s="17">
        <v>193030</v>
      </c>
      <c r="E289" s="16"/>
      <c r="F289" s="16"/>
      <c r="G289" s="16"/>
      <c r="H289" s="16">
        <f t="shared" si="236"/>
        <v>19364777</v>
      </c>
      <c r="I289" s="16"/>
      <c r="J289" s="436">
        <f t="shared" si="237"/>
        <v>1.0068461679574637E-2</v>
      </c>
      <c r="K289" s="16"/>
      <c r="L289" s="16"/>
      <c r="M289" s="16"/>
      <c r="N289" s="16">
        <f t="shared" si="256"/>
        <v>1457171</v>
      </c>
      <c r="O289" s="16">
        <f t="shared" si="238"/>
        <v>69159.917857142864</v>
      </c>
      <c r="P289" s="41"/>
      <c r="Q289" s="17">
        <f t="shared" si="257"/>
        <v>1457171</v>
      </c>
      <c r="R289" s="16"/>
      <c r="S289" s="60">
        <f t="shared" si="258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9"/>
        <v>337785</v>
      </c>
      <c r="AB289" s="33"/>
      <c r="AC289" s="46">
        <f t="shared" si="240"/>
        <v>1.7443268259686132E-2</v>
      </c>
      <c r="AD289" s="33"/>
      <c r="AE289" s="33">
        <f t="shared" si="241"/>
        <v>1206.375</v>
      </c>
      <c r="AF289" s="50"/>
      <c r="AG289" s="33">
        <f t="shared" si="242"/>
        <v>18264</v>
      </c>
      <c r="AH289" s="33">
        <f t="shared" si="219"/>
        <v>1178389365.060914</v>
      </c>
      <c r="AI289" s="213">
        <f t="shared" si="243"/>
        <v>-9.2992724686833327E-4</v>
      </c>
      <c r="AJ289" s="50"/>
      <c r="AK289" s="10"/>
      <c r="AL289" s="23">
        <f t="shared" si="244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5"/>
        <v>1.056191814961557E-2</v>
      </c>
      <c r="AS289" s="25"/>
      <c r="AT289" s="25"/>
      <c r="AU289" s="24"/>
      <c r="AV289" s="298">
        <f t="shared" si="246"/>
        <v>0.57935720096337795</v>
      </c>
      <c r="AW289" s="298"/>
      <c r="AX289" s="24">
        <f t="shared" si="247"/>
        <v>40068.296428571426</v>
      </c>
      <c r="AY289" s="308"/>
      <c r="AZ289" s="10"/>
      <c r="BA289" s="65">
        <f t="shared" si="248"/>
        <v>1932743</v>
      </c>
      <c r="BB289" s="66"/>
      <c r="BC289" s="66">
        <v>242068492</v>
      </c>
      <c r="BD289" s="66"/>
      <c r="BE289" s="66">
        <f t="shared" si="249"/>
        <v>193030</v>
      </c>
      <c r="BF289" s="66"/>
      <c r="BG289" s="144">
        <f t="shared" si="250"/>
        <v>9.9873599335245297E-2</v>
      </c>
      <c r="BH289" s="66"/>
      <c r="BI289" s="170"/>
      <c r="BJ289" s="66"/>
      <c r="BK289" s="66">
        <f t="shared" si="251"/>
        <v>13459419</v>
      </c>
      <c r="BL289" s="66"/>
      <c r="BM289" s="144">
        <f t="shared" si="252"/>
        <v>0.10826403427963718</v>
      </c>
      <c r="BN289" s="65">
        <f t="shared" si="253"/>
        <v>864530.32857142854</v>
      </c>
      <c r="BO289" s="66"/>
      <c r="BP289" s="66">
        <f t="shared" si="254"/>
        <v>18457799</v>
      </c>
      <c r="BQ289" s="66"/>
      <c r="BR289" s="435">
        <f t="shared" si="255"/>
        <v>7.6250315964293283E-2</v>
      </c>
      <c r="BS289" s="66"/>
      <c r="BT289" s="75"/>
      <c r="BU289" s="170"/>
      <c r="BV289" s="1"/>
      <c r="BW289" s="61">
        <f t="shared" si="189"/>
        <v>280</v>
      </c>
    </row>
    <row r="290" spans="2:75" x14ac:dyDescent="0.3">
      <c r="B290" s="158">
        <f t="shared" si="163"/>
        <v>44190</v>
      </c>
      <c r="C290" s="61"/>
      <c r="D290" s="17">
        <v>98840</v>
      </c>
      <c r="E290" s="16"/>
      <c r="F290" s="16"/>
      <c r="G290" s="16"/>
      <c r="H290" s="16">
        <f t="shared" si="236"/>
        <v>19463617</v>
      </c>
      <c r="I290" s="16"/>
      <c r="J290" s="436">
        <f t="shared" si="237"/>
        <v>5.1041124821628462E-3</v>
      </c>
      <c r="K290" s="16"/>
      <c r="L290" s="16"/>
      <c r="M290" s="16"/>
      <c r="N290" s="16">
        <f t="shared" si="256"/>
        <v>1301331</v>
      </c>
      <c r="O290" s="16">
        <f t="shared" si="238"/>
        <v>69265.540925266905</v>
      </c>
      <c r="P290" s="41"/>
      <c r="Q290" s="17">
        <f t="shared" si="257"/>
        <v>1301331</v>
      </c>
      <c r="R290" s="16"/>
      <c r="S290" s="60">
        <f t="shared" si="258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9"/>
        <v>338982</v>
      </c>
      <c r="AB290" s="33"/>
      <c r="AC290" s="46">
        <f t="shared" si="240"/>
        <v>1.7416187340718838E-2</v>
      </c>
      <c r="AD290" s="33"/>
      <c r="AE290" s="33">
        <f t="shared" si="241"/>
        <v>1206.3416370106761</v>
      </c>
      <c r="AF290" s="50"/>
      <c r="AG290" s="33">
        <f t="shared" si="242"/>
        <v>16667</v>
      </c>
      <c r="AH290" s="33">
        <f t="shared" si="219"/>
        <v>1178208462.060914</v>
      </c>
      <c r="AI290" s="213">
        <f t="shared" si="243"/>
        <v>-7.6313455996453117E-2</v>
      </c>
      <c r="AJ290" s="50"/>
      <c r="AK290" s="10"/>
      <c r="AL290" s="23">
        <f t="shared" si="244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5"/>
        <v>3.4394845301187978E-3</v>
      </c>
      <c r="AS290" s="25"/>
      <c r="AT290" s="25"/>
      <c r="AU290" s="24"/>
      <c r="AV290" s="298">
        <f t="shared" si="246"/>
        <v>0.57839768425365135</v>
      </c>
      <c r="AW290" s="298"/>
      <c r="AX290" s="24">
        <f t="shared" si="247"/>
        <v>40063.028469750891</v>
      </c>
      <c r="AY290" s="308"/>
      <c r="AZ290" s="10"/>
      <c r="BA290" s="65">
        <f t="shared" si="248"/>
        <v>1097555</v>
      </c>
      <c r="BB290" s="66"/>
      <c r="BC290" s="66">
        <v>243166047</v>
      </c>
      <c r="BD290" s="66"/>
      <c r="BE290" s="66">
        <f t="shared" si="249"/>
        <v>98840</v>
      </c>
      <c r="BF290" s="66"/>
      <c r="BG290" s="144">
        <f t="shared" si="250"/>
        <v>9.0054712520101499E-2</v>
      </c>
      <c r="BH290" s="66"/>
      <c r="BI290" s="170"/>
      <c r="BJ290" s="66"/>
      <c r="BK290" s="66">
        <f t="shared" si="251"/>
        <v>12349878</v>
      </c>
      <c r="BL290" s="66"/>
      <c r="BM290" s="144">
        <f t="shared" si="252"/>
        <v>0.10537197209559479</v>
      </c>
      <c r="BN290" s="65">
        <f t="shared" si="253"/>
        <v>865359.5978647687</v>
      </c>
      <c r="BO290" s="66"/>
      <c r="BP290" s="66">
        <f t="shared" si="254"/>
        <v>18556639</v>
      </c>
      <c r="BQ290" s="66"/>
      <c r="BR290" s="435">
        <f t="shared" si="255"/>
        <v>7.631262353004406E-2</v>
      </c>
      <c r="BS290" s="66"/>
      <c r="BT290" s="75"/>
      <c r="BU290" s="170"/>
      <c r="BV290" s="1"/>
      <c r="BW290" s="61">
        <f t="shared" si="189"/>
        <v>281</v>
      </c>
    </row>
    <row r="291" spans="2:75" x14ac:dyDescent="0.3">
      <c r="B291" s="158">
        <f t="shared" si="163"/>
        <v>44191</v>
      </c>
      <c r="C291" s="61"/>
      <c r="D291" s="17">
        <v>160604</v>
      </c>
      <c r="E291" s="16"/>
      <c r="F291" s="16"/>
      <c r="G291" s="16"/>
      <c r="H291" s="16">
        <f t="shared" si="236"/>
        <v>19624221</v>
      </c>
      <c r="I291" s="16"/>
      <c r="J291" s="436">
        <f t="shared" si="237"/>
        <v>8.2514981670673039E-3</v>
      </c>
      <c r="K291" s="16"/>
      <c r="L291" s="16"/>
      <c r="M291" s="16"/>
      <c r="N291" s="16">
        <f t="shared" si="256"/>
        <v>1272285</v>
      </c>
      <c r="O291" s="16">
        <f t="shared" si="238"/>
        <v>69589.436170212764</v>
      </c>
      <c r="P291" s="41"/>
      <c r="Q291" s="17">
        <f t="shared" si="257"/>
        <v>1272285</v>
      </c>
      <c r="R291" s="16"/>
      <c r="S291" s="60">
        <f t="shared" si="258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9"/>
        <v>340390</v>
      </c>
      <c r="AB291" s="33"/>
      <c r="AC291" s="46">
        <f t="shared" si="240"/>
        <v>1.7345401888818925E-2</v>
      </c>
      <c r="AD291" s="33"/>
      <c r="AE291" s="33">
        <f t="shared" si="241"/>
        <v>1207.0567375886526</v>
      </c>
      <c r="AF291" s="50"/>
      <c r="AG291" s="33">
        <f t="shared" si="242"/>
        <v>15516</v>
      </c>
      <c r="AH291" s="33">
        <f t="shared" si="219"/>
        <v>1178100399.060914</v>
      </c>
      <c r="AI291" s="213">
        <f t="shared" si="243"/>
        <v>-0.1519457804984696</v>
      </c>
      <c r="AJ291" s="50"/>
      <c r="AK291" s="10"/>
      <c r="AL291" s="23">
        <f t="shared" si="244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5"/>
        <v>1.3572030761848479E-2</v>
      </c>
      <c r="AS291" s="25"/>
      <c r="AT291" s="25"/>
      <c r="AU291" s="24"/>
      <c r="AV291" s="298">
        <f t="shared" si="246"/>
        <v>0.58144988277496468</v>
      </c>
      <c r="AW291" s="298"/>
      <c r="AX291" s="24">
        <f t="shared" si="247"/>
        <v>40462.7695035461</v>
      </c>
      <c r="AY291" s="308"/>
      <c r="AZ291" s="10"/>
      <c r="BA291" s="65">
        <f t="shared" si="248"/>
        <v>2275459</v>
      </c>
      <c r="BB291" s="66"/>
      <c r="BC291" s="66">
        <v>245441506</v>
      </c>
      <c r="BD291" s="66"/>
      <c r="BE291" s="66">
        <f t="shared" si="249"/>
        <v>160604</v>
      </c>
      <c r="BF291" s="66"/>
      <c r="BG291" s="144">
        <f t="shared" si="250"/>
        <v>7.0580924551925564E-2</v>
      </c>
      <c r="BH291" s="66"/>
      <c r="BI291" s="170"/>
      <c r="BJ291" s="66"/>
      <c r="BK291" s="66">
        <f t="shared" si="251"/>
        <v>12844553</v>
      </c>
      <c r="BL291" s="66"/>
      <c r="BM291" s="144">
        <f t="shared" si="252"/>
        <v>9.9052493302024605E-2</v>
      </c>
      <c r="BN291" s="65">
        <f t="shared" si="253"/>
        <v>870359.95035460987</v>
      </c>
      <c r="BO291" s="66"/>
      <c r="BP291" s="66">
        <f t="shared" si="254"/>
        <v>18717243</v>
      </c>
      <c r="BQ291" s="66"/>
      <c r="BR291" s="435">
        <f t="shared" si="255"/>
        <v>7.6259485630763693E-2</v>
      </c>
      <c r="BS291" s="66"/>
      <c r="BT291" s="75"/>
      <c r="BU291" s="170"/>
      <c r="BV291" s="1"/>
      <c r="BW291" s="61">
        <f t="shared" si="189"/>
        <v>282</v>
      </c>
    </row>
    <row r="292" spans="2:75" x14ac:dyDescent="0.3">
      <c r="B292" s="347">
        <f t="shared" si="163"/>
        <v>44192</v>
      </c>
      <c r="C292" s="61"/>
      <c r="D292" s="17">
        <v>127740</v>
      </c>
      <c r="E292" s="16"/>
      <c r="F292" s="16"/>
      <c r="G292" s="16"/>
      <c r="H292" s="16">
        <f t="shared" si="236"/>
        <v>19751961</v>
      </c>
      <c r="I292" s="16"/>
      <c r="J292" s="436">
        <f t="shared" si="237"/>
        <v>6.5093029680006152E-3</v>
      </c>
      <c r="K292" s="16"/>
      <c r="L292" s="16"/>
      <c r="M292" s="16"/>
      <c r="N292" s="16">
        <f t="shared" si="256"/>
        <v>1211745</v>
      </c>
      <c r="O292" s="16">
        <f t="shared" si="238"/>
        <v>69794.915194346293</v>
      </c>
      <c r="P292" s="41"/>
      <c r="Q292" s="17">
        <f t="shared" si="257"/>
        <v>1211745</v>
      </c>
      <c r="R292" s="16"/>
      <c r="S292" s="60">
        <f t="shared" si="258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9"/>
        <v>341605</v>
      </c>
      <c r="AB292" s="33"/>
      <c r="AC292" s="46">
        <f t="shared" si="240"/>
        <v>1.7294738481915796E-2</v>
      </c>
      <c r="AD292" s="33"/>
      <c r="AE292" s="33">
        <f t="shared" si="241"/>
        <v>1207.0848056537102</v>
      </c>
      <c r="AF292" s="50"/>
      <c r="AG292" s="33">
        <f t="shared" si="242"/>
        <v>15273</v>
      </c>
      <c r="AH292" s="33">
        <f t="shared" si="219"/>
        <v>1177936387.060914</v>
      </c>
      <c r="AI292" s="213">
        <f t="shared" si="243"/>
        <v>-0.16881632653061224</v>
      </c>
      <c r="AJ292" s="50"/>
      <c r="AK292" s="10"/>
      <c r="AL292" s="23">
        <f t="shared" si="244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5"/>
        <v>7.4820553453349686E-3</v>
      </c>
      <c r="AS292" s="25"/>
      <c r="AT292" s="25"/>
      <c r="AU292" s="24"/>
      <c r="AV292" s="298">
        <f t="shared" si="246"/>
        <v>0.58201183163534997</v>
      </c>
      <c r="AW292" s="298"/>
      <c r="AX292" s="24">
        <f t="shared" si="247"/>
        <v>40621.466431095403</v>
      </c>
      <c r="AY292" s="308"/>
      <c r="AZ292" s="10"/>
      <c r="BA292" s="65">
        <f t="shared" si="248"/>
        <v>1268467</v>
      </c>
      <c r="BB292" s="66"/>
      <c r="BC292" s="66">
        <v>246709973</v>
      </c>
      <c r="BD292" s="66"/>
      <c r="BE292" s="66">
        <f t="shared" si="249"/>
        <v>127740</v>
      </c>
      <c r="BF292" s="66"/>
      <c r="BG292" s="144">
        <f t="shared" si="250"/>
        <v>0.10070423590050037</v>
      </c>
      <c r="BH292" s="66"/>
      <c r="BI292" s="170"/>
      <c r="BJ292" s="66"/>
      <c r="BK292" s="66">
        <f t="shared" si="251"/>
        <v>12492778</v>
      </c>
      <c r="BL292" s="66"/>
      <c r="BM292" s="144">
        <f t="shared" si="252"/>
        <v>9.6995640201082575E-2</v>
      </c>
      <c r="BN292" s="65">
        <f t="shared" si="253"/>
        <v>871766.68904593645</v>
      </c>
      <c r="BO292" s="66"/>
      <c r="BP292" s="66">
        <f t="shared" si="254"/>
        <v>18844983</v>
      </c>
      <c r="BQ292" s="66"/>
      <c r="BR292" s="435">
        <f t="shared" si="255"/>
        <v>7.6385169074620257E-2</v>
      </c>
      <c r="BS292" s="66"/>
      <c r="BT292" s="75"/>
      <c r="BU292" s="170"/>
      <c r="BV292" s="1"/>
      <c r="BW292" s="61">
        <f t="shared" si="189"/>
        <v>283</v>
      </c>
    </row>
    <row r="293" spans="2:75" x14ac:dyDescent="0.3">
      <c r="B293" s="158">
        <f t="shared" si="163"/>
        <v>44193</v>
      </c>
      <c r="C293" s="61"/>
      <c r="D293" s="17">
        <v>186391</v>
      </c>
      <c r="E293" s="16"/>
      <c r="F293" s="16"/>
      <c r="G293" s="16"/>
      <c r="H293" s="16">
        <f t="shared" si="236"/>
        <v>19938352</v>
      </c>
      <c r="I293" s="16"/>
      <c r="J293" s="436">
        <f t="shared" si="237"/>
        <v>9.4365820183626332E-3</v>
      </c>
      <c r="K293" s="16"/>
      <c r="L293" s="16"/>
      <c r="M293" s="16"/>
      <c r="N293" s="16">
        <f t="shared" si="256"/>
        <v>1198027</v>
      </c>
      <c r="O293" s="16">
        <f t="shared" si="238"/>
        <v>70205.464788732395</v>
      </c>
      <c r="P293" s="41"/>
      <c r="Q293" s="17">
        <f t="shared" si="257"/>
        <v>1198027</v>
      </c>
      <c r="R293" s="16"/>
      <c r="S293" s="60">
        <f t="shared" si="258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9"/>
        <v>343571</v>
      </c>
      <c r="AB293" s="33"/>
      <c r="AC293" s="46">
        <f t="shared" si="240"/>
        <v>1.7231664883837941E-2</v>
      </c>
      <c r="AD293" s="33"/>
      <c r="AE293" s="33">
        <f t="shared" si="241"/>
        <v>1209.7570422535211</v>
      </c>
      <c r="AF293" s="50"/>
      <c r="AG293" s="33">
        <f t="shared" si="242"/>
        <v>15398</v>
      </c>
      <c r="AH293" s="33">
        <f t="shared" si="219"/>
        <v>1177793014.060914</v>
      </c>
      <c r="AI293" s="213">
        <f t="shared" si="243"/>
        <v>-0.17188340324835968</v>
      </c>
      <c r="AJ293" s="50"/>
      <c r="AK293" s="10"/>
      <c r="AL293" s="23">
        <f t="shared" si="244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5"/>
        <v>1.7479661182815576E-2</v>
      </c>
      <c r="AS293" s="25"/>
      <c r="AT293" s="25"/>
      <c r="AU293" s="24"/>
      <c r="AV293" s="298">
        <f t="shared" si="246"/>
        <v>0.58664923761000909</v>
      </c>
      <c r="AW293" s="298"/>
      <c r="AX293" s="24">
        <f t="shared" si="247"/>
        <v>41185.982394366198</v>
      </c>
      <c r="AY293" s="308"/>
      <c r="AZ293" s="10"/>
      <c r="BA293" s="65">
        <f t="shared" si="248"/>
        <v>2405486</v>
      </c>
      <c r="BB293" s="66"/>
      <c r="BC293" s="66">
        <v>249115459</v>
      </c>
      <c r="BD293" s="66"/>
      <c r="BE293" s="66">
        <f t="shared" si="249"/>
        <v>186391</v>
      </c>
      <c r="BF293" s="66"/>
      <c r="BG293" s="144">
        <f t="shared" si="250"/>
        <v>7.7485797048912355E-2</v>
      </c>
      <c r="BH293" s="66"/>
      <c r="BI293" s="170"/>
      <c r="BJ293" s="66"/>
      <c r="BK293" s="66">
        <f t="shared" si="251"/>
        <v>12494892</v>
      </c>
      <c r="BL293" s="66"/>
      <c r="BM293" s="144">
        <f t="shared" si="252"/>
        <v>9.588134095116628E-2</v>
      </c>
      <c r="BN293" s="65">
        <f t="shared" si="253"/>
        <v>877167.10915492952</v>
      </c>
      <c r="BO293" s="66"/>
      <c r="BP293" s="66">
        <f t="shared" si="254"/>
        <v>19031374</v>
      </c>
      <c r="BQ293" s="66"/>
      <c r="BR293" s="435">
        <f t="shared" si="255"/>
        <v>7.6395796858194975E-2</v>
      </c>
      <c r="BS293" s="66"/>
      <c r="BT293" s="75"/>
      <c r="BU293" s="170"/>
      <c r="BV293" s="1"/>
      <c r="BW293" s="61">
        <f t="shared" si="189"/>
        <v>284</v>
      </c>
    </row>
    <row r="294" spans="2:75" x14ac:dyDescent="0.3">
      <c r="B294" s="158">
        <f t="shared" si="163"/>
        <v>44194</v>
      </c>
      <c r="C294" s="61"/>
      <c r="D294" s="17">
        <v>199622</v>
      </c>
      <c r="E294" s="16"/>
      <c r="F294" s="16"/>
      <c r="G294" s="16"/>
      <c r="H294" s="16">
        <f t="shared" ref="H294:H325" si="259">+H293+D294</f>
        <v>20137974</v>
      </c>
      <c r="I294" s="16"/>
      <c r="J294" s="436">
        <f t="shared" ref="J294:J325" si="260">+D294/H293</f>
        <v>1.0011960868180078E-2</v>
      </c>
      <c r="K294" s="16"/>
      <c r="L294" s="16"/>
      <c r="M294" s="16"/>
      <c r="N294" s="16">
        <f t="shared" si="256"/>
        <v>1198569</v>
      </c>
      <c r="O294" s="16">
        <f t="shared" ref="O294:O325" si="261">+H294/BW294</f>
        <v>70659.557894736849</v>
      </c>
      <c r="P294" s="41"/>
      <c r="Q294" s="17">
        <f t="shared" si="257"/>
        <v>1198569</v>
      </c>
      <c r="R294" s="16"/>
      <c r="S294" s="60">
        <f t="shared" si="258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62">+AA293+W294</f>
        <v>347287</v>
      </c>
      <c r="AB294" s="33"/>
      <c r="AC294" s="46">
        <f t="shared" ref="AC294:AC325" si="263">+AA294/H294</f>
        <v>1.7245379301810599E-2</v>
      </c>
      <c r="AD294" s="33"/>
      <c r="AE294" s="33">
        <f t="shared" ref="AE294:AE325" si="264">+AA294/BW294</f>
        <v>1218.5508771929824</v>
      </c>
      <c r="AF294" s="50"/>
      <c r="AG294" s="33">
        <f t="shared" ref="AG294:AG325" si="265">SUM(W288:W294)</f>
        <v>15738</v>
      </c>
      <c r="AH294" s="33">
        <f t="shared" ref="AH294:AH357" si="266">SUM(D265:D1014)</f>
        <v>1177654826.060914</v>
      </c>
      <c r="AI294" s="213">
        <f t="shared" ref="AI294:AI325" si="267">+(AG294-AG287)/AG287</f>
        <v>-0.17120438148401707</v>
      </c>
      <c r="AJ294" s="50"/>
      <c r="AK294" s="10"/>
      <c r="AL294" s="23">
        <f t="shared" ref="AL294:AL325" si="268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9">+AL294/AP293</f>
        <v>1.2623346569695573E-2</v>
      </c>
      <c r="AS294" s="25"/>
      <c r="AT294" s="25"/>
      <c r="AU294" s="24"/>
      <c r="AV294" s="298">
        <f t="shared" ref="AV294:AV325" si="270">+AP294/H294</f>
        <v>0.58816601908414423</v>
      </c>
      <c r="AW294" s="298"/>
      <c r="AX294" s="24">
        <f t="shared" ref="AX294:AX325" si="271">+AP294/BW294</f>
        <v>41559.550877192982</v>
      </c>
      <c r="AY294" s="308"/>
      <c r="AZ294" s="10"/>
      <c r="BA294" s="65">
        <f t="shared" ref="BA294:BA325" si="272">+BC294-BC293</f>
        <v>1056787</v>
      </c>
      <c r="BB294" s="66"/>
      <c r="BC294" s="66">
        <v>250172246</v>
      </c>
      <c r="BD294" s="66"/>
      <c r="BE294" s="66">
        <f t="shared" ref="BE294:BE325" si="273">+D294</f>
        <v>199622</v>
      </c>
      <c r="BF294" s="66"/>
      <c r="BG294" s="144">
        <f t="shared" ref="BG294:BG325" si="274">+BE294/BA294</f>
        <v>0.18889520783279884</v>
      </c>
      <c r="BH294" s="66"/>
      <c r="BI294" s="170"/>
      <c r="BJ294" s="66"/>
      <c r="BK294" s="66">
        <f t="shared" ref="BK294:BK325" si="275">SUM(BA288:BA294)</f>
        <v>11783349</v>
      </c>
      <c r="BL294" s="66"/>
      <c r="BM294" s="144">
        <f t="shared" ref="BM294:BM325" si="276">+Q294/BK294</f>
        <v>0.101717177349156</v>
      </c>
      <c r="BN294" s="65">
        <f t="shared" ref="BN294:BN325" si="277">+BC294/BW294</f>
        <v>877797.35438596492</v>
      </c>
      <c r="BO294" s="66"/>
      <c r="BP294" s="66">
        <f t="shared" ref="BP294:BP325" si="278">+BP293+BE294</f>
        <v>19230996</v>
      </c>
      <c r="BQ294" s="66"/>
      <c r="BR294" s="435">
        <f t="shared" si="255"/>
        <v>7.6871021096400913E-2</v>
      </c>
      <c r="BS294" s="66"/>
      <c r="BT294" s="75"/>
      <c r="BU294" s="170"/>
      <c r="BV294" s="1"/>
      <c r="BW294" s="61">
        <f t="shared" si="189"/>
        <v>285</v>
      </c>
    </row>
    <row r="295" spans="2:75" x14ac:dyDescent="0.3">
      <c r="B295" s="158">
        <f t="shared" si="163"/>
        <v>44195</v>
      </c>
      <c r="C295" s="61"/>
      <c r="D295" s="17">
        <v>234775</v>
      </c>
      <c r="E295" s="16"/>
      <c r="F295" s="16"/>
      <c r="G295" s="16"/>
      <c r="H295" s="16">
        <f t="shared" si="259"/>
        <v>20372749</v>
      </c>
      <c r="I295" s="16"/>
      <c r="J295" s="436">
        <f t="shared" si="260"/>
        <v>1.165832272898952E-2</v>
      </c>
      <c r="K295" s="16"/>
      <c r="L295" s="16"/>
      <c r="M295" s="16"/>
      <c r="N295" s="16">
        <f t="shared" si="256"/>
        <v>1201002</v>
      </c>
      <c r="O295" s="16">
        <f t="shared" si="261"/>
        <v>71233.388111888111</v>
      </c>
      <c r="P295" s="41"/>
      <c r="Q295" s="17">
        <f t="shared" si="257"/>
        <v>1201002</v>
      </c>
      <c r="R295" s="16"/>
      <c r="S295" s="60">
        <f t="shared" si="258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62"/>
        <v>351167</v>
      </c>
      <c r="AB295" s="33"/>
      <c r="AC295" s="46">
        <f t="shared" si="263"/>
        <v>1.7237094512871091E-2</v>
      </c>
      <c r="AD295" s="33"/>
      <c r="AE295" s="33">
        <f t="shared" si="264"/>
        <v>1227.8566433566434</v>
      </c>
      <c r="AF295" s="50"/>
      <c r="AG295" s="33">
        <f t="shared" si="265"/>
        <v>16217</v>
      </c>
      <c r="AH295" s="33">
        <f t="shared" si="266"/>
        <v>1177493258.060914</v>
      </c>
      <c r="AI295" s="213">
        <f t="shared" si="267"/>
        <v>-0.13872218386531415</v>
      </c>
      <c r="AJ295" s="50"/>
      <c r="AK295" s="10"/>
      <c r="AL295" s="23">
        <f t="shared" si="268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9"/>
        <v>1.303215542237763E-2</v>
      </c>
      <c r="AS295" s="25"/>
      <c r="AT295" s="25"/>
      <c r="AU295" s="24"/>
      <c r="AV295" s="298">
        <f t="shared" si="270"/>
        <v>0.58896474893987061</v>
      </c>
      <c r="AW295" s="298"/>
      <c r="AX295" s="24">
        <f t="shared" si="271"/>
        <v>41953.954545454544</v>
      </c>
      <c r="AY295" s="308"/>
      <c r="AZ295" s="10"/>
      <c r="BA295" s="65">
        <f t="shared" si="272"/>
        <v>1594963</v>
      </c>
      <c r="BB295" s="66"/>
      <c r="BC295" s="66">
        <v>251767209</v>
      </c>
      <c r="BD295" s="66"/>
      <c r="BE295" s="66">
        <f t="shared" si="273"/>
        <v>234775</v>
      </c>
      <c r="BF295" s="66"/>
      <c r="BG295" s="144">
        <f t="shared" si="274"/>
        <v>0.14719777198593323</v>
      </c>
      <c r="BH295" s="66"/>
      <c r="BI295" s="170"/>
      <c r="BJ295" s="66"/>
      <c r="BK295" s="66">
        <f t="shared" si="275"/>
        <v>11631460</v>
      </c>
      <c r="BL295" s="66"/>
      <c r="BM295" s="144">
        <f t="shared" si="276"/>
        <v>0.103254621517849</v>
      </c>
      <c r="BN295" s="65">
        <f t="shared" si="277"/>
        <v>880304.92657342658</v>
      </c>
      <c r="BO295" s="66"/>
      <c r="BP295" s="66">
        <f t="shared" si="278"/>
        <v>19465771</v>
      </c>
      <c r="BQ295" s="66"/>
      <c r="BR295" s="435">
        <f t="shared" si="255"/>
        <v>7.7316546016125559E-2</v>
      </c>
      <c r="BS295" s="66"/>
      <c r="BT295" s="75"/>
      <c r="BU295" s="170"/>
      <c r="BV295" s="1"/>
      <c r="BW295" s="61">
        <f t="shared" si="189"/>
        <v>286</v>
      </c>
    </row>
    <row r="296" spans="2:75" x14ac:dyDescent="0.3">
      <c r="B296" s="158">
        <f t="shared" si="163"/>
        <v>44196</v>
      </c>
      <c r="C296" s="61"/>
      <c r="D296" s="17">
        <v>228413</v>
      </c>
      <c r="E296" s="16"/>
      <c r="F296" s="16"/>
      <c r="G296" s="16"/>
      <c r="H296" s="16">
        <f t="shared" si="259"/>
        <v>20601162</v>
      </c>
      <c r="I296" s="16"/>
      <c r="J296" s="436">
        <f t="shared" si="260"/>
        <v>1.1211692639024808E-2</v>
      </c>
      <c r="K296" s="16"/>
      <c r="L296" s="16"/>
      <c r="M296" s="16"/>
      <c r="N296" s="16">
        <f t="shared" si="256"/>
        <v>1236385</v>
      </c>
      <c r="O296" s="16">
        <f t="shared" si="261"/>
        <v>71781.052264808357</v>
      </c>
      <c r="P296" s="41"/>
      <c r="Q296" s="17">
        <f t="shared" si="257"/>
        <v>1236385</v>
      </c>
      <c r="R296" s="16"/>
      <c r="S296" s="60">
        <f t="shared" si="258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62"/>
        <v>354605</v>
      </c>
      <c r="AB296" s="33"/>
      <c r="AC296" s="46">
        <f t="shared" si="263"/>
        <v>1.7212864012233871E-2</v>
      </c>
      <c r="AD296" s="33"/>
      <c r="AE296" s="33">
        <f t="shared" si="264"/>
        <v>1235.5574912891987</v>
      </c>
      <c r="AF296" s="50"/>
      <c r="AG296" s="33">
        <f t="shared" si="265"/>
        <v>16820</v>
      </c>
      <c r="AH296" s="33">
        <f t="shared" si="266"/>
        <v>1177310982.060914</v>
      </c>
      <c r="AI296" s="213">
        <f t="shared" si="267"/>
        <v>-7.9062636881296541E-2</v>
      </c>
      <c r="AJ296" s="50"/>
      <c r="AK296" s="10"/>
      <c r="AL296" s="23">
        <f t="shared" si="268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9"/>
        <v>1.0582280890530087E-2</v>
      </c>
      <c r="AS296" s="25"/>
      <c r="AT296" s="25"/>
      <c r="AU296" s="24"/>
      <c r="AV296" s="298">
        <f t="shared" si="270"/>
        <v>0.58859815771556967</v>
      </c>
      <c r="AW296" s="298"/>
      <c r="AX296" s="24">
        <f t="shared" si="271"/>
        <v>42250.195121951219</v>
      </c>
      <c r="AY296" s="308"/>
      <c r="AZ296" s="10"/>
      <c r="BA296" s="65">
        <f t="shared" si="272"/>
        <v>1775431</v>
      </c>
      <c r="BB296" s="66"/>
      <c r="BC296" s="66">
        <v>253542640</v>
      </c>
      <c r="BD296" s="66"/>
      <c r="BE296" s="66">
        <f t="shared" si="273"/>
        <v>228413</v>
      </c>
      <c r="BF296" s="66"/>
      <c r="BG296" s="144">
        <f t="shared" si="274"/>
        <v>0.12865214136736375</v>
      </c>
      <c r="BH296" s="66"/>
      <c r="BI296" s="170"/>
      <c r="BJ296" s="66"/>
      <c r="BK296" s="66">
        <f t="shared" si="275"/>
        <v>11474148</v>
      </c>
      <c r="BL296" s="66"/>
      <c r="BM296" s="144">
        <f t="shared" si="276"/>
        <v>0.10775397005511869</v>
      </c>
      <c r="BN296" s="65">
        <f t="shared" si="277"/>
        <v>883423.83275261323</v>
      </c>
      <c r="BO296" s="66"/>
      <c r="BP296" s="66">
        <f t="shared" si="278"/>
        <v>19694184</v>
      </c>
      <c r="BQ296" s="66"/>
      <c r="BR296" s="435">
        <f t="shared" si="255"/>
        <v>7.7676023251946891E-2</v>
      </c>
      <c r="BS296" s="66"/>
      <c r="BT296" s="75"/>
      <c r="BU296" s="170"/>
      <c r="BV296" s="1"/>
      <c r="BW296" s="61">
        <f t="shared" si="189"/>
        <v>287</v>
      </c>
    </row>
    <row r="297" spans="2:75" x14ac:dyDescent="0.3">
      <c r="B297" s="158">
        <f t="shared" si="163"/>
        <v>44197</v>
      </c>
      <c r="C297" s="61"/>
      <c r="D297" s="17">
        <v>166044</v>
      </c>
      <c r="E297" s="16"/>
      <c r="F297" s="16"/>
      <c r="G297" s="16"/>
      <c r="H297" s="16">
        <f t="shared" si="259"/>
        <v>20767206</v>
      </c>
      <c r="I297" s="16"/>
      <c r="J297" s="436">
        <f t="shared" si="260"/>
        <v>8.0599337066520806E-3</v>
      </c>
      <c r="K297" s="16"/>
      <c r="L297" s="16"/>
      <c r="M297" s="16"/>
      <c r="N297" s="16">
        <f t="shared" si="256"/>
        <v>1303589</v>
      </c>
      <c r="O297" s="16">
        <f t="shared" si="261"/>
        <v>72108.354166666672</v>
      </c>
      <c r="P297" s="41"/>
      <c r="Q297" s="17">
        <f t="shared" si="257"/>
        <v>1303589</v>
      </c>
      <c r="R297" s="16"/>
      <c r="S297" s="60">
        <f t="shared" si="258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62"/>
        <v>356734</v>
      </c>
      <c r="AB297" s="33"/>
      <c r="AC297" s="46">
        <f t="shared" si="263"/>
        <v>1.7177756121839406E-2</v>
      </c>
      <c r="AD297" s="33"/>
      <c r="AE297" s="33">
        <f t="shared" si="264"/>
        <v>1238.6597222222222</v>
      </c>
      <c r="AF297" s="50"/>
      <c r="AG297" s="33">
        <f t="shared" si="265"/>
        <v>17752</v>
      </c>
      <c r="AH297" s="33">
        <f t="shared" si="266"/>
        <v>1177107245.060914</v>
      </c>
      <c r="AI297" s="213">
        <f t="shared" si="267"/>
        <v>6.5098698026039473E-2</v>
      </c>
      <c r="AJ297" s="50"/>
      <c r="AK297" s="10"/>
      <c r="AL297" s="23">
        <f t="shared" si="268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9"/>
        <v>4.1263236439705534E-3</v>
      </c>
      <c r="AS297" s="25"/>
      <c r="AT297" s="25"/>
      <c r="AU297" s="24"/>
      <c r="AV297" s="298">
        <f t="shared" si="270"/>
        <v>0.58630135416386775</v>
      </c>
      <c r="AW297" s="298"/>
      <c r="AX297" s="24">
        <f t="shared" si="271"/>
        <v>42277.225694444445</v>
      </c>
      <c r="AY297" s="308"/>
      <c r="AZ297" s="10"/>
      <c r="BA297" s="65">
        <f t="shared" si="272"/>
        <v>1140083</v>
      </c>
      <c r="BB297" s="66"/>
      <c r="BC297" s="66">
        <v>254682723</v>
      </c>
      <c r="BD297" s="66"/>
      <c r="BE297" s="66">
        <f t="shared" si="273"/>
        <v>166044</v>
      </c>
      <c r="BF297" s="66"/>
      <c r="BG297" s="144">
        <f t="shared" si="274"/>
        <v>0.14564202781727295</v>
      </c>
      <c r="BH297" s="66"/>
      <c r="BI297" s="170"/>
      <c r="BJ297" s="66"/>
      <c r="BK297" s="66">
        <f t="shared" si="275"/>
        <v>11516676</v>
      </c>
      <c r="BL297" s="66"/>
      <c r="BM297" s="144">
        <f t="shared" si="276"/>
        <v>0.11319142780434216</v>
      </c>
      <c r="BN297" s="65">
        <f t="shared" si="277"/>
        <v>884315.01041666663</v>
      </c>
      <c r="BO297" s="66"/>
      <c r="BP297" s="66">
        <f t="shared" si="278"/>
        <v>19860228</v>
      </c>
      <c r="BQ297" s="66"/>
      <c r="BR297" s="435">
        <f t="shared" si="255"/>
        <v>7.7980271948011173E-2</v>
      </c>
      <c r="BS297" s="66"/>
      <c r="BT297" s="75"/>
      <c r="BU297" s="170"/>
      <c r="BV297" s="1"/>
      <c r="BW297" s="61">
        <f t="shared" si="189"/>
        <v>288</v>
      </c>
    </row>
    <row r="298" spans="2:75" x14ac:dyDescent="0.3">
      <c r="B298" s="158">
        <f t="shared" si="163"/>
        <v>44198</v>
      </c>
      <c r="C298" s="61"/>
      <c r="D298" s="17">
        <v>232227</v>
      </c>
      <c r="E298" s="16"/>
      <c r="F298" s="16"/>
      <c r="G298" s="16"/>
      <c r="H298" s="16">
        <f t="shared" si="259"/>
        <v>20999433</v>
      </c>
      <c r="I298" s="16"/>
      <c r="J298" s="436">
        <f t="shared" si="260"/>
        <v>1.1182390158791702E-2</v>
      </c>
      <c r="K298" s="16"/>
      <c r="L298" s="16"/>
      <c r="M298" s="16"/>
      <c r="N298" s="16">
        <f t="shared" si="256"/>
        <v>1375212</v>
      </c>
      <c r="O298" s="16">
        <f t="shared" si="261"/>
        <v>72662.397923875425</v>
      </c>
      <c r="P298" s="41"/>
      <c r="Q298" s="17">
        <f t="shared" si="257"/>
        <v>1375212</v>
      </c>
      <c r="R298" s="16"/>
      <c r="S298" s="60">
        <f t="shared" si="258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62"/>
        <v>358841</v>
      </c>
      <c r="AB298" s="33"/>
      <c r="AC298" s="46">
        <f t="shared" si="263"/>
        <v>1.7088128046123911E-2</v>
      </c>
      <c r="AD298" s="33"/>
      <c r="AE298" s="33">
        <f t="shared" si="264"/>
        <v>1241.6643598615917</v>
      </c>
      <c r="AF298" s="50"/>
      <c r="AG298" s="33">
        <f t="shared" si="265"/>
        <v>18451</v>
      </c>
      <c r="AH298" s="33">
        <f t="shared" si="266"/>
        <v>1176888669.060914</v>
      </c>
      <c r="AI298" s="213">
        <f t="shared" si="267"/>
        <v>0.18915957721062129</v>
      </c>
      <c r="AJ298" s="50"/>
      <c r="AK298" s="10"/>
      <c r="AL298" s="23">
        <f t="shared" si="268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9"/>
        <v>1.5238865224997599E-2</v>
      </c>
      <c r="AS298" s="25"/>
      <c r="AT298" s="25"/>
      <c r="AU298" s="24"/>
      <c r="AV298" s="298">
        <f t="shared" si="270"/>
        <v>0.58865336983146166</v>
      </c>
      <c r="AW298" s="298"/>
      <c r="AX298" s="24">
        <f t="shared" si="271"/>
        <v>42772.965397923872</v>
      </c>
      <c r="AY298" s="308"/>
      <c r="AZ298" s="10"/>
      <c r="BA298" s="65">
        <f t="shared" si="272"/>
        <v>2065910</v>
      </c>
      <c r="BB298" s="66"/>
      <c r="BC298" s="66">
        <v>256748633</v>
      </c>
      <c r="BD298" s="66"/>
      <c r="BE298" s="66">
        <f t="shared" si="273"/>
        <v>232227</v>
      </c>
      <c r="BF298" s="66"/>
      <c r="BG298" s="144">
        <f t="shared" si="274"/>
        <v>0.11240905944595844</v>
      </c>
      <c r="BH298" s="66"/>
      <c r="BI298" s="170"/>
      <c r="BJ298" s="66"/>
      <c r="BK298" s="66">
        <f t="shared" si="275"/>
        <v>11307127</v>
      </c>
      <c r="BL298" s="66"/>
      <c r="BM298" s="144">
        <f t="shared" si="276"/>
        <v>0.12162346810113657</v>
      </c>
      <c r="BN298" s="65">
        <f t="shared" si="277"/>
        <v>888403.57439446368</v>
      </c>
      <c r="BO298" s="66"/>
      <c r="BP298" s="66">
        <f t="shared" si="278"/>
        <v>20092455</v>
      </c>
      <c r="BQ298" s="66"/>
      <c r="BR298" s="435">
        <f t="shared" ref="BR298:BR304" si="279">+BP298/BC298</f>
        <v>7.8257300789601483E-2</v>
      </c>
      <c r="BS298" s="66"/>
      <c r="BT298" s="75"/>
      <c r="BU298" s="170"/>
      <c r="BV298" s="1"/>
      <c r="BW298" s="61">
        <f t="shared" si="189"/>
        <v>289</v>
      </c>
    </row>
    <row r="299" spans="2:75" x14ac:dyDescent="0.3">
      <c r="B299" s="347">
        <f t="shared" si="163"/>
        <v>44199</v>
      </c>
      <c r="C299" s="61"/>
      <c r="D299" s="17">
        <v>194337</v>
      </c>
      <c r="E299" s="16"/>
      <c r="F299" s="16"/>
      <c r="G299" s="16"/>
      <c r="H299" s="16">
        <f t="shared" si="259"/>
        <v>21193770</v>
      </c>
      <c r="I299" s="16"/>
      <c r="J299" s="436">
        <f t="shared" si="260"/>
        <v>9.2543927257464527E-3</v>
      </c>
      <c r="K299" s="16"/>
      <c r="L299" s="16"/>
      <c r="M299" s="16"/>
      <c r="N299" s="16">
        <f t="shared" si="256"/>
        <v>1441809</v>
      </c>
      <c r="O299" s="16">
        <f t="shared" si="261"/>
        <v>73081.965517241377</v>
      </c>
      <c r="P299" s="41"/>
      <c r="Q299" s="17">
        <f t="shared" si="257"/>
        <v>1441809</v>
      </c>
      <c r="R299" s="16"/>
      <c r="S299" s="60">
        <f t="shared" si="258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62"/>
        <v>360228</v>
      </c>
      <c r="AB299" s="33"/>
      <c r="AC299" s="46">
        <f t="shared" si="263"/>
        <v>1.699688163078112E-2</v>
      </c>
      <c r="AD299" s="33"/>
      <c r="AE299" s="33">
        <f t="shared" si="264"/>
        <v>1242.1655172413793</v>
      </c>
      <c r="AF299" s="50"/>
      <c r="AG299" s="33">
        <f t="shared" si="265"/>
        <v>18623</v>
      </c>
      <c r="AH299" s="33">
        <f t="shared" si="266"/>
        <v>1176653397.060914</v>
      </c>
      <c r="AI299" s="213">
        <f t="shared" si="267"/>
        <v>0.21934132128592942</v>
      </c>
      <c r="AJ299" s="50"/>
      <c r="AK299" s="10"/>
      <c r="AL299" s="23">
        <f t="shared" si="268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9"/>
        <v>6.1134725415521738E-3</v>
      </c>
      <c r="AS299" s="25"/>
      <c r="AT299" s="25"/>
      <c r="AU299" s="24"/>
      <c r="AV299" s="298">
        <f t="shared" si="270"/>
        <v>0.5868214102540511</v>
      </c>
      <c r="AW299" s="298"/>
      <c r="AX299" s="24">
        <f t="shared" si="271"/>
        <v>42886.062068965519</v>
      </c>
      <c r="AY299" s="308"/>
      <c r="AZ299" s="10"/>
      <c r="BA299" s="65">
        <f t="shared" si="272"/>
        <v>1421617</v>
      </c>
      <c r="BB299" s="66"/>
      <c r="BC299" s="66">
        <v>258170250</v>
      </c>
      <c r="BD299" s="66"/>
      <c r="BE299" s="66">
        <f t="shared" si="273"/>
        <v>194337</v>
      </c>
      <c r="BF299" s="66"/>
      <c r="BG299" s="144">
        <f t="shared" si="274"/>
        <v>0.13670137596835152</v>
      </c>
      <c r="BH299" s="66"/>
      <c r="BI299" s="170"/>
      <c r="BJ299" s="66"/>
      <c r="BK299" s="66">
        <f t="shared" si="275"/>
        <v>11460277</v>
      </c>
      <c r="BL299" s="66"/>
      <c r="BM299" s="144">
        <f t="shared" si="276"/>
        <v>0.12580926272549955</v>
      </c>
      <c r="BN299" s="65">
        <f t="shared" si="277"/>
        <v>890242.24137931038</v>
      </c>
      <c r="BO299" s="66"/>
      <c r="BP299" s="66">
        <f t="shared" si="278"/>
        <v>20286792</v>
      </c>
      <c r="BQ299" s="66"/>
      <c r="BR299" s="435">
        <f t="shared" si="279"/>
        <v>7.8579123659678063E-2</v>
      </c>
      <c r="BS299" s="66"/>
      <c r="BT299" s="75"/>
      <c r="BU299" s="170"/>
      <c r="BV299" s="1"/>
      <c r="BW299" s="61">
        <f t="shared" si="189"/>
        <v>290</v>
      </c>
    </row>
    <row r="300" spans="2:75" x14ac:dyDescent="0.3">
      <c r="B300" s="158">
        <f t="shared" si="163"/>
        <v>44200</v>
      </c>
      <c r="C300" s="61"/>
      <c r="D300" s="17">
        <v>190162</v>
      </c>
      <c r="E300" s="16"/>
      <c r="F300" s="16"/>
      <c r="G300" s="16"/>
      <c r="H300" s="16">
        <f t="shared" si="259"/>
        <v>21383932</v>
      </c>
      <c r="I300" s="16"/>
      <c r="J300" s="436">
        <f t="shared" si="260"/>
        <v>8.9725424027910089E-3</v>
      </c>
      <c r="K300" s="16"/>
      <c r="L300" s="16"/>
      <c r="M300" s="16"/>
      <c r="N300" s="16">
        <f t="shared" ref="N300:N331" si="280">SUM(D294:D300)</f>
        <v>1445580</v>
      </c>
      <c r="O300" s="16">
        <f t="shared" si="261"/>
        <v>73484.302405498282</v>
      </c>
      <c r="P300" s="41"/>
      <c r="Q300" s="17">
        <f t="shared" si="257"/>
        <v>1445580</v>
      </c>
      <c r="R300" s="16"/>
      <c r="S300" s="60">
        <f t="shared" si="258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62"/>
        <v>362213</v>
      </c>
      <c r="AB300" s="33"/>
      <c r="AC300" s="46">
        <f t="shared" si="263"/>
        <v>1.6938559288347907E-2</v>
      </c>
      <c r="AD300" s="33"/>
      <c r="AE300" s="33">
        <f t="shared" si="264"/>
        <v>1244.7182130584192</v>
      </c>
      <c r="AF300" s="50"/>
      <c r="AG300" s="33">
        <f t="shared" si="265"/>
        <v>18642</v>
      </c>
      <c r="AH300" s="33">
        <f t="shared" si="266"/>
        <v>1176440914.060914</v>
      </c>
      <c r="AI300" s="213">
        <f t="shared" si="267"/>
        <v>0.21067671126120274</v>
      </c>
      <c r="AJ300" s="50"/>
      <c r="AK300" s="10"/>
      <c r="AL300" s="23">
        <f t="shared" si="268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9"/>
        <v>2.4085793326631803E-2</v>
      </c>
      <c r="AS300" s="25"/>
      <c r="AT300" s="25"/>
      <c r="AU300" s="24"/>
      <c r="AV300" s="298">
        <f t="shared" si="270"/>
        <v>0.59561132162223485</v>
      </c>
      <c r="AW300" s="298"/>
      <c r="AX300" s="24">
        <f t="shared" si="271"/>
        <v>43768.082474226801</v>
      </c>
      <c r="AY300" s="308"/>
      <c r="AZ300" s="10"/>
      <c r="BA300" s="65">
        <f t="shared" si="272"/>
        <v>2058691</v>
      </c>
      <c r="BB300" s="66"/>
      <c r="BC300" s="66">
        <v>260228941</v>
      </c>
      <c r="BD300" s="66"/>
      <c r="BE300" s="66">
        <f t="shared" si="273"/>
        <v>190162</v>
      </c>
      <c r="BF300" s="66"/>
      <c r="BG300" s="144">
        <f t="shared" si="274"/>
        <v>9.237034601113038E-2</v>
      </c>
      <c r="BH300" s="66"/>
      <c r="BI300" s="170"/>
      <c r="BJ300" s="66"/>
      <c r="BK300" s="66">
        <f t="shared" si="275"/>
        <v>11113482</v>
      </c>
      <c r="BL300" s="66"/>
      <c r="BM300" s="144">
        <f t="shared" si="276"/>
        <v>0.13007444471498672</v>
      </c>
      <c r="BN300" s="65">
        <f t="shared" si="277"/>
        <v>894257.52920962195</v>
      </c>
      <c r="BO300" s="66"/>
      <c r="BP300" s="66">
        <f t="shared" si="278"/>
        <v>20476954</v>
      </c>
      <c r="BQ300" s="66"/>
      <c r="BR300" s="435">
        <f t="shared" si="279"/>
        <v>7.8688227071561576E-2</v>
      </c>
      <c r="BS300" s="66"/>
      <c r="BT300" s="75"/>
      <c r="BU300" s="170"/>
      <c r="BV300" s="1"/>
      <c r="BW300" s="61">
        <f t="shared" si="189"/>
        <v>291</v>
      </c>
    </row>
    <row r="301" spans="2:75" x14ac:dyDescent="0.3">
      <c r="B301" s="158">
        <f t="shared" si="163"/>
        <v>44201</v>
      </c>
      <c r="C301" s="61"/>
      <c r="D301" s="17">
        <v>234711</v>
      </c>
      <c r="E301" s="16"/>
      <c r="F301" s="16"/>
      <c r="G301" s="16"/>
      <c r="H301" s="16">
        <f t="shared" si="259"/>
        <v>21618643</v>
      </c>
      <c r="I301" s="16"/>
      <c r="J301" s="436">
        <f t="shared" si="260"/>
        <v>1.0976045004258337E-2</v>
      </c>
      <c r="K301" s="16"/>
      <c r="L301" s="16"/>
      <c r="M301" s="16"/>
      <c r="N301" s="16">
        <f t="shared" si="280"/>
        <v>1480669</v>
      </c>
      <c r="O301" s="16">
        <f t="shared" si="261"/>
        <v>74036.448630136991</v>
      </c>
      <c r="P301" s="41"/>
      <c r="Q301" s="17">
        <f t="shared" ref="Q301:Q332" si="281">SUM(D295:D301)</f>
        <v>1480669</v>
      </c>
      <c r="R301" s="16"/>
      <c r="S301" s="60">
        <f t="shared" ref="S301:S332" si="282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62"/>
        <v>365982</v>
      </c>
      <c r="AB301" s="33"/>
      <c r="AC301" s="46">
        <f t="shared" si="263"/>
        <v>1.6928999660154431E-2</v>
      </c>
      <c r="AD301" s="33"/>
      <c r="AE301" s="33">
        <f t="shared" si="264"/>
        <v>1253.3630136986301</v>
      </c>
      <c r="AF301" s="50"/>
      <c r="AG301" s="33">
        <f t="shared" si="265"/>
        <v>18695</v>
      </c>
      <c r="AH301" s="33">
        <f t="shared" si="266"/>
        <v>1176258135.060914</v>
      </c>
      <c r="AI301" s="213">
        <f t="shared" si="267"/>
        <v>0.18788918541110688</v>
      </c>
      <c r="AJ301" s="50"/>
      <c r="AK301" s="10"/>
      <c r="AL301" s="23">
        <f t="shared" si="268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9"/>
        <v>1.0107162777375785E-2</v>
      </c>
      <c r="AS301" s="25"/>
      <c r="AT301" s="25"/>
      <c r="AU301" s="24"/>
      <c r="AV301" s="298">
        <f t="shared" si="270"/>
        <v>0.59509942414054384</v>
      </c>
      <c r="AW301" s="298"/>
      <c r="AX301" s="24">
        <f t="shared" si="271"/>
        <v>44059.047945205479</v>
      </c>
      <c r="AY301" s="308"/>
      <c r="AZ301" s="10"/>
      <c r="BA301" s="65">
        <f t="shared" si="272"/>
        <v>1648514</v>
      </c>
      <c r="BB301" s="66"/>
      <c r="BC301" s="66">
        <v>261877455</v>
      </c>
      <c r="BD301" s="66"/>
      <c r="BE301" s="66">
        <f t="shared" si="273"/>
        <v>234711</v>
      </c>
      <c r="BF301" s="66"/>
      <c r="BG301" s="144">
        <f t="shared" si="274"/>
        <v>0.14237731678347895</v>
      </c>
      <c r="BH301" s="66"/>
      <c r="BI301" s="170"/>
      <c r="BJ301" s="66"/>
      <c r="BK301" s="66">
        <f t="shared" si="275"/>
        <v>11705209</v>
      </c>
      <c r="BL301" s="66"/>
      <c r="BM301" s="144">
        <f t="shared" si="276"/>
        <v>0.12649658797207294</v>
      </c>
      <c r="BN301" s="65">
        <f t="shared" si="277"/>
        <v>896840.59931506845</v>
      </c>
      <c r="BO301" s="66"/>
      <c r="BP301" s="66">
        <f t="shared" si="278"/>
        <v>20711665</v>
      </c>
      <c r="BQ301" s="66"/>
      <c r="BR301" s="435">
        <f t="shared" si="279"/>
        <v>7.9089148777621965E-2</v>
      </c>
      <c r="BS301" s="66"/>
      <c r="BT301" s="75"/>
      <c r="BU301" s="170"/>
      <c r="BV301" s="1"/>
      <c r="BW301" s="61">
        <f t="shared" si="189"/>
        <v>292</v>
      </c>
    </row>
    <row r="302" spans="2:75" x14ac:dyDescent="0.3">
      <c r="B302" s="158">
        <f t="shared" si="163"/>
        <v>44202</v>
      </c>
      <c r="C302" s="61"/>
      <c r="D302" s="17">
        <v>260973</v>
      </c>
      <c r="E302" s="16"/>
      <c r="F302" s="16"/>
      <c r="G302" s="16"/>
      <c r="H302" s="16">
        <f t="shared" si="259"/>
        <v>21879616</v>
      </c>
      <c r="I302" s="16"/>
      <c r="J302" s="436">
        <f t="shared" si="260"/>
        <v>1.2071664257557702E-2</v>
      </c>
      <c r="K302" s="16"/>
      <c r="L302" s="16"/>
      <c r="M302" s="16"/>
      <c r="N302" s="16">
        <f t="shared" si="280"/>
        <v>1506867</v>
      </c>
      <c r="O302" s="16">
        <f t="shared" si="261"/>
        <v>74674.457337883956</v>
      </c>
      <c r="P302" s="41"/>
      <c r="Q302" s="17">
        <f t="shared" si="281"/>
        <v>1506867</v>
      </c>
      <c r="R302" s="16"/>
      <c r="S302" s="60">
        <f t="shared" si="282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62"/>
        <v>370082</v>
      </c>
      <c r="AB302" s="33"/>
      <c r="AC302" s="46">
        <f t="shared" si="263"/>
        <v>1.6914465043627824E-2</v>
      </c>
      <c r="AD302" s="33"/>
      <c r="AE302" s="33">
        <f t="shared" si="264"/>
        <v>1263.0784982935154</v>
      </c>
      <c r="AF302" s="50"/>
      <c r="AG302" s="33">
        <f t="shared" si="265"/>
        <v>18915</v>
      </c>
      <c r="AH302" s="33">
        <f t="shared" si="266"/>
        <v>1176058050.060914</v>
      </c>
      <c r="AI302" s="213">
        <f t="shared" si="267"/>
        <v>0.16636862551643336</v>
      </c>
      <c r="AJ302" s="50"/>
      <c r="AK302" s="10"/>
      <c r="AL302" s="23">
        <f t="shared" si="268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9"/>
        <v>1.2351108513932346E-2</v>
      </c>
      <c r="AS302" s="25"/>
      <c r="AT302" s="25"/>
      <c r="AU302" s="24"/>
      <c r="AV302" s="298">
        <f t="shared" si="270"/>
        <v>0.59526373771824881</v>
      </c>
      <c r="AW302" s="298"/>
      <c r="AX302" s="24">
        <f t="shared" si="271"/>
        <v>44450.996587030713</v>
      </c>
      <c r="AY302" s="308"/>
      <c r="AZ302" s="10"/>
      <c r="BA302" s="65">
        <f t="shared" si="272"/>
        <v>1658563</v>
      </c>
      <c r="BB302" s="66"/>
      <c r="BC302" s="66">
        <v>263536018</v>
      </c>
      <c r="BD302" s="66"/>
      <c r="BE302" s="66">
        <f t="shared" si="273"/>
        <v>260973</v>
      </c>
      <c r="BF302" s="66"/>
      <c r="BG302" s="144">
        <f t="shared" si="274"/>
        <v>0.15734886163504191</v>
      </c>
      <c r="BH302" s="66"/>
      <c r="BI302" s="170"/>
      <c r="BJ302" s="66"/>
      <c r="BK302" s="66">
        <f t="shared" si="275"/>
        <v>11768809</v>
      </c>
      <c r="BL302" s="66"/>
      <c r="BM302" s="144">
        <f t="shared" si="276"/>
        <v>0.12803903946440121</v>
      </c>
      <c r="BN302" s="65">
        <f t="shared" si="277"/>
        <v>899440.33447098976</v>
      </c>
      <c r="BO302" s="66"/>
      <c r="BP302" s="66">
        <f t="shared" si="278"/>
        <v>20972638</v>
      </c>
      <c r="BQ302" s="66"/>
      <c r="BR302" s="435">
        <f t="shared" si="279"/>
        <v>7.9581676004530047E-2</v>
      </c>
      <c r="BS302" s="66"/>
      <c r="BT302" s="75"/>
      <c r="BU302" s="170"/>
      <c r="BV302" s="1"/>
      <c r="BW302" s="61">
        <f t="shared" si="189"/>
        <v>293</v>
      </c>
    </row>
    <row r="303" spans="2:75" x14ac:dyDescent="0.3">
      <c r="B303" s="158">
        <f t="shared" si="163"/>
        <v>44203</v>
      </c>
      <c r="C303" s="61"/>
      <c r="D303" s="17">
        <v>274190</v>
      </c>
      <c r="E303" s="16"/>
      <c r="F303" s="16"/>
      <c r="G303" s="16"/>
      <c r="H303" s="16">
        <f t="shared" si="259"/>
        <v>22153806</v>
      </c>
      <c r="I303" s="16"/>
      <c r="J303" s="436">
        <f t="shared" si="260"/>
        <v>1.2531755584741525E-2</v>
      </c>
      <c r="K303" s="16"/>
      <c r="L303" s="16"/>
      <c r="M303" s="16"/>
      <c r="N303" s="16">
        <f t="shared" si="280"/>
        <v>1552644</v>
      </c>
      <c r="O303" s="16">
        <f t="shared" si="261"/>
        <v>75353.081632653062</v>
      </c>
      <c r="P303" s="41"/>
      <c r="Q303" s="17">
        <f t="shared" si="281"/>
        <v>1552644</v>
      </c>
      <c r="R303" s="16"/>
      <c r="S303" s="60">
        <f t="shared" si="282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62"/>
        <v>374216</v>
      </c>
      <c r="AB303" s="33"/>
      <c r="AC303" s="46">
        <f t="shared" si="263"/>
        <v>1.6891725060696118E-2</v>
      </c>
      <c r="AD303" s="33"/>
      <c r="AE303" s="33">
        <f t="shared" si="264"/>
        <v>1272.843537414966</v>
      </c>
      <c r="AF303" s="50"/>
      <c r="AG303" s="33">
        <f t="shared" si="265"/>
        <v>19611</v>
      </c>
      <c r="AH303" s="33">
        <f t="shared" si="266"/>
        <v>1175848294.060914</v>
      </c>
      <c r="AI303" s="213">
        <f t="shared" si="267"/>
        <v>0.16593341260404282</v>
      </c>
      <c r="AJ303" s="50"/>
      <c r="AK303" s="10"/>
      <c r="AL303" s="23">
        <f t="shared" si="268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9"/>
        <v>9.1503148537538971E-3</v>
      </c>
      <c r="AS303" s="25"/>
      <c r="AT303" s="25"/>
      <c r="AU303" s="24"/>
      <c r="AV303" s="298">
        <f t="shared" si="270"/>
        <v>0.59327580100683375</v>
      </c>
      <c r="AW303" s="298"/>
      <c r="AX303" s="24">
        <f t="shared" si="271"/>
        <v>44705.159863945577</v>
      </c>
      <c r="AY303" s="308"/>
      <c r="AZ303" s="10"/>
      <c r="BA303" s="65">
        <f t="shared" si="272"/>
        <v>1908845</v>
      </c>
      <c r="BB303" s="66"/>
      <c r="BC303" s="66">
        <v>265444863</v>
      </c>
      <c r="BD303" s="66"/>
      <c r="BE303" s="66">
        <f t="shared" si="273"/>
        <v>274190</v>
      </c>
      <c r="BF303" s="66"/>
      <c r="BG303" s="144">
        <f t="shared" si="274"/>
        <v>0.14364183576979797</v>
      </c>
      <c r="BH303" s="66"/>
      <c r="BI303" s="170"/>
      <c r="BJ303" s="66"/>
      <c r="BK303" s="66">
        <f t="shared" si="275"/>
        <v>11902223</v>
      </c>
      <c r="BL303" s="66"/>
      <c r="BM303" s="144">
        <f t="shared" si="276"/>
        <v>0.13044991679285459</v>
      </c>
      <c r="BN303" s="65">
        <f t="shared" si="277"/>
        <v>902873.68367346935</v>
      </c>
      <c r="BO303" s="66"/>
      <c r="BP303" s="66">
        <f t="shared" si="278"/>
        <v>21246828</v>
      </c>
      <c r="BQ303" s="66"/>
      <c r="BR303" s="435">
        <f t="shared" si="279"/>
        <v>8.0042340092300074E-2</v>
      </c>
      <c r="BS303" s="66"/>
      <c r="BT303" s="75"/>
      <c r="BU303" s="170"/>
      <c r="BV303" s="1"/>
      <c r="BW303" s="61">
        <f t="shared" si="189"/>
        <v>294</v>
      </c>
    </row>
    <row r="304" spans="2:75" x14ac:dyDescent="0.3">
      <c r="B304" s="158">
        <f t="shared" si="163"/>
        <v>44204</v>
      </c>
      <c r="C304" s="61"/>
      <c r="D304" s="17">
        <v>306449</v>
      </c>
      <c r="E304" s="16"/>
      <c r="F304" s="16"/>
      <c r="G304" s="16"/>
      <c r="H304" s="16">
        <f t="shared" si="259"/>
        <v>22460255</v>
      </c>
      <c r="I304" s="16"/>
      <c r="J304" s="436">
        <f t="shared" si="260"/>
        <v>1.3832792433047397E-2</v>
      </c>
      <c r="K304" s="16"/>
      <c r="L304" s="16"/>
      <c r="M304" s="16"/>
      <c r="N304" s="16">
        <f t="shared" si="280"/>
        <v>1693049</v>
      </c>
      <c r="O304" s="16">
        <f t="shared" si="261"/>
        <v>76136.457627118638</v>
      </c>
      <c r="P304" s="41"/>
      <c r="Q304" s="17">
        <f t="shared" si="281"/>
        <v>1693049</v>
      </c>
      <c r="R304" s="16"/>
      <c r="S304" s="60">
        <f t="shared" si="282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62"/>
        <v>378185</v>
      </c>
      <c r="AB304" s="33"/>
      <c r="AC304" s="46">
        <f t="shared" si="263"/>
        <v>1.6837965552928942E-2</v>
      </c>
      <c r="AD304" s="33"/>
      <c r="AE304" s="33">
        <f t="shared" si="264"/>
        <v>1281.9830508474577</v>
      </c>
      <c r="AF304" s="50"/>
      <c r="AG304" s="33">
        <f t="shared" si="265"/>
        <v>21451</v>
      </c>
      <c r="AH304" s="33">
        <f t="shared" si="266"/>
        <v>1175621341.060914</v>
      </c>
      <c r="AI304" s="213">
        <f t="shared" si="267"/>
        <v>0.20837088778729157</v>
      </c>
      <c r="AJ304" s="50"/>
      <c r="AK304" s="10"/>
      <c r="AL304" s="23">
        <f t="shared" si="268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9"/>
        <v>8.8738634242786652E-3</v>
      </c>
      <c r="AS304" s="25"/>
      <c r="AT304" s="25"/>
      <c r="AU304" s="24"/>
      <c r="AV304" s="298">
        <f t="shared" si="270"/>
        <v>0.59037392941442557</v>
      </c>
      <c r="AW304" s="298"/>
      <c r="AX304" s="24">
        <f t="shared" si="271"/>
        <v>44948.979661016951</v>
      </c>
      <c r="AY304" s="308"/>
      <c r="AZ304" s="10"/>
      <c r="BA304" s="65">
        <f t="shared" si="272"/>
        <v>2068185</v>
      </c>
      <c r="BB304" s="66"/>
      <c r="BC304" s="66">
        <v>267513048</v>
      </c>
      <c r="BD304" s="66"/>
      <c r="BE304" s="66">
        <f t="shared" si="273"/>
        <v>306449</v>
      </c>
      <c r="BF304" s="66"/>
      <c r="BG304" s="144">
        <f t="shared" si="274"/>
        <v>0.14817291489881224</v>
      </c>
      <c r="BH304" s="66"/>
      <c r="BI304" s="170"/>
      <c r="BJ304" s="66"/>
      <c r="BK304" s="66">
        <f t="shared" si="275"/>
        <v>12830325</v>
      </c>
      <c r="BL304" s="66"/>
      <c r="BM304" s="144">
        <f t="shared" si="276"/>
        <v>0.13195682884104651</v>
      </c>
      <c r="BN304" s="65">
        <f t="shared" si="277"/>
        <v>906823.89152542374</v>
      </c>
      <c r="BO304" s="66"/>
      <c r="BP304" s="66">
        <f t="shared" si="278"/>
        <v>21553277</v>
      </c>
      <c r="BQ304" s="66"/>
      <c r="BR304" s="435">
        <f t="shared" si="279"/>
        <v>8.0569068167471225E-2</v>
      </c>
      <c r="BS304" s="66"/>
      <c r="BT304" s="75"/>
      <c r="BU304" s="170"/>
      <c r="BV304" s="1"/>
      <c r="BW304" s="61">
        <f t="shared" si="189"/>
        <v>295</v>
      </c>
    </row>
    <row r="305" spans="2:75" x14ac:dyDescent="0.3">
      <c r="B305" s="158">
        <f t="shared" si="163"/>
        <v>44205</v>
      </c>
      <c r="C305" s="61"/>
      <c r="D305" s="17">
        <v>249694</v>
      </c>
      <c r="E305" s="16"/>
      <c r="F305" s="16"/>
      <c r="G305" s="16"/>
      <c r="H305" s="16">
        <f t="shared" si="259"/>
        <v>22709949</v>
      </c>
      <c r="I305" s="16"/>
      <c r="J305" s="436">
        <f t="shared" si="260"/>
        <v>1.1117148937089094E-2</v>
      </c>
      <c r="K305" s="16"/>
      <c r="L305" s="16"/>
      <c r="M305" s="16"/>
      <c r="N305" s="16">
        <f t="shared" si="280"/>
        <v>1710516</v>
      </c>
      <c r="O305" s="16">
        <f t="shared" si="261"/>
        <v>76722.80067567568</v>
      </c>
      <c r="P305" s="41"/>
      <c r="Q305" s="17">
        <f t="shared" si="281"/>
        <v>1710516</v>
      </c>
      <c r="R305" s="16"/>
      <c r="S305" s="60">
        <f t="shared" si="282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62"/>
        <v>381423</v>
      </c>
      <c r="AB305" s="33"/>
      <c r="AC305" s="46">
        <f t="shared" si="263"/>
        <v>1.6795414203704288E-2</v>
      </c>
      <c r="AD305" s="33"/>
      <c r="AE305" s="33">
        <f t="shared" si="264"/>
        <v>1288.5912162162163</v>
      </c>
      <c r="AF305" s="50"/>
      <c r="AG305" s="33">
        <f t="shared" si="265"/>
        <v>22582</v>
      </c>
      <c r="AH305" s="33">
        <f t="shared" si="266"/>
        <v>1175394027.060914</v>
      </c>
      <c r="AI305" s="213">
        <f t="shared" si="267"/>
        <v>0.22389030404856106</v>
      </c>
      <c r="AJ305" s="50"/>
      <c r="AK305" s="10"/>
      <c r="AL305" s="23">
        <f t="shared" si="268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9"/>
        <v>1.004068718514679E-2</v>
      </c>
      <c r="AS305" s="25"/>
      <c r="AT305" s="25"/>
      <c r="AU305" s="24"/>
      <c r="AV305" s="298">
        <f t="shared" si="270"/>
        <v>0.58974540189412139</v>
      </c>
      <c r="AW305" s="298"/>
      <c r="AX305" s="24">
        <f t="shared" si="271"/>
        <v>45246.91891891892</v>
      </c>
      <c r="AY305" s="308"/>
      <c r="AZ305" s="10"/>
      <c r="BA305" s="65">
        <f t="shared" si="272"/>
        <v>2006776</v>
      </c>
      <c r="BB305" s="66"/>
      <c r="BC305" s="66">
        <v>269519824</v>
      </c>
      <c r="BD305" s="66"/>
      <c r="BE305" s="66">
        <f t="shared" si="273"/>
        <v>249694</v>
      </c>
      <c r="BF305" s="66"/>
      <c r="BG305" s="144">
        <f t="shared" si="274"/>
        <v>0.12442544658696336</v>
      </c>
      <c r="BH305" s="66"/>
      <c r="BI305" s="170"/>
      <c r="BJ305" s="66"/>
      <c r="BK305" s="66">
        <f t="shared" si="275"/>
        <v>12771191</v>
      </c>
      <c r="BL305" s="66"/>
      <c r="BM305" s="144">
        <f t="shared" si="276"/>
        <v>0.13393551157444908</v>
      </c>
      <c r="BN305" s="65">
        <f t="shared" si="277"/>
        <v>910539.94594594592</v>
      </c>
      <c r="BO305" s="66"/>
      <c r="BP305" s="66">
        <f t="shared" si="278"/>
        <v>21802971</v>
      </c>
      <c r="BQ305" s="66"/>
      <c r="BR305" s="435">
        <f t="shared" ref="BR305:BR336" si="283">+BP305/BC305</f>
        <v>8.0895611597015582E-2</v>
      </c>
      <c r="BS305" s="66"/>
      <c r="BT305" s="75"/>
      <c r="BU305" s="170"/>
      <c r="BV305" s="1"/>
      <c r="BW305" s="61">
        <f t="shared" si="189"/>
        <v>296</v>
      </c>
    </row>
    <row r="306" spans="2:75" x14ac:dyDescent="0.3">
      <c r="B306" s="347">
        <f t="shared" si="163"/>
        <v>44206</v>
      </c>
      <c r="C306" s="61"/>
      <c r="D306" s="17">
        <v>220827</v>
      </c>
      <c r="E306" s="16"/>
      <c r="F306" s="16"/>
      <c r="G306" s="16"/>
      <c r="H306" s="16">
        <f t="shared" si="259"/>
        <v>22930776</v>
      </c>
      <c r="I306" s="16"/>
      <c r="J306" s="436">
        <f t="shared" si="260"/>
        <v>9.7237999081371783E-3</v>
      </c>
      <c r="K306" s="16"/>
      <c r="L306" s="16"/>
      <c r="M306" s="16"/>
      <c r="N306" s="16">
        <f t="shared" si="280"/>
        <v>1737006</v>
      </c>
      <c r="O306" s="16">
        <f t="shared" si="261"/>
        <v>77208</v>
      </c>
      <c r="P306" s="41"/>
      <c r="Q306" s="17">
        <f t="shared" si="281"/>
        <v>1737006</v>
      </c>
      <c r="R306" s="16"/>
      <c r="S306" s="60">
        <f t="shared" si="282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62"/>
        <v>383285</v>
      </c>
      <c r="AB306" s="33"/>
      <c r="AC306" s="46">
        <f t="shared" si="263"/>
        <v>1.6714872623586747E-2</v>
      </c>
      <c r="AD306" s="33"/>
      <c r="AE306" s="33">
        <f t="shared" si="264"/>
        <v>1290.5218855218855</v>
      </c>
      <c r="AF306" s="50"/>
      <c r="AG306" s="33">
        <f t="shared" si="265"/>
        <v>23057</v>
      </c>
      <c r="AH306" s="33">
        <f t="shared" si="266"/>
        <v>1175147266.060914</v>
      </c>
      <c r="AI306" s="213">
        <f t="shared" si="267"/>
        <v>0.23809268109327175</v>
      </c>
      <c r="AJ306" s="50"/>
      <c r="AK306" s="10"/>
      <c r="AL306" s="23">
        <f t="shared" si="268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9"/>
        <v>7.3106366507858381E-3</v>
      </c>
      <c r="AS306" s="25"/>
      <c r="AT306" s="25"/>
      <c r="AU306" s="24"/>
      <c r="AV306" s="298">
        <f t="shared" si="270"/>
        <v>0.58833595513732284</v>
      </c>
      <c r="AW306" s="298"/>
      <c r="AX306" s="24">
        <f t="shared" si="271"/>
        <v>45424.242424242424</v>
      </c>
      <c r="AY306" s="308"/>
      <c r="AZ306" s="10"/>
      <c r="BA306" s="65">
        <f t="shared" si="272"/>
        <v>1480176</v>
      </c>
      <c r="BB306" s="66"/>
      <c r="BC306" s="66">
        <v>271000000</v>
      </c>
      <c r="BD306" s="66"/>
      <c r="BE306" s="66">
        <f t="shared" si="273"/>
        <v>220827</v>
      </c>
      <c r="BF306" s="66"/>
      <c r="BG306" s="144">
        <f t="shared" si="274"/>
        <v>0.14918969095567014</v>
      </c>
      <c r="BH306" s="66"/>
      <c r="BI306" s="170"/>
      <c r="BJ306" s="66"/>
      <c r="BK306" s="66">
        <f t="shared" si="275"/>
        <v>12829750</v>
      </c>
      <c r="BL306" s="66"/>
      <c r="BM306" s="144">
        <f t="shared" si="276"/>
        <v>0.13538892028293614</v>
      </c>
      <c r="BN306" s="65">
        <f t="shared" si="277"/>
        <v>912457.91245791246</v>
      </c>
      <c r="BO306" s="66"/>
      <c r="BP306" s="66">
        <f t="shared" si="278"/>
        <v>22023798</v>
      </c>
      <c r="BQ306" s="66"/>
      <c r="BR306" s="435">
        <f t="shared" si="283"/>
        <v>8.1268627306273059E-2</v>
      </c>
      <c r="BS306" s="66"/>
      <c r="BT306" s="75"/>
      <c r="BU306" s="170"/>
      <c r="BV306" s="1"/>
      <c r="BW306" s="61">
        <f t="shared" si="189"/>
        <v>297</v>
      </c>
    </row>
    <row r="307" spans="2:75" x14ac:dyDescent="0.3">
      <c r="B307" s="158">
        <f t="shared" si="163"/>
        <v>44207</v>
      </c>
      <c r="C307" s="61"/>
      <c r="D307" s="17">
        <v>214683</v>
      </c>
      <c r="E307" s="16"/>
      <c r="F307" s="16"/>
      <c r="G307" s="16"/>
      <c r="H307" s="16">
        <f t="shared" si="259"/>
        <v>23145459</v>
      </c>
      <c r="I307" s="16"/>
      <c r="J307" s="436">
        <f t="shared" si="260"/>
        <v>9.3622213221218505E-3</v>
      </c>
      <c r="K307" s="16"/>
      <c r="L307" s="16"/>
      <c r="M307" s="16"/>
      <c r="N307" s="16">
        <f t="shared" si="280"/>
        <v>1761527</v>
      </c>
      <c r="O307" s="16">
        <f t="shared" si="261"/>
        <v>77669.325503355707</v>
      </c>
      <c r="P307" s="41"/>
      <c r="Q307" s="17">
        <f t="shared" si="281"/>
        <v>1761527</v>
      </c>
      <c r="R307" s="16"/>
      <c r="S307" s="60">
        <f t="shared" si="282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62"/>
        <v>385249</v>
      </c>
      <c r="AB307" s="33"/>
      <c r="AC307" s="46">
        <f t="shared" si="263"/>
        <v>1.6644690433661308E-2</v>
      </c>
      <c r="AD307" s="33"/>
      <c r="AE307" s="33">
        <f t="shared" si="264"/>
        <v>1292.7818791946308</v>
      </c>
      <c r="AF307" s="50"/>
      <c r="AG307" s="33">
        <f t="shared" si="265"/>
        <v>23036</v>
      </c>
      <c r="AH307" s="33">
        <f t="shared" si="266"/>
        <v>1174926968.060914</v>
      </c>
      <c r="AI307" s="213">
        <f t="shared" si="267"/>
        <v>0.23570432357043236</v>
      </c>
      <c r="AJ307" s="50"/>
      <c r="AK307" s="10"/>
      <c r="AL307" s="23">
        <f t="shared" si="268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9"/>
        <v>1.4043510488473797E-2</v>
      </c>
      <c r="AS307" s="25"/>
      <c r="AT307" s="25"/>
      <c r="AU307" s="24"/>
      <c r="AV307" s="298">
        <f t="shared" si="270"/>
        <v>0.59106457988152228</v>
      </c>
      <c r="AW307" s="298"/>
      <c r="AX307" s="24">
        <f t="shared" si="271"/>
        <v>45907.587248322146</v>
      </c>
      <c r="AY307" s="308"/>
      <c r="AZ307" s="10"/>
      <c r="BA307" s="65">
        <f t="shared" si="272"/>
        <v>2397007</v>
      </c>
      <c r="BB307" s="66"/>
      <c r="BC307" s="66">
        <v>273397007</v>
      </c>
      <c r="BD307" s="66"/>
      <c r="BE307" s="66">
        <f t="shared" si="273"/>
        <v>214683</v>
      </c>
      <c r="BF307" s="66"/>
      <c r="BG307" s="144">
        <f t="shared" si="274"/>
        <v>8.9562942452817207E-2</v>
      </c>
      <c r="BH307" s="66"/>
      <c r="BI307" s="170"/>
      <c r="BJ307" s="66"/>
      <c r="BK307" s="66">
        <f t="shared" si="275"/>
        <v>13168066</v>
      </c>
      <c r="BL307" s="66"/>
      <c r="BM307" s="144">
        <f t="shared" si="276"/>
        <v>0.13377264360613017</v>
      </c>
      <c r="BN307" s="65">
        <f t="shared" si="277"/>
        <v>917439.62080536911</v>
      </c>
      <c r="BO307" s="66"/>
      <c r="BP307" s="66">
        <f t="shared" si="278"/>
        <v>22238481</v>
      </c>
      <c r="BQ307" s="66"/>
      <c r="BR307" s="435">
        <f t="shared" si="283"/>
        <v>8.1341347676128731E-2</v>
      </c>
      <c r="BS307" s="66"/>
      <c r="BT307" s="75"/>
      <c r="BU307" s="170"/>
      <c r="BV307" s="1"/>
      <c r="BW307" s="61">
        <f t="shared" si="189"/>
        <v>298</v>
      </c>
    </row>
    <row r="308" spans="2:75" x14ac:dyDescent="0.3">
      <c r="B308" s="158">
        <f t="shared" si="163"/>
        <v>44208</v>
      </c>
      <c r="C308" s="61"/>
      <c r="D308" s="17">
        <v>223628</v>
      </c>
      <c r="E308" s="16"/>
      <c r="F308" s="16"/>
      <c r="G308" s="16"/>
      <c r="H308" s="16">
        <f t="shared" si="259"/>
        <v>23369087</v>
      </c>
      <c r="I308" s="16"/>
      <c r="J308" s="436">
        <f t="shared" si="260"/>
        <v>9.6618520289444253E-3</v>
      </c>
      <c r="K308" s="16"/>
      <c r="L308" s="16"/>
      <c r="M308" s="16"/>
      <c r="N308" s="16">
        <f t="shared" si="280"/>
        <v>1750444</v>
      </c>
      <c r="O308" s="16">
        <f t="shared" si="261"/>
        <v>78157.481605351175</v>
      </c>
      <c r="P308" s="41"/>
      <c r="Q308" s="17">
        <f t="shared" si="281"/>
        <v>1750444</v>
      </c>
      <c r="R308" s="16"/>
      <c r="S308" s="60">
        <f t="shared" si="282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62"/>
        <v>389530</v>
      </c>
      <c r="AB308" s="33"/>
      <c r="AC308" s="46">
        <f t="shared" si="263"/>
        <v>1.6668601558974042E-2</v>
      </c>
      <c r="AD308" s="33"/>
      <c r="AE308" s="33">
        <f t="shared" si="264"/>
        <v>1302.7759197324415</v>
      </c>
      <c r="AF308" s="50"/>
      <c r="AG308" s="33">
        <f t="shared" si="265"/>
        <v>23548</v>
      </c>
      <c r="AH308" s="33">
        <f t="shared" si="266"/>
        <v>1174739067.060914</v>
      </c>
      <c r="AI308" s="213">
        <f t="shared" si="267"/>
        <v>0.25958812516715701</v>
      </c>
      <c r="AJ308" s="50"/>
      <c r="AK308" s="10"/>
      <c r="AL308" s="23">
        <f t="shared" si="268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9"/>
        <v>9.9713014057055526E-3</v>
      </c>
      <c r="AS308" s="25"/>
      <c r="AT308" s="25"/>
      <c r="AU308" s="24"/>
      <c r="AV308" s="298">
        <f t="shared" si="270"/>
        <v>0.59124573416154425</v>
      </c>
      <c r="AW308" s="298"/>
      <c r="AX308" s="24">
        <f t="shared" si="271"/>
        <v>46210.277591973245</v>
      </c>
      <c r="AY308" s="308"/>
      <c r="AZ308" s="10"/>
      <c r="BA308" s="65">
        <f t="shared" si="272"/>
        <v>2207858</v>
      </c>
      <c r="BB308" s="66"/>
      <c r="BC308" s="66">
        <v>275604865</v>
      </c>
      <c r="BD308" s="66"/>
      <c r="BE308" s="66">
        <f t="shared" si="273"/>
        <v>223628</v>
      </c>
      <c r="BF308" s="66"/>
      <c r="BG308" s="144">
        <f t="shared" si="274"/>
        <v>0.10128731104989541</v>
      </c>
      <c r="BH308" s="66"/>
      <c r="BI308" s="170"/>
      <c r="BJ308" s="66"/>
      <c r="BK308" s="66">
        <f t="shared" si="275"/>
        <v>13727410</v>
      </c>
      <c r="BL308" s="66"/>
      <c r="BM308" s="144">
        <f t="shared" si="276"/>
        <v>0.12751451293434085</v>
      </c>
      <c r="BN308" s="65">
        <f t="shared" si="277"/>
        <v>921755.40133779263</v>
      </c>
      <c r="BO308" s="66"/>
      <c r="BP308" s="66">
        <f t="shared" si="278"/>
        <v>22462109</v>
      </c>
      <c r="BQ308" s="66"/>
      <c r="BR308" s="435">
        <f t="shared" si="283"/>
        <v>8.1501133878750659E-2</v>
      </c>
      <c r="BS308" s="66"/>
      <c r="BT308" s="75"/>
      <c r="BU308" s="170"/>
      <c r="BV308" s="1"/>
      <c r="BW308" s="61">
        <f t="shared" si="189"/>
        <v>299</v>
      </c>
    </row>
    <row r="309" spans="2:75" x14ac:dyDescent="0.3">
      <c r="B309" s="158">
        <f t="shared" si="163"/>
        <v>44209</v>
      </c>
      <c r="C309" s="61"/>
      <c r="D309" s="17">
        <v>238073</v>
      </c>
      <c r="E309" s="16"/>
      <c r="F309" s="16"/>
      <c r="G309" s="16"/>
      <c r="H309" s="16">
        <f t="shared" si="259"/>
        <v>23607160</v>
      </c>
      <c r="I309" s="16"/>
      <c r="J309" s="436">
        <f t="shared" si="260"/>
        <v>1.0187518237233658E-2</v>
      </c>
      <c r="K309" s="16"/>
      <c r="L309" s="16"/>
      <c r="M309" s="16"/>
      <c r="N309" s="16">
        <f t="shared" si="280"/>
        <v>1727544</v>
      </c>
      <c r="O309" s="16">
        <f t="shared" si="261"/>
        <v>78690.53333333334</v>
      </c>
      <c r="P309" s="41"/>
      <c r="Q309" s="17">
        <f t="shared" si="281"/>
        <v>1727544</v>
      </c>
      <c r="R309" s="16"/>
      <c r="S309" s="60">
        <f t="shared" si="282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62"/>
        <v>393625</v>
      </c>
      <c r="AB309" s="33"/>
      <c r="AC309" s="46">
        <f t="shared" si="263"/>
        <v>1.6673966711794219E-2</v>
      </c>
      <c r="AD309" s="33"/>
      <c r="AE309" s="33">
        <f t="shared" si="264"/>
        <v>1312.0833333333333</v>
      </c>
      <c r="AF309" s="50"/>
      <c r="AG309" s="33">
        <f t="shared" si="265"/>
        <v>23543</v>
      </c>
      <c r="AH309" s="33">
        <f t="shared" si="266"/>
        <v>1174539335.060914</v>
      </c>
      <c r="AI309" s="213">
        <f t="shared" si="267"/>
        <v>0.24467353951890033</v>
      </c>
      <c r="AJ309" s="50"/>
      <c r="AK309" s="10"/>
      <c r="AL309" s="23">
        <f t="shared" si="268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9"/>
        <v>1.144904494671117E-2</v>
      </c>
      <c r="AS309" s="25"/>
      <c r="AT309" s="25"/>
      <c r="AU309" s="24"/>
      <c r="AV309" s="298">
        <f t="shared" si="270"/>
        <v>0.59198408448962092</v>
      </c>
      <c r="AW309" s="298"/>
      <c r="AX309" s="24">
        <f t="shared" si="271"/>
        <v>46583.543333333335</v>
      </c>
      <c r="AY309" s="308"/>
      <c r="AZ309" s="10"/>
      <c r="BA309" s="65">
        <f t="shared" si="272"/>
        <v>1844464</v>
      </c>
      <c r="BB309" s="66"/>
      <c r="BC309" s="66">
        <v>277449329</v>
      </c>
      <c r="BD309" s="66"/>
      <c r="BE309" s="66">
        <f t="shared" si="273"/>
        <v>238073</v>
      </c>
      <c r="BF309" s="66"/>
      <c r="BG309" s="144">
        <f t="shared" si="274"/>
        <v>0.12907435439238715</v>
      </c>
      <c r="BH309" s="66"/>
      <c r="BI309" s="170"/>
      <c r="BJ309" s="66"/>
      <c r="BK309" s="66">
        <f t="shared" si="275"/>
        <v>13913311</v>
      </c>
      <c r="BL309" s="66"/>
      <c r="BM309" s="144">
        <f t="shared" si="276"/>
        <v>0.12416483754298312</v>
      </c>
      <c r="BN309" s="65">
        <f t="shared" si="277"/>
        <v>924831.09666666668</v>
      </c>
      <c r="BO309" s="66"/>
      <c r="BP309" s="66">
        <f t="shared" si="278"/>
        <v>22700182</v>
      </c>
      <c r="BQ309" s="66"/>
      <c r="BR309" s="435">
        <f t="shared" si="283"/>
        <v>8.181739736699814E-2</v>
      </c>
      <c r="BS309" s="66"/>
      <c r="BT309" s="75"/>
      <c r="BU309" s="170"/>
      <c r="BV309" s="1"/>
      <c r="BW309" s="61">
        <f t="shared" si="189"/>
        <v>300</v>
      </c>
    </row>
    <row r="310" spans="2:75" x14ac:dyDescent="0.3">
      <c r="B310" s="158">
        <f t="shared" si="163"/>
        <v>44210</v>
      </c>
      <c r="C310" s="61"/>
      <c r="D310" s="17">
        <v>234419</v>
      </c>
      <c r="E310" s="16"/>
      <c r="F310" s="16"/>
      <c r="G310" s="16"/>
      <c r="H310" s="16">
        <f t="shared" si="259"/>
        <v>23841579</v>
      </c>
      <c r="I310" s="16"/>
      <c r="J310" s="436">
        <f t="shared" si="260"/>
        <v>9.9299958148290606E-3</v>
      </c>
      <c r="K310" s="16"/>
      <c r="L310" s="16"/>
      <c r="M310" s="16"/>
      <c r="N310" s="16">
        <f t="shared" si="280"/>
        <v>1687773</v>
      </c>
      <c r="O310" s="16">
        <f t="shared" si="261"/>
        <v>79207.903654485053</v>
      </c>
      <c r="P310" s="41"/>
      <c r="Q310" s="17">
        <f t="shared" si="281"/>
        <v>1687773</v>
      </c>
      <c r="R310" s="16"/>
      <c r="S310" s="60">
        <f t="shared" si="282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62"/>
        <v>397767</v>
      </c>
      <c r="AB310" s="33"/>
      <c r="AC310" s="46">
        <f t="shared" si="263"/>
        <v>1.668375236388496E-2</v>
      </c>
      <c r="AD310" s="33"/>
      <c r="AE310" s="33">
        <f t="shared" si="264"/>
        <v>1321.4850498338869</v>
      </c>
      <c r="AF310" s="50"/>
      <c r="AG310" s="33">
        <f t="shared" si="265"/>
        <v>23551</v>
      </c>
      <c r="AH310" s="33">
        <f t="shared" si="266"/>
        <v>1174339300.060914</v>
      </c>
      <c r="AI310" s="213">
        <f t="shared" si="267"/>
        <v>0.2009076538677273</v>
      </c>
      <c r="AJ310" s="50"/>
      <c r="AK310" s="10"/>
      <c r="AL310" s="23">
        <f t="shared" si="268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9"/>
        <v>9.8089003248142785E-3</v>
      </c>
      <c r="AS310" s="25"/>
      <c r="AT310" s="25"/>
      <c r="AU310" s="24"/>
      <c r="AV310" s="298">
        <f t="shared" si="270"/>
        <v>0.59191310273535158</v>
      </c>
      <c r="AW310" s="298"/>
      <c r="AX310" s="24">
        <f t="shared" si="271"/>
        <v>46884.196013289038</v>
      </c>
      <c r="AY310" s="308"/>
      <c r="AZ310" s="10"/>
      <c r="BA310" s="65">
        <f t="shared" si="272"/>
        <v>2024424</v>
      </c>
      <c r="BB310" s="66"/>
      <c r="BC310" s="66">
        <v>279473753</v>
      </c>
      <c r="BD310" s="66"/>
      <c r="BE310" s="66">
        <f t="shared" si="273"/>
        <v>234419</v>
      </c>
      <c r="BF310" s="66"/>
      <c r="BG310" s="144">
        <f t="shared" si="274"/>
        <v>0.1157954064958724</v>
      </c>
      <c r="BH310" s="66"/>
      <c r="BI310" s="170"/>
      <c r="BJ310" s="66"/>
      <c r="BK310" s="66">
        <f t="shared" si="275"/>
        <v>14028890</v>
      </c>
      <c r="BL310" s="66"/>
      <c r="BM310" s="144">
        <f t="shared" si="276"/>
        <v>0.12030695229629713</v>
      </c>
      <c r="BN310" s="65">
        <f t="shared" si="277"/>
        <v>928484.22923588043</v>
      </c>
      <c r="BO310" s="66"/>
      <c r="BP310" s="66">
        <f t="shared" si="278"/>
        <v>22934601</v>
      </c>
      <c r="BQ310" s="66"/>
      <c r="BR310" s="435">
        <f t="shared" si="283"/>
        <v>8.206352386873339E-2</v>
      </c>
      <c r="BS310" s="66"/>
      <c r="BT310" s="75"/>
      <c r="BU310" s="170"/>
      <c r="BV310" s="1"/>
      <c r="BW310" s="61">
        <f t="shared" si="189"/>
        <v>301</v>
      </c>
    </row>
    <row r="311" spans="2:75" x14ac:dyDescent="0.3">
      <c r="B311" s="158">
        <f t="shared" si="163"/>
        <v>44211</v>
      </c>
      <c r="C311" s="61"/>
      <c r="D311" s="17">
        <v>248806</v>
      </c>
      <c r="E311" s="16"/>
      <c r="F311" s="16"/>
      <c r="G311" s="16"/>
      <c r="H311" s="16">
        <f t="shared" si="259"/>
        <v>24090385</v>
      </c>
      <c r="I311" s="16"/>
      <c r="J311" s="436">
        <f t="shared" si="260"/>
        <v>1.0435802091799373E-2</v>
      </c>
      <c r="K311" s="16"/>
      <c r="L311" s="16"/>
      <c r="M311" s="16"/>
      <c r="N311" s="16">
        <f t="shared" si="280"/>
        <v>1630130</v>
      </c>
      <c r="O311" s="16">
        <f t="shared" si="261"/>
        <v>79769.486754966885</v>
      </c>
      <c r="P311" s="41"/>
      <c r="Q311" s="17">
        <f t="shared" si="281"/>
        <v>1630130</v>
      </c>
      <c r="R311" s="16"/>
      <c r="S311" s="60">
        <f t="shared" si="282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62"/>
        <v>401584</v>
      </c>
      <c r="AB311" s="33"/>
      <c r="AC311" s="46">
        <f t="shared" si="263"/>
        <v>1.666988717697953E-2</v>
      </c>
      <c r="AD311" s="33"/>
      <c r="AE311" s="33">
        <f t="shared" si="264"/>
        <v>1329.7483443708609</v>
      </c>
      <c r="AF311" s="50"/>
      <c r="AG311" s="33">
        <f t="shared" si="265"/>
        <v>23399</v>
      </c>
      <c r="AH311" s="33">
        <f t="shared" si="266"/>
        <v>1174089127.060914</v>
      </c>
      <c r="AI311" s="213">
        <f t="shared" si="267"/>
        <v>9.0811617174024514E-2</v>
      </c>
      <c r="AJ311" s="50"/>
      <c r="AK311" s="10"/>
      <c r="AL311" s="23">
        <f t="shared" si="268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9"/>
        <v>8.2784025076843397E-3</v>
      </c>
      <c r="AS311" s="25"/>
      <c r="AT311" s="25"/>
      <c r="AU311" s="24"/>
      <c r="AV311" s="298">
        <f t="shared" si="270"/>
        <v>0.59064929846492698</v>
      </c>
      <c r="AW311" s="298"/>
      <c r="AX311" s="24">
        <f t="shared" si="271"/>
        <v>47115.791390728475</v>
      </c>
      <c r="AY311" s="308"/>
      <c r="AZ311" s="10"/>
      <c r="BA311" s="65">
        <f t="shared" si="272"/>
        <v>2336132</v>
      </c>
      <c r="BB311" s="66"/>
      <c r="BC311" s="66">
        <v>281809885</v>
      </c>
      <c r="BD311" s="66"/>
      <c r="BE311" s="66">
        <f t="shared" si="273"/>
        <v>248806</v>
      </c>
      <c r="BF311" s="66"/>
      <c r="BG311" s="144">
        <f t="shared" si="274"/>
        <v>0.10650339963666437</v>
      </c>
      <c r="BH311" s="66"/>
      <c r="BI311" s="170"/>
      <c r="BJ311" s="66"/>
      <c r="BK311" s="66">
        <f t="shared" si="275"/>
        <v>14296837</v>
      </c>
      <c r="BL311" s="66"/>
      <c r="BM311" s="144">
        <f t="shared" si="276"/>
        <v>0.11402032491522425</v>
      </c>
      <c r="BN311" s="65">
        <f t="shared" si="277"/>
        <v>933145.31456953648</v>
      </c>
      <c r="BO311" s="66"/>
      <c r="BP311" s="66">
        <f t="shared" si="278"/>
        <v>23183407</v>
      </c>
      <c r="BQ311" s="66"/>
      <c r="BR311" s="435">
        <f t="shared" si="283"/>
        <v>8.2266124199298407E-2</v>
      </c>
      <c r="BS311" s="66"/>
      <c r="BT311" s="75"/>
      <c r="BU311" s="170"/>
      <c r="BV311" s="1"/>
      <c r="BW311" s="61">
        <f t="shared" si="189"/>
        <v>302</v>
      </c>
    </row>
    <row r="312" spans="2:75" x14ac:dyDescent="0.3">
      <c r="B312" s="158">
        <f t="shared" si="163"/>
        <v>44212</v>
      </c>
      <c r="C312" s="61"/>
      <c r="D312" s="17">
        <v>202767</v>
      </c>
      <c r="E312" s="16"/>
      <c r="F312" s="16"/>
      <c r="G312" s="16"/>
      <c r="H312" s="16">
        <f t="shared" si="259"/>
        <v>24293152</v>
      </c>
      <c r="I312" s="16"/>
      <c r="J312" s="436">
        <f t="shared" si="260"/>
        <v>8.4169265040803624E-3</v>
      </c>
      <c r="K312" s="16"/>
      <c r="L312" s="16"/>
      <c r="M312" s="16"/>
      <c r="N312" s="16">
        <f t="shared" si="280"/>
        <v>1583203</v>
      </c>
      <c r="O312" s="16">
        <f t="shared" si="261"/>
        <v>80175.419141914186</v>
      </c>
      <c r="P312" s="41"/>
      <c r="Q312" s="17">
        <f t="shared" si="281"/>
        <v>1583203</v>
      </c>
      <c r="R312" s="16"/>
      <c r="S312" s="60">
        <f t="shared" si="282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62"/>
        <v>404961</v>
      </c>
      <c r="AB312" s="33"/>
      <c r="AC312" s="46">
        <f t="shared" si="263"/>
        <v>1.6669759444966219E-2</v>
      </c>
      <c r="AD312" s="33"/>
      <c r="AE312" s="33">
        <f t="shared" si="264"/>
        <v>1336.5049504950496</v>
      </c>
      <c r="AF312" s="50"/>
      <c r="AG312" s="33">
        <f t="shared" si="265"/>
        <v>23538</v>
      </c>
      <c r="AH312" s="33">
        <f t="shared" si="266"/>
        <v>1173851255.060914</v>
      </c>
      <c r="AI312" s="213">
        <f t="shared" si="267"/>
        <v>4.2334602780975998E-2</v>
      </c>
      <c r="AJ312" s="50"/>
      <c r="AK312" s="10"/>
      <c r="AL312" s="23">
        <f t="shared" si="268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9"/>
        <v>8.0592627617643974E-3</v>
      </c>
      <c r="AS312" s="25"/>
      <c r="AT312" s="25"/>
      <c r="AU312" s="24"/>
      <c r="AV312" s="298">
        <f t="shared" si="270"/>
        <v>0.5904398078931874</v>
      </c>
      <c r="AW312" s="298"/>
      <c r="AX312" s="24">
        <f t="shared" si="271"/>
        <v>47338.75907590759</v>
      </c>
      <c r="AY312" s="308"/>
      <c r="AZ312" s="10"/>
      <c r="BA312" s="65">
        <f t="shared" si="272"/>
        <v>1943241</v>
      </c>
      <c r="BB312" s="66"/>
      <c r="BC312" s="66">
        <v>283753126</v>
      </c>
      <c r="BD312" s="66"/>
      <c r="BE312" s="66">
        <f t="shared" si="273"/>
        <v>202767</v>
      </c>
      <c r="BF312" s="66"/>
      <c r="BG312" s="144">
        <f t="shared" si="274"/>
        <v>0.10434475188615308</v>
      </c>
      <c r="BH312" s="66"/>
      <c r="BI312" s="170"/>
      <c r="BJ312" s="66"/>
      <c r="BK312" s="66">
        <f t="shared" si="275"/>
        <v>14233302</v>
      </c>
      <c r="BL312" s="66"/>
      <c r="BM312" s="144">
        <f t="shared" si="276"/>
        <v>0.11123230575730073</v>
      </c>
      <c r="BN312" s="65">
        <f t="shared" si="277"/>
        <v>936478.96369636967</v>
      </c>
      <c r="BO312" s="66"/>
      <c r="BP312" s="66">
        <f t="shared" si="278"/>
        <v>23386174</v>
      </c>
      <c r="BQ312" s="66"/>
      <c r="BR312" s="435">
        <f t="shared" si="283"/>
        <v>8.2417326390969881E-2</v>
      </c>
      <c r="BS312" s="66"/>
      <c r="BT312" s="75"/>
      <c r="BU312" s="170"/>
      <c r="BV312" s="1"/>
      <c r="BW312" s="61">
        <f t="shared" si="189"/>
        <v>303</v>
      </c>
    </row>
    <row r="313" spans="2:75" x14ac:dyDescent="0.3">
      <c r="B313" s="347">
        <f t="shared" si="163"/>
        <v>44213</v>
      </c>
      <c r="C313" s="61"/>
      <c r="D313" s="17">
        <v>174560</v>
      </c>
      <c r="E313" s="16"/>
      <c r="F313" s="16"/>
      <c r="G313" s="16"/>
      <c r="H313" s="16">
        <f t="shared" si="259"/>
        <v>24467712</v>
      </c>
      <c r="I313" s="16"/>
      <c r="J313" s="436">
        <f t="shared" si="260"/>
        <v>7.1855640634858747E-3</v>
      </c>
      <c r="K313" s="16"/>
      <c r="L313" s="16"/>
      <c r="M313" s="16"/>
      <c r="N313" s="16">
        <f t="shared" si="280"/>
        <v>1536936</v>
      </c>
      <c r="O313" s="16">
        <f t="shared" si="261"/>
        <v>80485.894736842107</v>
      </c>
      <c r="P313" s="41"/>
      <c r="Q313" s="17">
        <f t="shared" si="281"/>
        <v>1536936</v>
      </c>
      <c r="R313" s="16"/>
      <c r="S313" s="60">
        <f t="shared" si="282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62"/>
        <v>406807</v>
      </c>
      <c r="AB313" s="33"/>
      <c r="AC313" s="46">
        <f t="shared" si="263"/>
        <v>1.6626278746455739E-2</v>
      </c>
      <c r="AD313" s="33"/>
      <c r="AE313" s="33">
        <f t="shared" si="264"/>
        <v>1338.1809210526317</v>
      </c>
      <c r="AF313" s="50"/>
      <c r="AG313" s="33">
        <f t="shared" si="265"/>
        <v>23522</v>
      </c>
      <c r="AH313" s="33">
        <f t="shared" si="266"/>
        <v>1173596575.060914</v>
      </c>
      <c r="AI313" s="213">
        <f t="shared" si="267"/>
        <v>2.0167411198334564E-2</v>
      </c>
      <c r="AJ313" s="50"/>
      <c r="AK313" s="10"/>
      <c r="AL313" s="23">
        <f t="shared" si="268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9"/>
        <v>5.9055425525061829E-3</v>
      </c>
      <c r="AS313" s="25"/>
      <c r="AT313" s="25"/>
      <c r="AU313" s="24"/>
      <c r="AV313" s="298">
        <f t="shared" si="270"/>
        <v>0.58968942416847148</v>
      </c>
      <c r="AW313" s="298"/>
      <c r="AX313" s="24">
        <f t="shared" si="271"/>
        <v>47461.680921052633</v>
      </c>
      <c r="AY313" s="308"/>
      <c r="AZ313" s="10"/>
      <c r="BA313" s="65">
        <f t="shared" si="272"/>
        <v>1940413</v>
      </c>
      <c r="BB313" s="66"/>
      <c r="BC313" s="66">
        <v>285693539</v>
      </c>
      <c r="BD313" s="66"/>
      <c r="BE313" s="66">
        <f t="shared" si="273"/>
        <v>174560</v>
      </c>
      <c r="BF313" s="66"/>
      <c r="BG313" s="144">
        <f t="shared" si="274"/>
        <v>8.9960230115959855E-2</v>
      </c>
      <c r="BH313" s="66"/>
      <c r="BI313" s="170"/>
      <c r="BJ313" s="66"/>
      <c r="BK313" s="66">
        <f t="shared" si="275"/>
        <v>14693539</v>
      </c>
      <c r="BL313" s="66"/>
      <c r="BM313" s="144">
        <f t="shared" si="276"/>
        <v>0.10459944333356314</v>
      </c>
      <c r="BN313" s="65">
        <f t="shared" si="277"/>
        <v>939781.37828947371</v>
      </c>
      <c r="BO313" s="66"/>
      <c r="BP313" s="66">
        <f t="shared" si="278"/>
        <v>23560734</v>
      </c>
      <c r="BQ313" s="66"/>
      <c r="BR313" s="435">
        <f t="shared" si="283"/>
        <v>8.2468557330587722E-2</v>
      </c>
      <c r="BS313" s="66"/>
      <c r="BT313" s="75"/>
      <c r="BU313" s="170"/>
      <c r="BV313" s="1"/>
      <c r="BW313" s="61">
        <f t="shared" si="189"/>
        <v>304</v>
      </c>
    </row>
    <row r="314" spans="2:75" x14ac:dyDescent="0.3">
      <c r="B314" s="158">
        <f t="shared" si="163"/>
        <v>44214</v>
      </c>
      <c r="C314" s="61"/>
      <c r="D314" s="17">
        <v>149328</v>
      </c>
      <c r="E314" s="16"/>
      <c r="F314" s="16"/>
      <c r="G314" s="16"/>
      <c r="H314" s="16">
        <f t="shared" si="259"/>
        <v>24617040</v>
      </c>
      <c r="I314" s="16"/>
      <c r="J314" s="436">
        <f t="shared" si="260"/>
        <v>6.1030634985404439E-3</v>
      </c>
      <c r="K314" s="16"/>
      <c r="L314" s="16"/>
      <c r="M314" s="16"/>
      <c r="N314" s="16">
        <f t="shared" si="280"/>
        <v>1471581</v>
      </c>
      <c r="O314" s="16">
        <f t="shared" si="261"/>
        <v>80711.606557377047</v>
      </c>
      <c r="P314" s="41"/>
      <c r="Q314" s="17">
        <f t="shared" si="281"/>
        <v>1471581</v>
      </c>
      <c r="R314" s="16"/>
      <c r="S314" s="60">
        <f t="shared" si="282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62"/>
        <v>408309</v>
      </c>
      <c r="AB314" s="33"/>
      <c r="AC314" s="46">
        <f t="shared" si="263"/>
        <v>1.6586437687065546E-2</v>
      </c>
      <c r="AD314" s="33"/>
      <c r="AE314" s="33">
        <f t="shared" si="264"/>
        <v>1338.7180327868853</v>
      </c>
      <c r="AF314" s="50"/>
      <c r="AG314" s="33">
        <f t="shared" si="265"/>
        <v>23060</v>
      </c>
      <c r="AH314" s="33">
        <f t="shared" si="266"/>
        <v>1173406925.060914</v>
      </c>
      <c r="AI314" s="213">
        <f t="shared" si="267"/>
        <v>1.0418475429762111E-3</v>
      </c>
      <c r="AJ314" s="50"/>
      <c r="AK314" s="10"/>
      <c r="AL314" s="23">
        <f t="shared" si="268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9"/>
        <v>8.1062624550788925E-3</v>
      </c>
      <c r="AS314" s="25"/>
      <c r="AT314" s="25"/>
      <c r="AU314" s="24"/>
      <c r="AV314" s="298">
        <f t="shared" si="270"/>
        <v>0.5908635238030242</v>
      </c>
      <c r="AW314" s="298"/>
      <c r="AX314" s="24">
        <f t="shared" si="271"/>
        <v>47689.54426229508</v>
      </c>
      <c r="AY314" s="308"/>
      <c r="AZ314" s="10"/>
      <c r="BA314" s="65">
        <f t="shared" si="272"/>
        <v>2081676</v>
      </c>
      <c r="BB314" s="66"/>
      <c r="BC314" s="66">
        <v>287775215</v>
      </c>
      <c r="BD314" s="66"/>
      <c r="BE314" s="66">
        <f t="shared" si="273"/>
        <v>149328</v>
      </c>
      <c r="BF314" s="66"/>
      <c r="BG314" s="144">
        <f t="shared" si="274"/>
        <v>7.1734506234399587E-2</v>
      </c>
      <c r="BH314" s="66"/>
      <c r="BI314" s="170"/>
      <c r="BJ314" s="66"/>
      <c r="BK314" s="66">
        <f t="shared" si="275"/>
        <v>14378208</v>
      </c>
      <c r="BL314" s="66"/>
      <c r="BM314" s="144">
        <f t="shared" si="276"/>
        <v>0.1023480116576419</v>
      </c>
      <c r="BN314" s="65">
        <f t="shared" si="277"/>
        <v>943525.29508196726</v>
      </c>
      <c r="BO314" s="66"/>
      <c r="BP314" s="66">
        <f t="shared" si="278"/>
        <v>23710062</v>
      </c>
      <c r="BQ314" s="66"/>
      <c r="BR314" s="435">
        <f t="shared" si="283"/>
        <v>8.2390910558437072E-2</v>
      </c>
      <c r="BS314" s="66"/>
      <c r="BT314" s="75"/>
      <c r="BU314" s="170"/>
      <c r="BV314" s="1"/>
      <c r="BW314" s="61">
        <f t="shared" si="189"/>
        <v>305</v>
      </c>
    </row>
    <row r="315" spans="2:75" x14ac:dyDescent="0.3">
      <c r="B315" s="158">
        <f t="shared" si="163"/>
        <v>44215</v>
      </c>
      <c r="C315" s="61"/>
      <c r="D315" s="17">
        <v>174378</v>
      </c>
      <c r="E315" s="16"/>
      <c r="F315" s="16"/>
      <c r="G315" s="16"/>
      <c r="H315" s="16">
        <f t="shared" si="259"/>
        <v>24791418</v>
      </c>
      <c r="I315" s="16"/>
      <c r="J315" s="436">
        <f t="shared" si="260"/>
        <v>7.0836298758908461E-3</v>
      </c>
      <c r="K315" s="16"/>
      <c r="L315" s="16"/>
      <c r="M315" s="16"/>
      <c r="N315" s="16">
        <f t="shared" si="280"/>
        <v>1422331</v>
      </c>
      <c r="O315" s="16">
        <f t="shared" si="261"/>
        <v>81017.705882352937</v>
      </c>
      <c r="P315" s="41"/>
      <c r="Q315" s="17">
        <f t="shared" si="281"/>
        <v>1422331</v>
      </c>
      <c r="R315" s="16"/>
      <c r="S315" s="60">
        <f t="shared" si="282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62"/>
        <v>411111</v>
      </c>
      <c r="AB315" s="33"/>
      <c r="AC315" s="46">
        <f t="shared" si="263"/>
        <v>1.6582794901041965E-2</v>
      </c>
      <c r="AD315" s="33"/>
      <c r="AE315" s="33">
        <f t="shared" si="264"/>
        <v>1343.5</v>
      </c>
      <c r="AF315" s="50"/>
      <c r="AG315" s="33">
        <f t="shared" si="265"/>
        <v>21581</v>
      </c>
      <c r="AH315" s="33">
        <f t="shared" si="266"/>
        <v>1173218645.060914</v>
      </c>
      <c r="AI315" s="213">
        <f t="shared" si="267"/>
        <v>-8.3531510107015455E-2</v>
      </c>
      <c r="AJ315" s="50"/>
      <c r="AK315" s="10"/>
      <c r="AL315" s="23">
        <f t="shared" si="268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9"/>
        <v>1.6608445154593119E-2</v>
      </c>
      <c r="AS315" s="25"/>
      <c r="AT315" s="25"/>
      <c r="AU315" s="24"/>
      <c r="AV315" s="298">
        <f t="shared" si="270"/>
        <v>0.59645180441070378</v>
      </c>
      <c r="AW315" s="298"/>
      <c r="AX315" s="24">
        <f t="shared" si="271"/>
        <v>48323.156862745098</v>
      </c>
      <c r="AY315" s="308"/>
      <c r="AZ315" s="10"/>
      <c r="BA315" s="65">
        <f t="shared" si="272"/>
        <v>2023737</v>
      </c>
      <c r="BB315" s="66"/>
      <c r="BC315" s="66">
        <v>289798952</v>
      </c>
      <c r="BD315" s="66"/>
      <c r="BE315" s="66">
        <f t="shared" si="273"/>
        <v>174378</v>
      </c>
      <c r="BF315" s="66"/>
      <c r="BG315" s="144">
        <f t="shared" si="274"/>
        <v>8.6166334854776094E-2</v>
      </c>
      <c r="BH315" s="66"/>
      <c r="BI315" s="170"/>
      <c r="BJ315" s="66"/>
      <c r="BK315" s="66">
        <f t="shared" si="275"/>
        <v>14194087</v>
      </c>
      <c r="BL315" s="66"/>
      <c r="BM315" s="144">
        <f t="shared" si="276"/>
        <v>0.1002058815054466</v>
      </c>
      <c r="BN315" s="65">
        <f t="shared" si="277"/>
        <v>947055.39869281044</v>
      </c>
      <c r="BO315" s="66"/>
      <c r="BP315" s="66">
        <f t="shared" si="278"/>
        <v>23884440</v>
      </c>
      <c r="BQ315" s="66"/>
      <c r="BR315" s="435">
        <f t="shared" si="283"/>
        <v>8.2417275270201804E-2</v>
      </c>
      <c r="BS315" s="66"/>
      <c r="BT315" s="75"/>
      <c r="BU315" s="170"/>
      <c r="BV315" s="1"/>
      <c r="BW315" s="61">
        <f t="shared" si="189"/>
        <v>306</v>
      </c>
    </row>
    <row r="316" spans="2:75" x14ac:dyDescent="0.3">
      <c r="B316" s="158">
        <f t="shared" si="163"/>
        <v>44216</v>
      </c>
      <c r="C316" s="61"/>
      <c r="D316" s="17">
        <v>190081</v>
      </c>
      <c r="E316" s="16"/>
      <c r="F316" s="16"/>
      <c r="G316" s="16"/>
      <c r="H316" s="16">
        <f t="shared" si="259"/>
        <v>24981499</v>
      </c>
      <c r="I316" s="16"/>
      <c r="J316" s="436">
        <f t="shared" si="260"/>
        <v>7.6672096771552159E-3</v>
      </c>
      <c r="K316" s="16"/>
      <c r="L316" s="16"/>
      <c r="M316" s="16"/>
      <c r="N316" s="16">
        <f t="shared" si="280"/>
        <v>1374339</v>
      </c>
      <c r="O316" s="16">
        <f t="shared" si="261"/>
        <v>81372.96091205212</v>
      </c>
      <c r="P316" s="41"/>
      <c r="Q316" s="17">
        <f t="shared" si="281"/>
        <v>1374339</v>
      </c>
      <c r="R316" s="16"/>
      <c r="S316" s="60">
        <f t="shared" si="282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62"/>
        <v>415505</v>
      </c>
      <c r="AB316" s="33"/>
      <c r="AC316" s="46">
        <f t="shared" si="263"/>
        <v>1.6632508721754449E-2</v>
      </c>
      <c r="AD316" s="33"/>
      <c r="AE316" s="33">
        <f t="shared" si="264"/>
        <v>1353.4364820846906</v>
      </c>
      <c r="AF316" s="50"/>
      <c r="AG316" s="33">
        <f t="shared" si="265"/>
        <v>21880</v>
      </c>
      <c r="AH316" s="33">
        <f t="shared" si="266"/>
        <v>1173018536.060914</v>
      </c>
      <c r="AI316" s="213">
        <f t="shared" si="267"/>
        <v>-7.0636707301533361E-2</v>
      </c>
      <c r="AJ316" s="50"/>
      <c r="AK316" s="10"/>
      <c r="AL316" s="23">
        <f t="shared" si="268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9"/>
        <v>1.2623617981500634E-2</v>
      </c>
      <c r="AS316" s="25"/>
      <c r="AT316" s="25"/>
      <c r="AU316" s="24"/>
      <c r="AV316" s="298">
        <f t="shared" si="270"/>
        <v>0.59938556929670228</v>
      </c>
      <c r="AW316" s="298"/>
      <c r="AX316" s="24">
        <f t="shared" si="271"/>
        <v>48773.778501628665</v>
      </c>
      <c r="AY316" s="308"/>
      <c r="AZ316" s="10"/>
      <c r="BA316" s="65">
        <f t="shared" si="272"/>
        <v>1779241</v>
      </c>
      <c r="BB316" s="66"/>
      <c r="BC316" s="66">
        <v>291578193</v>
      </c>
      <c r="BD316" s="66"/>
      <c r="BE316" s="66">
        <f t="shared" si="273"/>
        <v>190081</v>
      </c>
      <c r="BF316" s="66"/>
      <c r="BG316" s="144">
        <f t="shared" si="274"/>
        <v>0.10683263256635835</v>
      </c>
      <c r="BH316" s="66"/>
      <c r="BI316" s="170"/>
      <c r="BJ316" s="66"/>
      <c r="BK316" s="66">
        <f t="shared" si="275"/>
        <v>14128864</v>
      </c>
      <c r="BL316" s="66"/>
      <c r="BM316" s="144">
        <f t="shared" si="276"/>
        <v>9.7271726870610406E-2</v>
      </c>
      <c r="BN316" s="65">
        <f t="shared" si="277"/>
        <v>949766.10097719869</v>
      </c>
      <c r="BO316" s="66"/>
      <c r="BP316" s="66">
        <f t="shared" si="278"/>
        <v>24074521</v>
      </c>
      <c r="BQ316" s="66"/>
      <c r="BR316" s="435">
        <f t="shared" si="283"/>
        <v>8.2566260365019822E-2</v>
      </c>
      <c r="BS316" s="66"/>
      <c r="BT316" s="75"/>
      <c r="BU316" s="170"/>
      <c r="BV316" s="1"/>
      <c r="BW316" s="61">
        <f t="shared" si="189"/>
        <v>307</v>
      </c>
    </row>
    <row r="317" spans="2:75" x14ac:dyDescent="0.3">
      <c r="B317" s="158">
        <f t="shared" si="163"/>
        <v>44217</v>
      </c>
      <c r="C317" s="61"/>
      <c r="D317" s="17">
        <v>193758</v>
      </c>
      <c r="E317" s="16"/>
      <c r="F317" s="16"/>
      <c r="G317" s="16"/>
      <c r="H317" s="16">
        <f t="shared" si="259"/>
        <v>25175257</v>
      </c>
      <c r="I317" s="16"/>
      <c r="J317" s="436">
        <f t="shared" si="260"/>
        <v>7.7560597944903147E-3</v>
      </c>
      <c r="K317" s="16"/>
      <c r="L317" s="16"/>
      <c r="M317" s="16"/>
      <c r="N317" s="16">
        <f t="shared" si="280"/>
        <v>1333678</v>
      </c>
      <c r="O317" s="16">
        <f t="shared" si="261"/>
        <v>81737.847402597399</v>
      </c>
      <c r="P317" s="41"/>
      <c r="Q317" s="17">
        <f t="shared" si="281"/>
        <v>1333678</v>
      </c>
      <c r="R317" s="16"/>
      <c r="S317" s="60">
        <f t="shared" si="282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62"/>
        <v>419868</v>
      </c>
      <c r="AB317" s="33"/>
      <c r="AC317" s="46">
        <f t="shared" si="263"/>
        <v>1.6677803924702736E-2</v>
      </c>
      <c r="AD317" s="33"/>
      <c r="AE317" s="33">
        <f t="shared" si="264"/>
        <v>1363.2077922077922</v>
      </c>
      <c r="AF317" s="50"/>
      <c r="AG317" s="33">
        <f t="shared" si="265"/>
        <v>22101</v>
      </c>
      <c r="AH317" s="33">
        <f t="shared" si="266"/>
        <v>1172819456.060914</v>
      </c>
      <c r="AI317" s="213">
        <f t="shared" si="267"/>
        <v>-6.1568510891257269E-2</v>
      </c>
      <c r="AJ317" s="50"/>
      <c r="AK317" s="10"/>
      <c r="AL317" s="23">
        <f t="shared" si="268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9"/>
        <v>8.5110745280845227E-3</v>
      </c>
      <c r="AS317" s="25"/>
      <c r="AT317" s="25"/>
      <c r="AU317" s="24"/>
      <c r="AV317" s="298">
        <f t="shared" si="270"/>
        <v>0.59983463128102332</v>
      </c>
      <c r="AW317" s="298"/>
      <c r="AX317" s="24">
        <f t="shared" si="271"/>
        <v>49029.191558441562</v>
      </c>
      <c r="AY317" s="308"/>
      <c r="AZ317" s="10"/>
      <c r="BA317" s="65">
        <f t="shared" si="272"/>
        <v>1984381</v>
      </c>
      <c r="BB317" s="66"/>
      <c r="BC317" s="66">
        <v>293562574</v>
      </c>
      <c r="BD317" s="66"/>
      <c r="BE317" s="66">
        <f t="shared" si="273"/>
        <v>193758</v>
      </c>
      <c r="BF317" s="66"/>
      <c r="BG317" s="144">
        <f t="shared" si="274"/>
        <v>9.7641531540566054E-2</v>
      </c>
      <c r="BH317" s="66"/>
      <c r="BI317" s="170"/>
      <c r="BJ317" s="66"/>
      <c r="BK317" s="66">
        <f t="shared" si="275"/>
        <v>14088821</v>
      </c>
      <c r="BL317" s="66"/>
      <c r="BM317" s="144">
        <f t="shared" si="276"/>
        <v>9.4662143837301926E-2</v>
      </c>
      <c r="BN317" s="65">
        <f t="shared" si="277"/>
        <v>953125.24025974027</v>
      </c>
      <c r="BO317" s="66"/>
      <c r="BP317" s="66">
        <f t="shared" si="278"/>
        <v>24268279</v>
      </c>
      <c r="BQ317" s="66"/>
      <c r="BR317" s="435">
        <f t="shared" si="283"/>
        <v>8.2668163960164756E-2</v>
      </c>
      <c r="BS317" s="66"/>
      <c r="BT317" s="75"/>
      <c r="BU317" s="170"/>
      <c r="BV317" s="1"/>
      <c r="BW317" s="61">
        <f t="shared" si="189"/>
        <v>308</v>
      </c>
    </row>
    <row r="318" spans="2:75" x14ac:dyDescent="0.3">
      <c r="B318" s="158">
        <f t="shared" si="163"/>
        <v>44218</v>
      </c>
      <c r="C318" s="61"/>
      <c r="D318" s="17">
        <v>192065</v>
      </c>
      <c r="E318" s="16"/>
      <c r="F318" s="16"/>
      <c r="G318" s="16"/>
      <c r="H318" s="16">
        <f t="shared" si="259"/>
        <v>25367322</v>
      </c>
      <c r="I318" s="16"/>
      <c r="J318" s="436">
        <f t="shared" si="260"/>
        <v>7.6291177484305323E-3</v>
      </c>
      <c r="K318" s="16"/>
      <c r="L318" s="16"/>
      <c r="M318" s="16"/>
      <c r="N318" s="16">
        <f t="shared" si="280"/>
        <v>1276937</v>
      </c>
      <c r="O318" s="16">
        <f t="shared" si="261"/>
        <v>82094.89320388349</v>
      </c>
      <c r="P318" s="41"/>
      <c r="Q318" s="17">
        <f t="shared" si="281"/>
        <v>1276937</v>
      </c>
      <c r="R318" s="16"/>
      <c r="S318" s="60">
        <f t="shared" si="282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62"/>
        <v>423754</v>
      </c>
      <c r="AB318" s="33"/>
      <c r="AC318" s="46">
        <f t="shared" si="263"/>
        <v>1.6704719560070237E-2</v>
      </c>
      <c r="AD318" s="33"/>
      <c r="AE318" s="33">
        <f t="shared" si="264"/>
        <v>1371.3721682847897</v>
      </c>
      <c r="AF318" s="50"/>
      <c r="AG318" s="33">
        <f t="shared" si="265"/>
        <v>22170</v>
      </c>
      <c r="AH318" s="33">
        <f t="shared" si="266"/>
        <v>1172587114.060914</v>
      </c>
      <c r="AI318" s="213">
        <f t="shared" si="267"/>
        <v>-5.2523612120176075E-2</v>
      </c>
      <c r="AJ318" s="50"/>
      <c r="AK318" s="10"/>
      <c r="AL318" s="23">
        <f t="shared" si="268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9"/>
        <v>8.0609279218827427E-3</v>
      </c>
      <c r="AS318" s="25"/>
      <c r="AT318" s="25"/>
      <c r="AU318" s="24"/>
      <c r="AV318" s="298">
        <f t="shared" si="270"/>
        <v>0.6000916848849871</v>
      </c>
      <c r="AW318" s="298"/>
      <c r="AX318" s="24">
        <f t="shared" si="271"/>
        <v>49264.462783171519</v>
      </c>
      <c r="AY318" s="308"/>
      <c r="AZ318" s="10"/>
      <c r="BA318" s="65">
        <f t="shared" si="272"/>
        <v>1977004</v>
      </c>
      <c r="BB318" s="66"/>
      <c r="BC318" s="66">
        <v>295539578</v>
      </c>
      <c r="BD318" s="66"/>
      <c r="BE318" s="66">
        <f t="shared" si="273"/>
        <v>192065</v>
      </c>
      <c r="BF318" s="66"/>
      <c r="BG318" s="144">
        <f t="shared" si="274"/>
        <v>9.7149525241223583E-2</v>
      </c>
      <c r="BH318" s="66"/>
      <c r="BI318" s="170"/>
      <c r="BJ318" s="66"/>
      <c r="BK318" s="66">
        <f t="shared" si="275"/>
        <v>13729693</v>
      </c>
      <c r="BL318" s="66"/>
      <c r="BM318" s="144">
        <f t="shared" si="276"/>
        <v>9.3005502745035884E-2</v>
      </c>
      <c r="BN318" s="65">
        <f t="shared" si="277"/>
        <v>956438.76375404536</v>
      </c>
      <c r="BO318" s="66"/>
      <c r="BP318" s="66">
        <f t="shared" si="278"/>
        <v>24460344</v>
      </c>
      <c r="BQ318" s="66"/>
      <c r="BR318" s="435">
        <f t="shared" si="283"/>
        <v>8.2765036634111999E-2</v>
      </c>
      <c r="BS318" s="66"/>
      <c r="BT318" s="75"/>
      <c r="BU318" s="170"/>
      <c r="BV318" s="1"/>
      <c r="BW318" s="61">
        <f t="shared" si="189"/>
        <v>309</v>
      </c>
    </row>
    <row r="319" spans="2:75" x14ac:dyDescent="0.3">
      <c r="B319" s="158">
        <f t="shared" si="163"/>
        <v>44219</v>
      </c>
      <c r="C319" s="61"/>
      <c r="D319" s="17">
        <v>173067</v>
      </c>
      <c r="E319" s="16"/>
      <c r="F319" s="16"/>
      <c r="G319" s="16"/>
      <c r="H319" s="16">
        <f t="shared" si="259"/>
        <v>25540389</v>
      </c>
      <c r="I319" s="16"/>
      <c r="J319" s="436">
        <f t="shared" si="260"/>
        <v>6.8224387264844118E-3</v>
      </c>
      <c r="K319" s="16"/>
      <c r="L319" s="16"/>
      <c r="M319" s="16"/>
      <c r="N319" s="16">
        <f t="shared" si="280"/>
        <v>1247237</v>
      </c>
      <c r="O319" s="16">
        <f t="shared" si="261"/>
        <v>82388.351612903221</v>
      </c>
      <c r="P319" s="41"/>
      <c r="Q319" s="17">
        <f t="shared" si="281"/>
        <v>1247237</v>
      </c>
      <c r="R319" s="16"/>
      <c r="S319" s="60">
        <f t="shared" si="282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62"/>
        <v>427193</v>
      </c>
      <c r="AB319" s="33"/>
      <c r="AC319" s="46">
        <f t="shared" si="263"/>
        <v>1.6726174374243088E-2</v>
      </c>
      <c r="AD319" s="33"/>
      <c r="AE319" s="33">
        <f t="shared" si="264"/>
        <v>1378.0419354838709</v>
      </c>
      <c r="AF319" s="50"/>
      <c r="AG319" s="33">
        <f t="shared" si="265"/>
        <v>22232</v>
      </c>
      <c r="AH319" s="33">
        <f t="shared" si="266"/>
        <v>1172394084.060914</v>
      </c>
      <c r="AI319" s="213">
        <f t="shared" si="267"/>
        <v>-5.548474806695556E-2</v>
      </c>
      <c r="AJ319" s="50"/>
      <c r="AK319" s="10"/>
      <c r="AL319" s="23">
        <f t="shared" si="268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9"/>
        <v>7.1162057185710382E-3</v>
      </c>
      <c r="AS319" s="25"/>
      <c r="AT319" s="25"/>
      <c r="AU319" s="24"/>
      <c r="AV319" s="298">
        <f t="shared" si="270"/>
        <v>0.60026677745589541</v>
      </c>
      <c r="AW319" s="298"/>
      <c r="AX319" s="24">
        <f t="shared" si="271"/>
        <v>49454.990322580648</v>
      </c>
      <c r="AY319" s="308"/>
      <c r="AZ319" s="10"/>
      <c r="BA319" s="65">
        <f t="shared" si="272"/>
        <v>1858102</v>
      </c>
      <c r="BB319" s="66"/>
      <c r="BC319" s="66">
        <v>297397680</v>
      </c>
      <c r="BD319" s="66"/>
      <c r="BE319" s="66">
        <f t="shared" si="273"/>
        <v>173067</v>
      </c>
      <c r="BF319" s="66"/>
      <c r="BG319" s="144">
        <f t="shared" si="274"/>
        <v>9.3141818909833793E-2</v>
      </c>
      <c r="BH319" s="66"/>
      <c r="BI319" s="170"/>
      <c r="BJ319" s="66"/>
      <c r="BK319" s="66">
        <f t="shared" si="275"/>
        <v>13644554</v>
      </c>
      <c r="BL319" s="66"/>
      <c r="BM319" s="144">
        <f t="shared" si="276"/>
        <v>9.1409143897264802E-2</v>
      </c>
      <c r="BN319" s="65">
        <f t="shared" si="277"/>
        <v>959347.3548387097</v>
      </c>
      <c r="BO319" s="66"/>
      <c r="BP319" s="66">
        <f t="shared" si="278"/>
        <v>24633411</v>
      </c>
      <c r="BQ319" s="66"/>
      <c r="BR319" s="435">
        <f t="shared" si="283"/>
        <v>8.28298694192907E-2</v>
      </c>
      <c r="BS319" s="66"/>
      <c r="BT319" s="75"/>
      <c r="BU319" s="170"/>
      <c r="BV319" s="1"/>
      <c r="BW319" s="61">
        <f t="shared" si="189"/>
        <v>310</v>
      </c>
    </row>
    <row r="320" spans="2:75" x14ac:dyDescent="0.3">
      <c r="B320" s="347">
        <f t="shared" si="163"/>
        <v>44220</v>
      </c>
      <c r="C320" s="61"/>
      <c r="D320" s="17">
        <v>135182</v>
      </c>
      <c r="E320" s="16"/>
      <c r="F320" s="16"/>
      <c r="G320" s="16"/>
      <c r="H320" s="16">
        <f t="shared" si="259"/>
        <v>25675571</v>
      </c>
      <c r="I320" s="16"/>
      <c r="J320" s="436">
        <f t="shared" si="260"/>
        <v>5.2928716160117999E-3</v>
      </c>
      <c r="K320" s="16"/>
      <c r="L320" s="16"/>
      <c r="M320" s="16"/>
      <c r="N320" s="16">
        <f t="shared" si="280"/>
        <v>1207859</v>
      </c>
      <c r="O320" s="16">
        <f t="shared" si="261"/>
        <v>82558.106109324755</v>
      </c>
      <c r="P320" s="41"/>
      <c r="Q320" s="17">
        <f t="shared" si="281"/>
        <v>1207859</v>
      </c>
      <c r="R320" s="16"/>
      <c r="S320" s="60">
        <f t="shared" si="282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62"/>
        <v>429037</v>
      </c>
      <c r="AB320" s="33"/>
      <c r="AC320" s="46">
        <f t="shared" si="263"/>
        <v>1.6709930229010291E-2</v>
      </c>
      <c r="AD320" s="33"/>
      <c r="AE320" s="33">
        <f t="shared" si="264"/>
        <v>1379.5401929260449</v>
      </c>
      <c r="AF320" s="50"/>
      <c r="AG320" s="33">
        <f t="shared" si="265"/>
        <v>22230</v>
      </c>
      <c r="AH320" s="33">
        <f t="shared" si="266"/>
        <v>1172295244.060914</v>
      </c>
      <c r="AI320" s="213">
        <f t="shared" si="267"/>
        <v>-5.492730210016155E-2</v>
      </c>
      <c r="AJ320" s="50"/>
      <c r="AK320" s="10"/>
      <c r="AL320" s="23">
        <f t="shared" si="268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9"/>
        <v>5.1263295977111026E-3</v>
      </c>
      <c r="AS320" s="25"/>
      <c r="AT320" s="25"/>
      <c r="AU320" s="24"/>
      <c r="AV320" s="298">
        <f t="shared" si="270"/>
        <v>0.6001673341558792</v>
      </c>
      <c r="AW320" s="298"/>
      <c r="AX320" s="24">
        <f t="shared" si="271"/>
        <v>49548.678456591639</v>
      </c>
      <c r="AY320" s="308"/>
      <c r="AZ320" s="10"/>
      <c r="BA320" s="65">
        <f t="shared" si="272"/>
        <v>1683887</v>
      </c>
      <c r="BB320" s="66"/>
      <c r="BC320" s="66">
        <v>299081567</v>
      </c>
      <c r="BD320" s="66"/>
      <c r="BE320" s="66">
        <f t="shared" si="273"/>
        <v>135182</v>
      </c>
      <c r="BF320" s="66"/>
      <c r="BG320" s="144">
        <f t="shared" si="274"/>
        <v>8.0279733735102179E-2</v>
      </c>
      <c r="BH320" s="66"/>
      <c r="BI320" s="170"/>
      <c r="BJ320" s="66"/>
      <c r="BK320" s="66">
        <f t="shared" si="275"/>
        <v>13388028</v>
      </c>
      <c r="BL320" s="66"/>
      <c r="BM320" s="144">
        <f t="shared" si="276"/>
        <v>9.0219336260724883E-2</v>
      </c>
      <c r="BN320" s="65">
        <f t="shared" si="277"/>
        <v>961677.06430868164</v>
      </c>
      <c r="BO320" s="66"/>
      <c r="BP320" s="66">
        <f t="shared" si="278"/>
        <v>24768593</v>
      </c>
      <c r="BQ320" s="66"/>
      <c r="BR320" s="435">
        <f t="shared" si="283"/>
        <v>8.281551166274316E-2</v>
      </c>
      <c r="BS320" s="66"/>
      <c r="BT320" s="75"/>
      <c r="BU320" s="170"/>
      <c r="BV320" s="1"/>
      <c r="BW320" s="61">
        <f t="shared" si="189"/>
        <v>311</v>
      </c>
    </row>
    <row r="321" spans="2:75" x14ac:dyDescent="0.3">
      <c r="B321" s="158">
        <f t="shared" si="163"/>
        <v>44221</v>
      </c>
      <c r="C321" s="61"/>
      <c r="D321" s="17">
        <v>152244</v>
      </c>
      <c r="E321" s="16"/>
      <c r="F321" s="16"/>
      <c r="G321" s="16"/>
      <c r="H321" s="16">
        <f t="shared" si="259"/>
        <v>25827815</v>
      </c>
      <c r="I321" s="16"/>
      <c r="J321" s="436">
        <f t="shared" si="260"/>
        <v>5.9295273316414265E-3</v>
      </c>
      <c r="K321" s="16"/>
      <c r="L321" s="16"/>
      <c r="M321" s="16"/>
      <c r="N321" s="16">
        <f t="shared" si="280"/>
        <v>1210775</v>
      </c>
      <c r="O321" s="16">
        <f t="shared" si="261"/>
        <v>82781.458333333328</v>
      </c>
      <c r="P321" s="41"/>
      <c r="Q321" s="17">
        <f t="shared" si="281"/>
        <v>1210775</v>
      </c>
      <c r="R321" s="16"/>
      <c r="S321" s="60">
        <f t="shared" si="282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62"/>
        <v>430934</v>
      </c>
      <c r="AB321" s="33"/>
      <c r="AC321" s="46">
        <f t="shared" si="263"/>
        <v>1.6684880234739175E-2</v>
      </c>
      <c r="AD321" s="33"/>
      <c r="AE321" s="33">
        <f t="shared" si="264"/>
        <v>1381.198717948718</v>
      </c>
      <c r="AF321" s="50"/>
      <c r="AG321" s="33">
        <f t="shared" si="265"/>
        <v>22625</v>
      </c>
      <c r="AH321" s="33">
        <f t="shared" si="266"/>
        <v>1172134640.060914</v>
      </c>
      <c r="AI321" s="213">
        <f t="shared" si="267"/>
        <v>-1.8863833477883781E-2</v>
      </c>
      <c r="AJ321" s="50"/>
      <c r="AK321" s="10"/>
      <c r="AL321" s="23">
        <f t="shared" si="268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9"/>
        <v>1.3479939406757031E-2</v>
      </c>
      <c r="AS321" s="25"/>
      <c r="AT321" s="25"/>
      <c r="AU321" s="24"/>
      <c r="AV321" s="298">
        <f t="shared" si="270"/>
        <v>0.60467213351187465</v>
      </c>
      <c r="AW321" s="298"/>
      <c r="AX321" s="24">
        <f t="shared" si="271"/>
        <v>50055.641025641024</v>
      </c>
      <c r="AY321" s="308"/>
      <c r="AZ321" s="10"/>
      <c r="BA321" s="65">
        <f t="shared" si="272"/>
        <v>2035643</v>
      </c>
      <c r="BB321" s="66"/>
      <c r="BC321" s="66">
        <v>301117210</v>
      </c>
      <c r="BD321" s="66"/>
      <c r="BE321" s="66">
        <f t="shared" si="273"/>
        <v>152244</v>
      </c>
      <c r="BF321" s="66"/>
      <c r="BG321" s="144">
        <f t="shared" si="274"/>
        <v>7.4789145247963415E-2</v>
      </c>
      <c r="BH321" s="66"/>
      <c r="BI321" s="170"/>
      <c r="BJ321" s="66"/>
      <c r="BK321" s="66">
        <f t="shared" si="275"/>
        <v>13341995</v>
      </c>
      <c r="BL321" s="66"/>
      <c r="BM321" s="144">
        <f t="shared" si="276"/>
        <v>9.0749172069094608E-2</v>
      </c>
      <c r="BN321" s="65">
        <f t="shared" si="277"/>
        <v>965119.26282051287</v>
      </c>
      <c r="BO321" s="66"/>
      <c r="BP321" s="66">
        <f t="shared" si="278"/>
        <v>24920837</v>
      </c>
      <c r="BQ321" s="66"/>
      <c r="BR321" s="435">
        <f t="shared" si="283"/>
        <v>8.2761251009200038E-2</v>
      </c>
      <c r="BS321" s="66"/>
      <c r="BT321" s="75"/>
      <c r="BU321" s="170"/>
      <c r="BV321" s="1"/>
      <c r="BW321" s="61">
        <f t="shared" si="189"/>
        <v>312</v>
      </c>
    </row>
    <row r="322" spans="2:75" x14ac:dyDescent="0.3">
      <c r="B322" s="158">
        <f t="shared" si="163"/>
        <v>44222</v>
      </c>
      <c r="C322" s="61"/>
      <c r="D322" s="17">
        <v>151727</v>
      </c>
      <c r="E322" s="16"/>
      <c r="F322" s="16"/>
      <c r="G322" s="16"/>
      <c r="H322" s="16">
        <f t="shared" si="259"/>
        <v>25979542</v>
      </c>
      <c r="I322" s="16"/>
      <c r="J322" s="436">
        <f t="shared" si="260"/>
        <v>5.8745581072189032E-3</v>
      </c>
      <c r="K322" s="16"/>
      <c r="L322" s="16"/>
      <c r="M322" s="16"/>
      <c r="N322" s="16">
        <f t="shared" si="280"/>
        <v>1188124</v>
      </c>
      <c r="O322" s="16">
        <f t="shared" si="261"/>
        <v>83001.731629392976</v>
      </c>
      <c r="P322" s="41"/>
      <c r="Q322" s="17">
        <f t="shared" si="281"/>
        <v>1188124</v>
      </c>
      <c r="R322" s="16"/>
      <c r="S322" s="60">
        <f t="shared" si="282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62"/>
        <v>434846</v>
      </c>
      <c r="AB322" s="33"/>
      <c r="AC322" s="46">
        <f t="shared" si="263"/>
        <v>1.6738016397671675E-2</v>
      </c>
      <c r="AD322" s="33"/>
      <c r="AE322" s="33">
        <f t="shared" si="264"/>
        <v>1389.2843450479234</v>
      </c>
      <c r="AF322" s="50"/>
      <c r="AG322" s="33">
        <f t="shared" si="265"/>
        <v>23735</v>
      </c>
      <c r="AH322" s="33">
        <f t="shared" si="266"/>
        <v>1172006900.060914</v>
      </c>
      <c r="AI322" s="213">
        <f t="shared" si="267"/>
        <v>9.9810018071451734E-2</v>
      </c>
      <c r="AJ322" s="50"/>
      <c r="AK322" s="10"/>
      <c r="AL322" s="23">
        <f t="shared" si="268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9"/>
        <v>8.0293340231639664E-3</v>
      </c>
      <c r="AS322" s="25"/>
      <c r="AT322" s="25"/>
      <c r="AU322" s="24"/>
      <c r="AV322" s="298">
        <f t="shared" si="270"/>
        <v>0.60596745700905741</v>
      </c>
      <c r="AW322" s="298"/>
      <c r="AX322" s="24">
        <f t="shared" si="271"/>
        <v>50296.348242811502</v>
      </c>
      <c r="AY322" s="308"/>
      <c r="AZ322" s="10"/>
      <c r="BA322" s="65">
        <f t="shared" si="272"/>
        <v>1294397</v>
      </c>
      <c r="BB322" s="66"/>
      <c r="BC322" s="66">
        <v>302411607</v>
      </c>
      <c r="BD322" s="66"/>
      <c r="BE322" s="66">
        <f t="shared" si="273"/>
        <v>151727</v>
      </c>
      <c r="BF322" s="66"/>
      <c r="BG322" s="144">
        <f t="shared" si="274"/>
        <v>0.11721828774325033</v>
      </c>
      <c r="BH322" s="66"/>
      <c r="BI322" s="170"/>
      <c r="BJ322" s="66"/>
      <c r="BK322" s="66">
        <f t="shared" si="275"/>
        <v>12612655</v>
      </c>
      <c r="BL322" s="66"/>
      <c r="BM322" s="144">
        <f t="shared" si="276"/>
        <v>9.4200943417543731E-2</v>
      </c>
      <c r="BN322" s="65">
        <f t="shared" si="277"/>
        <v>966171.26837060705</v>
      </c>
      <c r="BO322" s="66"/>
      <c r="BP322" s="66">
        <f t="shared" si="278"/>
        <v>25072564</v>
      </c>
      <c r="BQ322" s="66"/>
      <c r="BR322" s="435">
        <f t="shared" si="283"/>
        <v>8.2908735708679335E-2</v>
      </c>
      <c r="BS322" s="66"/>
      <c r="BT322" s="75"/>
      <c r="BU322" s="170"/>
      <c r="BV322" s="1"/>
      <c r="BW322" s="61">
        <f t="shared" si="189"/>
        <v>313</v>
      </c>
    </row>
    <row r="323" spans="2:75" x14ac:dyDescent="0.3">
      <c r="B323" s="158">
        <f t="shared" si="163"/>
        <v>44223</v>
      </c>
      <c r="C323" s="61"/>
      <c r="D323" s="17">
        <v>160031</v>
      </c>
      <c r="E323" s="16"/>
      <c r="F323" s="16"/>
      <c r="G323" s="16"/>
      <c r="H323" s="16">
        <f t="shared" si="259"/>
        <v>26139573</v>
      </c>
      <c r="I323" s="16"/>
      <c r="J323" s="436">
        <f t="shared" si="260"/>
        <v>6.1598853436292296E-3</v>
      </c>
      <c r="K323" s="16"/>
      <c r="L323" s="16"/>
      <c r="M323" s="16"/>
      <c r="N323" s="16">
        <f t="shared" si="280"/>
        <v>1158074</v>
      </c>
      <c r="O323" s="16">
        <f t="shared" si="261"/>
        <v>83247.047770700636</v>
      </c>
      <c r="P323" s="41"/>
      <c r="Q323" s="17">
        <f t="shared" si="281"/>
        <v>1158074</v>
      </c>
      <c r="R323" s="16"/>
      <c r="S323" s="60">
        <f t="shared" si="282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62"/>
        <v>439044</v>
      </c>
      <c r="AB323" s="33"/>
      <c r="AC323" s="46">
        <f t="shared" si="263"/>
        <v>1.6796142767902138E-2</v>
      </c>
      <c r="AD323" s="33"/>
      <c r="AE323" s="33">
        <f t="shared" si="264"/>
        <v>1398.2292993630574</v>
      </c>
      <c r="AF323" s="50"/>
      <c r="AG323" s="33">
        <f t="shared" si="265"/>
        <v>23539</v>
      </c>
      <c r="AH323" s="33">
        <f t="shared" si="266"/>
        <v>1171820509.060914</v>
      </c>
      <c r="AI323" s="213">
        <f t="shared" si="267"/>
        <v>7.5822669104204751E-2</v>
      </c>
      <c r="AJ323" s="50"/>
      <c r="AK323" s="10"/>
      <c r="AL323" s="23">
        <f t="shared" si="268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9"/>
        <v>1.2725407627139262E-2</v>
      </c>
      <c r="AS323" s="25"/>
      <c r="AT323" s="25"/>
      <c r="AU323" s="24"/>
      <c r="AV323" s="298">
        <f t="shared" si="270"/>
        <v>0.6099215928278553</v>
      </c>
      <c r="AW323" s="298"/>
      <c r="AX323" s="24">
        <f t="shared" si="271"/>
        <v>50774.171974522294</v>
      </c>
      <c r="AY323" s="308"/>
      <c r="AZ323" s="10"/>
      <c r="BA323" s="65">
        <f t="shared" si="272"/>
        <v>2002419</v>
      </c>
      <c r="BB323" s="66"/>
      <c r="BC323" s="66">
        <v>304414026</v>
      </c>
      <c r="BD323" s="66"/>
      <c r="BE323" s="66">
        <f t="shared" si="273"/>
        <v>160031</v>
      </c>
      <c r="BF323" s="66"/>
      <c r="BG323" s="144">
        <f t="shared" si="274"/>
        <v>7.9918838165239148E-2</v>
      </c>
      <c r="BH323" s="66"/>
      <c r="BI323" s="170"/>
      <c r="BJ323" s="66"/>
      <c r="BK323" s="66">
        <f t="shared" si="275"/>
        <v>12835833</v>
      </c>
      <c r="BL323" s="66"/>
      <c r="BM323" s="144">
        <f t="shared" si="276"/>
        <v>9.0221959104640898E-2</v>
      </c>
      <c r="BN323" s="65">
        <f t="shared" si="277"/>
        <v>969471.42038216558</v>
      </c>
      <c r="BO323" s="66"/>
      <c r="BP323" s="66">
        <f t="shared" si="278"/>
        <v>25232595</v>
      </c>
      <c r="BQ323" s="66"/>
      <c r="BR323" s="435">
        <f t="shared" si="283"/>
        <v>8.288906832433536E-2</v>
      </c>
      <c r="BS323" s="66"/>
      <c r="BT323" s="75"/>
      <c r="BU323" s="170"/>
      <c r="BV323" s="1"/>
      <c r="BW323" s="61">
        <f t="shared" si="189"/>
        <v>314</v>
      </c>
    </row>
    <row r="324" spans="2:75" x14ac:dyDescent="0.3">
      <c r="B324" s="158">
        <f t="shared" si="163"/>
        <v>44224</v>
      </c>
      <c r="C324" s="61"/>
      <c r="D324" s="17">
        <v>162633</v>
      </c>
      <c r="E324" s="16"/>
      <c r="F324" s="16"/>
      <c r="G324" s="16"/>
      <c r="H324" s="16">
        <f t="shared" si="259"/>
        <v>26302206</v>
      </c>
      <c r="I324" s="16"/>
      <c r="J324" s="436">
        <f t="shared" si="260"/>
        <v>6.2217160165546695E-3</v>
      </c>
      <c r="K324" s="16"/>
      <c r="L324" s="16"/>
      <c r="M324" s="16"/>
      <c r="N324" s="16">
        <f t="shared" si="280"/>
        <v>1126949</v>
      </c>
      <c r="O324" s="16">
        <f t="shared" si="261"/>
        <v>83499.066666666666</v>
      </c>
      <c r="P324" s="41"/>
      <c r="Q324" s="17">
        <f t="shared" si="281"/>
        <v>1126949</v>
      </c>
      <c r="R324" s="16"/>
      <c r="S324" s="60">
        <f t="shared" si="282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62"/>
        <v>442963</v>
      </c>
      <c r="AB324" s="33"/>
      <c r="AC324" s="46">
        <f t="shared" si="263"/>
        <v>1.6841287000793775E-2</v>
      </c>
      <c r="AD324" s="33"/>
      <c r="AE324" s="33">
        <f t="shared" si="264"/>
        <v>1406.2317460317461</v>
      </c>
      <c r="AF324" s="50"/>
      <c r="AG324" s="33">
        <f t="shared" si="265"/>
        <v>23095</v>
      </c>
      <c r="AH324" s="33">
        <f t="shared" si="266"/>
        <v>1171620887.060914</v>
      </c>
      <c r="AI324" s="213">
        <f t="shared" si="267"/>
        <v>4.4975340482331115E-2</v>
      </c>
      <c r="AJ324" s="50"/>
      <c r="AK324" s="10"/>
      <c r="AL324" s="23">
        <f t="shared" si="268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9"/>
        <v>7.9687187364557311E-3</v>
      </c>
      <c r="AS324" s="25"/>
      <c r="AT324" s="25"/>
      <c r="AU324" s="24"/>
      <c r="AV324" s="298">
        <f t="shared" si="270"/>
        <v>0.61098053904680083</v>
      </c>
      <c r="AW324" s="298"/>
      <c r="AX324" s="24">
        <f t="shared" si="271"/>
        <v>51016.304761904765</v>
      </c>
      <c r="AY324" s="308"/>
      <c r="AZ324" s="10"/>
      <c r="BA324" s="65">
        <f t="shared" si="272"/>
        <v>2038820</v>
      </c>
      <c r="BB324" s="66"/>
      <c r="BC324" s="66">
        <v>306452846</v>
      </c>
      <c r="BD324" s="66"/>
      <c r="BE324" s="66">
        <f t="shared" si="273"/>
        <v>162633</v>
      </c>
      <c r="BF324" s="66"/>
      <c r="BG324" s="144">
        <f t="shared" si="274"/>
        <v>7.9768199252508803E-2</v>
      </c>
      <c r="BH324" s="66"/>
      <c r="BI324" s="170"/>
      <c r="BJ324" s="66"/>
      <c r="BK324" s="66">
        <f t="shared" si="275"/>
        <v>12890272</v>
      </c>
      <c r="BL324" s="66"/>
      <c r="BM324" s="144">
        <f t="shared" si="276"/>
        <v>8.742631652768848E-2</v>
      </c>
      <c r="BN324" s="65">
        <f t="shared" si="277"/>
        <v>972866.17777777778</v>
      </c>
      <c r="BO324" s="66"/>
      <c r="BP324" s="66">
        <f t="shared" si="278"/>
        <v>25395228</v>
      </c>
      <c r="BQ324" s="66"/>
      <c r="BR324" s="435">
        <f t="shared" si="283"/>
        <v>8.2868305292227565E-2</v>
      </c>
      <c r="BS324" s="66"/>
      <c r="BT324" s="75"/>
      <c r="BU324" s="170"/>
      <c r="BV324" s="1"/>
      <c r="BW324" s="61">
        <f t="shared" si="189"/>
        <v>315</v>
      </c>
    </row>
    <row r="325" spans="2:75" x14ac:dyDescent="0.3">
      <c r="B325" s="158">
        <f t="shared" si="163"/>
        <v>44225</v>
      </c>
      <c r="C325" s="61"/>
      <c r="D325" s="17">
        <v>169033</v>
      </c>
      <c r="E325" s="16"/>
      <c r="F325" s="16"/>
      <c r="G325" s="16"/>
      <c r="H325" s="16">
        <f t="shared" si="259"/>
        <v>26471239</v>
      </c>
      <c r="I325" s="16"/>
      <c r="J325" s="436">
        <f t="shared" si="260"/>
        <v>6.4265712161177659E-3</v>
      </c>
      <c r="K325" s="16"/>
      <c r="L325" s="16"/>
      <c r="M325" s="16"/>
      <c r="N325" s="16">
        <f t="shared" si="280"/>
        <v>1103917</v>
      </c>
      <c r="O325" s="16">
        <f t="shared" si="261"/>
        <v>83769.743670886077</v>
      </c>
      <c r="P325" s="41"/>
      <c r="Q325" s="17">
        <f t="shared" si="281"/>
        <v>1103917</v>
      </c>
      <c r="R325" s="16"/>
      <c r="S325" s="60">
        <f t="shared" si="282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62"/>
        <v>446615</v>
      </c>
      <c r="AB325" s="33"/>
      <c r="AC325" s="46">
        <f t="shared" si="263"/>
        <v>1.6871707440667964E-2</v>
      </c>
      <c r="AD325" s="33"/>
      <c r="AE325" s="33">
        <f t="shared" si="264"/>
        <v>1413.3386075949368</v>
      </c>
      <c r="AF325" s="50"/>
      <c r="AG325" s="33">
        <f t="shared" si="265"/>
        <v>22861</v>
      </c>
      <c r="AH325" s="33">
        <f t="shared" si="266"/>
        <v>1171386112.060914</v>
      </c>
      <c r="AI325" s="213">
        <f t="shared" si="267"/>
        <v>3.1168245376635092E-2</v>
      </c>
      <c r="AJ325" s="50"/>
      <c r="AK325" s="10"/>
      <c r="AL325" s="23">
        <f t="shared" si="268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9"/>
        <v>8.0544433475858573E-3</v>
      </c>
      <c r="AS325" s="25"/>
      <c r="AT325" s="25"/>
      <c r="AU325" s="24"/>
      <c r="AV325" s="298">
        <f t="shared" si="270"/>
        <v>0.61196878619848505</v>
      </c>
      <c r="AW325" s="298"/>
      <c r="AX325" s="24">
        <f t="shared" si="271"/>
        <v>51264.468354430377</v>
      </c>
      <c r="AY325" s="308"/>
      <c r="AZ325" s="10"/>
      <c r="BA325" s="65">
        <f t="shared" si="272"/>
        <v>1943838</v>
      </c>
      <c r="BB325" s="66"/>
      <c r="BC325" s="66">
        <v>308396684</v>
      </c>
      <c r="BD325" s="66"/>
      <c r="BE325" s="66">
        <f t="shared" si="273"/>
        <v>169033</v>
      </c>
      <c r="BF325" s="66"/>
      <c r="BG325" s="144">
        <f t="shared" si="274"/>
        <v>8.6958378218761026E-2</v>
      </c>
      <c r="BH325" s="66"/>
      <c r="BI325" s="170"/>
      <c r="BJ325" s="66"/>
      <c r="BK325" s="66">
        <f t="shared" si="275"/>
        <v>12857106</v>
      </c>
      <c r="BL325" s="66"/>
      <c r="BM325" s="144">
        <f t="shared" si="276"/>
        <v>8.5860457244421873E-2</v>
      </c>
      <c r="BN325" s="65">
        <f t="shared" si="277"/>
        <v>975938.87341772148</v>
      </c>
      <c r="BO325" s="66"/>
      <c r="BP325" s="66">
        <f t="shared" si="278"/>
        <v>25564261</v>
      </c>
      <c r="BQ325" s="66"/>
      <c r="BR325" s="435">
        <f t="shared" si="283"/>
        <v>8.2894085203587986E-2</v>
      </c>
      <c r="BS325" s="66"/>
      <c r="BT325" s="75"/>
      <c r="BU325" s="170"/>
      <c r="BV325" s="1"/>
      <c r="BW325" s="61">
        <f t="shared" si="189"/>
        <v>316</v>
      </c>
    </row>
    <row r="326" spans="2:75" x14ac:dyDescent="0.3">
      <c r="B326" s="158">
        <f t="shared" si="163"/>
        <v>44226</v>
      </c>
      <c r="C326" s="61"/>
      <c r="D326" s="17">
        <v>140732</v>
      </c>
      <c r="E326" s="16"/>
      <c r="F326" s="16"/>
      <c r="G326" s="16"/>
      <c r="H326" s="16">
        <f t="shared" ref="H326:H357" si="284">+H325+D326</f>
        <v>26611971</v>
      </c>
      <c r="I326" s="16"/>
      <c r="J326" s="436">
        <f t="shared" ref="J326:J357" si="285">+D326/H325</f>
        <v>5.3164115211985358E-3</v>
      </c>
      <c r="K326" s="16"/>
      <c r="L326" s="16"/>
      <c r="M326" s="16"/>
      <c r="N326" s="16">
        <f t="shared" si="280"/>
        <v>1071582</v>
      </c>
      <c r="O326" s="16">
        <f t="shared" ref="O326:O357" si="286">+H326/BW326</f>
        <v>83949.435331230285</v>
      </c>
      <c r="P326" s="41"/>
      <c r="Q326" s="17">
        <f t="shared" si="281"/>
        <v>1071582</v>
      </c>
      <c r="R326" s="16"/>
      <c r="S326" s="60">
        <f t="shared" si="282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7">+AA325+W326</f>
        <v>449504</v>
      </c>
      <c r="AB326" s="33"/>
      <c r="AC326" s="46">
        <f t="shared" ref="AC326:AC357" si="288">+AA326/H326</f>
        <v>1.6891045011284585E-2</v>
      </c>
      <c r="AD326" s="33"/>
      <c r="AE326" s="33">
        <f t="shared" ref="AE326:AE357" si="289">+AA326/BW326</f>
        <v>1417.993690851735</v>
      </c>
      <c r="AF326" s="50"/>
      <c r="AG326" s="33">
        <f t="shared" ref="AG326:AG357" si="290">SUM(W320:W326)</f>
        <v>22311</v>
      </c>
      <c r="AH326" s="33">
        <f t="shared" si="266"/>
        <v>1171157699.060914</v>
      </c>
      <c r="AI326" s="213">
        <f t="shared" ref="AI326:AI357" si="291">+(AG326-AG319)/AG319</f>
        <v>3.553436487945304E-3</v>
      </c>
      <c r="AJ326" s="50"/>
      <c r="AK326" s="10"/>
      <c r="AL326" s="23">
        <f t="shared" ref="AL326:AL349" si="292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93">+AL326/AP325</f>
        <v>7.9865072978471275E-3</v>
      </c>
      <c r="AS326" s="25"/>
      <c r="AT326" s="25"/>
      <c r="AU326" s="24"/>
      <c r="AV326" s="298">
        <f t="shared" ref="AV326:AV357" si="294">+AP326/H326</f>
        <v>0.61359416031228953</v>
      </c>
      <c r="AW326" s="298"/>
      <c r="AX326" s="24">
        <f t="shared" ref="AX326:AX357" si="295">+AP326/BW326</f>
        <v>51510.883280757094</v>
      </c>
      <c r="AY326" s="308"/>
      <c r="AZ326" s="10"/>
      <c r="BA326" s="65">
        <f t="shared" ref="BA326:BA357" si="296">+BC326-BC325</f>
        <v>2164347</v>
      </c>
      <c r="BB326" s="66"/>
      <c r="BC326" s="66">
        <v>310561031</v>
      </c>
      <c r="BD326" s="66"/>
      <c r="BE326" s="66">
        <f t="shared" ref="BE326:BE357" si="297">+D326</f>
        <v>140732</v>
      </c>
      <c r="BF326" s="66"/>
      <c r="BG326" s="144">
        <f t="shared" ref="BG326:BG357" si="298">+BE326/BA326</f>
        <v>6.5022845227682993E-2</v>
      </c>
      <c r="BH326" s="66"/>
      <c r="BI326" s="170"/>
      <c r="BJ326" s="66"/>
      <c r="BK326" s="66">
        <f t="shared" ref="BK326:BK357" si="299">SUM(BA320:BA326)</f>
        <v>13163351</v>
      </c>
      <c r="BL326" s="66"/>
      <c r="BM326" s="144">
        <f t="shared" ref="BM326:BM357" si="300">+Q326/BK326</f>
        <v>8.1406474688701991E-2</v>
      </c>
      <c r="BN326" s="65">
        <f t="shared" ref="BN326:BN357" si="301">+BC326/BW326</f>
        <v>979687.7949526814</v>
      </c>
      <c r="BO326" s="66"/>
      <c r="BP326" s="66">
        <f t="shared" ref="BP326:BP357" si="302">+BP325+BE326</f>
        <v>25704993</v>
      </c>
      <c r="BQ326" s="66"/>
      <c r="BR326" s="435">
        <f t="shared" si="283"/>
        <v>8.2769537817511951E-2</v>
      </c>
      <c r="BS326" s="66"/>
      <c r="BT326" s="75"/>
      <c r="BU326" s="170"/>
      <c r="BV326" s="1"/>
      <c r="BW326" s="61">
        <f t="shared" si="189"/>
        <v>317</v>
      </c>
    </row>
    <row r="327" spans="2:75" x14ac:dyDescent="0.3">
      <c r="B327" s="347">
        <f t="shared" si="163"/>
        <v>44227</v>
      </c>
      <c r="C327" s="61"/>
      <c r="D327" s="17">
        <v>107816</v>
      </c>
      <c r="E327" s="16"/>
      <c r="F327" s="16"/>
      <c r="G327" s="16"/>
      <c r="H327" s="16">
        <f t="shared" si="284"/>
        <v>26719787</v>
      </c>
      <c r="I327" s="16"/>
      <c r="J327" s="436">
        <f t="shared" si="285"/>
        <v>4.0514097959899326E-3</v>
      </c>
      <c r="K327" s="16"/>
      <c r="L327" s="16"/>
      <c r="M327" s="16"/>
      <c r="N327" s="16">
        <f t="shared" si="280"/>
        <v>1044216</v>
      </c>
      <c r="O327" s="16">
        <f t="shared" si="286"/>
        <v>84024.487421383645</v>
      </c>
      <c r="P327" s="41"/>
      <c r="Q327" s="17">
        <f t="shared" si="281"/>
        <v>1044216</v>
      </c>
      <c r="R327" s="16"/>
      <c r="S327" s="60">
        <f t="shared" si="282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7"/>
        <v>451390</v>
      </c>
      <c r="AB327" s="33"/>
      <c r="AC327" s="46">
        <f t="shared" si="288"/>
        <v>1.6893472990634244E-2</v>
      </c>
      <c r="AD327" s="33"/>
      <c r="AE327" s="33">
        <f t="shared" si="289"/>
        <v>1419.4654088050315</v>
      </c>
      <c r="AF327" s="50"/>
      <c r="AG327" s="33">
        <f t="shared" si="290"/>
        <v>22353</v>
      </c>
      <c r="AH327" s="33">
        <f t="shared" si="266"/>
        <v>1170991655.060914</v>
      </c>
      <c r="AI327" s="213">
        <f t="shared" si="291"/>
        <v>5.5330634278002696E-3</v>
      </c>
      <c r="AJ327" s="50"/>
      <c r="AK327" s="10"/>
      <c r="AL327" s="23">
        <f t="shared" si="292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93"/>
        <v>4.5865165855734757E-3</v>
      </c>
      <c r="AS327" s="25"/>
      <c r="AT327" s="25"/>
      <c r="AU327" s="24"/>
      <c r="AV327" s="298">
        <f t="shared" si="294"/>
        <v>0.61392117384768075</v>
      </c>
      <c r="AW327" s="298"/>
      <c r="AX327" s="24">
        <f t="shared" si="295"/>
        <v>51584.411949685535</v>
      </c>
      <c r="AY327" s="308"/>
      <c r="AZ327" s="10"/>
      <c r="BA327" s="65">
        <f t="shared" si="296"/>
        <v>1575572</v>
      </c>
      <c r="BB327" s="66"/>
      <c r="BC327" s="66">
        <v>312136603</v>
      </c>
      <c r="BD327" s="66"/>
      <c r="BE327" s="66">
        <f t="shared" si="297"/>
        <v>107816</v>
      </c>
      <c r="BF327" s="66"/>
      <c r="BG327" s="144">
        <f t="shared" si="298"/>
        <v>6.8429751226856031E-2</v>
      </c>
      <c r="BH327" s="66"/>
      <c r="BI327" s="170"/>
      <c r="BJ327" s="66"/>
      <c r="BK327" s="66">
        <f t="shared" si="299"/>
        <v>13055036</v>
      </c>
      <c r="BL327" s="66"/>
      <c r="BM327" s="144">
        <f t="shared" si="300"/>
        <v>7.9985685217566618E-2</v>
      </c>
      <c r="BN327" s="65">
        <f t="shared" si="301"/>
        <v>981561.64465408807</v>
      </c>
      <c r="BO327" s="66"/>
      <c r="BP327" s="66">
        <f t="shared" si="302"/>
        <v>25812809</v>
      </c>
      <c r="BQ327" s="66"/>
      <c r="BR327" s="435">
        <f t="shared" si="283"/>
        <v>8.2697154873566686E-2</v>
      </c>
      <c r="BS327" s="66"/>
      <c r="BT327" s="75"/>
      <c r="BU327" s="170"/>
      <c r="BV327" s="1"/>
      <c r="BW327" s="61">
        <f t="shared" si="189"/>
        <v>318</v>
      </c>
    </row>
    <row r="328" spans="2:75" x14ac:dyDescent="0.3">
      <c r="B328" s="158">
        <f t="shared" si="163"/>
        <v>44228</v>
      </c>
      <c r="C328" s="61"/>
      <c r="D328" s="17">
        <v>126452</v>
      </c>
      <c r="E328" s="16"/>
      <c r="F328" s="16"/>
      <c r="G328" s="16"/>
      <c r="H328" s="16">
        <f t="shared" si="284"/>
        <v>26846239</v>
      </c>
      <c r="I328" s="16"/>
      <c r="J328" s="436">
        <f t="shared" si="285"/>
        <v>4.7325227555144811E-3</v>
      </c>
      <c r="K328" s="16"/>
      <c r="L328" s="16"/>
      <c r="M328" s="16"/>
      <c r="N328" s="16">
        <f t="shared" si="280"/>
        <v>1018424</v>
      </c>
      <c r="O328" s="16">
        <f t="shared" si="286"/>
        <v>84157.489028213167</v>
      </c>
      <c r="P328" s="41"/>
      <c r="Q328" s="17">
        <f t="shared" si="281"/>
        <v>1018424</v>
      </c>
      <c r="R328" s="16"/>
      <c r="S328" s="60">
        <f t="shared" si="282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7"/>
        <v>453305</v>
      </c>
      <c r="AB328" s="33"/>
      <c r="AC328" s="46">
        <f t="shared" si="288"/>
        <v>1.6885232974346985E-2</v>
      </c>
      <c r="AD328" s="33"/>
      <c r="AE328" s="33">
        <f t="shared" si="289"/>
        <v>1421.0188087774295</v>
      </c>
      <c r="AF328" s="50"/>
      <c r="AG328" s="33">
        <f t="shared" si="290"/>
        <v>22371</v>
      </c>
      <c r="AH328" s="33">
        <f t="shared" si="266"/>
        <v>1170759428.060914</v>
      </c>
      <c r="AI328" s="213">
        <f t="shared" si="291"/>
        <v>-1.1226519337016575E-2</v>
      </c>
      <c r="AJ328" s="50"/>
      <c r="AK328" s="10"/>
      <c r="AL328" s="23">
        <f t="shared" si="292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93"/>
        <v>1.3788903002790261E-2</v>
      </c>
      <c r="AS328" s="25"/>
      <c r="AT328" s="25"/>
      <c r="AU328" s="24"/>
      <c r="AV328" s="298">
        <f t="shared" si="294"/>
        <v>0.61945488900698531</v>
      </c>
      <c r="AW328" s="298"/>
      <c r="AX328" s="24">
        <f t="shared" si="295"/>
        <v>52131.768025078367</v>
      </c>
      <c r="AY328" s="308"/>
      <c r="AZ328" s="10"/>
      <c r="BA328" s="65">
        <f t="shared" si="296"/>
        <v>2038149</v>
      </c>
      <c r="BB328" s="66"/>
      <c r="BC328" s="66">
        <v>314174752</v>
      </c>
      <c r="BD328" s="66"/>
      <c r="BE328" s="66">
        <f t="shared" si="297"/>
        <v>126452</v>
      </c>
      <c r="BF328" s="66"/>
      <c r="BG328" s="144">
        <f t="shared" si="298"/>
        <v>6.2042569017279892E-2</v>
      </c>
      <c r="BH328" s="66"/>
      <c r="BI328" s="170"/>
      <c r="BJ328" s="66"/>
      <c r="BK328" s="66">
        <f t="shared" si="299"/>
        <v>13057542</v>
      </c>
      <c r="BL328" s="66"/>
      <c r="BM328" s="144">
        <f t="shared" si="300"/>
        <v>7.7995077480891892E-2</v>
      </c>
      <c r="BN328" s="65">
        <f t="shared" si="301"/>
        <v>984873.83072100312</v>
      </c>
      <c r="BO328" s="66"/>
      <c r="BP328" s="66">
        <f t="shared" si="302"/>
        <v>25939261</v>
      </c>
      <c r="BQ328" s="66"/>
      <c r="BR328" s="435">
        <f t="shared" si="283"/>
        <v>8.2563162172878873E-2</v>
      </c>
      <c r="BS328" s="66"/>
      <c r="BT328" s="75"/>
      <c r="BU328" s="170"/>
      <c r="BV328" s="1"/>
      <c r="BW328" s="61">
        <f t="shared" si="189"/>
        <v>319</v>
      </c>
    </row>
    <row r="329" spans="2:75" x14ac:dyDescent="0.3">
      <c r="B329" s="158">
        <f t="shared" si="163"/>
        <v>44229</v>
      </c>
      <c r="C329" s="61"/>
      <c r="D329" s="17">
        <v>116227</v>
      </c>
      <c r="E329" s="16"/>
      <c r="F329" s="16"/>
      <c r="G329" s="16"/>
      <c r="H329" s="16">
        <f t="shared" si="284"/>
        <v>26962466</v>
      </c>
      <c r="I329" s="16"/>
      <c r="J329" s="436">
        <f t="shared" si="285"/>
        <v>4.3293587604580292E-3</v>
      </c>
      <c r="K329" s="16"/>
      <c r="L329" s="16"/>
      <c r="M329" s="16"/>
      <c r="N329" s="16">
        <f t="shared" si="280"/>
        <v>982924</v>
      </c>
      <c r="O329" s="16">
        <f t="shared" si="286"/>
        <v>84257.706250000003</v>
      </c>
      <c r="P329" s="41"/>
      <c r="Q329" s="17">
        <f t="shared" si="281"/>
        <v>982924</v>
      </c>
      <c r="R329" s="16"/>
      <c r="S329" s="60">
        <f t="shared" si="282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7"/>
        <v>457012</v>
      </c>
      <c r="AB329" s="33"/>
      <c r="AC329" s="46">
        <f t="shared" si="288"/>
        <v>1.694993328874295E-2</v>
      </c>
      <c r="AD329" s="33"/>
      <c r="AE329" s="33">
        <f t="shared" si="289"/>
        <v>1428.1624999999999</v>
      </c>
      <c r="AF329" s="50"/>
      <c r="AG329" s="33">
        <f t="shared" si="290"/>
        <v>22166</v>
      </c>
      <c r="AH329" s="33">
        <f t="shared" si="266"/>
        <v>1170565091.060914</v>
      </c>
      <c r="AI329" s="213">
        <f t="shared" si="291"/>
        <v>-6.6104908363176743E-2</v>
      </c>
      <c r="AJ329" s="50"/>
      <c r="AK329" s="10"/>
      <c r="AL329" s="23">
        <f t="shared" si="292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93"/>
        <v>7.3382892662757033E-3</v>
      </c>
      <c r="AS329" s="25"/>
      <c r="AT329" s="25"/>
      <c r="AU329" s="24"/>
      <c r="AV329" s="298">
        <f t="shared" si="294"/>
        <v>0.62131075102700173</v>
      </c>
      <c r="AW329" s="298"/>
      <c r="AX329" s="24">
        <f t="shared" si="295"/>
        <v>52350.21875</v>
      </c>
      <c r="AY329" s="308"/>
      <c r="AZ329" s="10"/>
      <c r="BA329" s="65">
        <f t="shared" si="296"/>
        <v>1440210</v>
      </c>
      <c r="BB329" s="66"/>
      <c r="BC329" s="66">
        <v>315614962</v>
      </c>
      <c r="BD329" s="66"/>
      <c r="BE329" s="66">
        <f t="shared" si="297"/>
        <v>116227</v>
      </c>
      <c r="BF329" s="66"/>
      <c r="BG329" s="144">
        <f t="shared" si="298"/>
        <v>8.0701425486560993E-2</v>
      </c>
      <c r="BH329" s="66"/>
      <c r="BI329" s="170"/>
      <c r="BJ329" s="66"/>
      <c r="BK329" s="66">
        <f t="shared" si="299"/>
        <v>13203355</v>
      </c>
      <c r="BL329" s="66"/>
      <c r="BM329" s="144">
        <f t="shared" si="300"/>
        <v>7.4445017951876621E-2</v>
      </c>
      <c r="BN329" s="65">
        <f t="shared" si="301"/>
        <v>986296.75624999998</v>
      </c>
      <c r="BO329" s="66"/>
      <c r="BP329" s="66">
        <f t="shared" si="302"/>
        <v>26055488</v>
      </c>
      <c r="BQ329" s="66"/>
      <c r="BR329" s="435">
        <f t="shared" si="283"/>
        <v>8.2554666720774786E-2</v>
      </c>
      <c r="BS329" s="66"/>
      <c r="BT329" s="75"/>
      <c r="BU329" s="170"/>
      <c r="BV329" s="1"/>
      <c r="BW329" s="61">
        <f t="shared" si="189"/>
        <v>320</v>
      </c>
    </row>
    <row r="330" spans="2:75" x14ac:dyDescent="0.3">
      <c r="B330" s="158">
        <f t="shared" si="163"/>
        <v>44230</v>
      </c>
      <c r="C330" s="61"/>
      <c r="D330" s="17">
        <v>113459</v>
      </c>
      <c r="E330" s="16"/>
      <c r="F330" s="16"/>
      <c r="G330" s="16"/>
      <c r="H330" s="16">
        <f t="shared" si="284"/>
        <v>27075925</v>
      </c>
      <c r="I330" s="16"/>
      <c r="J330" s="436">
        <f t="shared" si="285"/>
        <v>4.2080349772161052E-3</v>
      </c>
      <c r="K330" s="16"/>
      <c r="L330" s="16"/>
      <c r="M330" s="16"/>
      <c r="N330" s="16">
        <f t="shared" si="280"/>
        <v>936352</v>
      </c>
      <c r="O330" s="16">
        <f t="shared" si="286"/>
        <v>84348.676012461059</v>
      </c>
      <c r="P330" s="41"/>
      <c r="Q330" s="17">
        <f t="shared" si="281"/>
        <v>936352</v>
      </c>
      <c r="R330" s="16"/>
      <c r="S330" s="60">
        <f t="shared" si="282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7"/>
        <v>461011</v>
      </c>
      <c r="AB330" s="33"/>
      <c r="AC330" s="46">
        <f t="shared" si="288"/>
        <v>1.7026602045913483E-2</v>
      </c>
      <c r="AD330" s="33"/>
      <c r="AE330" s="33">
        <f t="shared" si="289"/>
        <v>1436.1713395638628</v>
      </c>
      <c r="AF330" s="50"/>
      <c r="AG330" s="33">
        <f t="shared" si="290"/>
        <v>21967</v>
      </c>
      <c r="AH330" s="33">
        <f t="shared" si="266"/>
        <v>1170374929.060914</v>
      </c>
      <c r="AI330" s="213">
        <f t="shared" si="291"/>
        <v>-6.6782786014699017E-2</v>
      </c>
      <c r="AJ330" s="50"/>
      <c r="AK330" s="10"/>
      <c r="AL330" s="23">
        <f t="shared" si="292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93"/>
        <v>9.2351572074376477E-3</v>
      </c>
      <c r="AS330" s="25"/>
      <c r="AT330" s="25"/>
      <c r="AU330" s="24"/>
      <c r="AV330" s="298">
        <f t="shared" si="294"/>
        <v>0.62442106779362105</v>
      </c>
      <c r="AW330" s="298"/>
      <c r="AX330" s="24">
        <f t="shared" si="295"/>
        <v>52669.090342679126</v>
      </c>
      <c r="AY330" s="308"/>
      <c r="AZ330" s="10"/>
      <c r="BA330" s="65">
        <f t="shared" si="296"/>
        <v>1471796</v>
      </c>
      <c r="BB330" s="66"/>
      <c r="BC330" s="66">
        <v>317086758</v>
      </c>
      <c r="BD330" s="66"/>
      <c r="BE330" s="66">
        <f t="shared" si="297"/>
        <v>113459</v>
      </c>
      <c r="BF330" s="66"/>
      <c r="BG330" s="144">
        <f t="shared" si="298"/>
        <v>7.7088808503352368E-2</v>
      </c>
      <c r="BH330" s="66"/>
      <c r="BI330" s="170"/>
      <c r="BJ330" s="66"/>
      <c r="BK330" s="66">
        <f t="shared" si="299"/>
        <v>12672732</v>
      </c>
      <c r="BL330" s="66"/>
      <c r="BM330" s="144">
        <f t="shared" si="300"/>
        <v>7.3887146039228163E-2</v>
      </c>
      <c r="BN330" s="65">
        <f t="shared" si="301"/>
        <v>987809.21495327097</v>
      </c>
      <c r="BO330" s="66"/>
      <c r="BP330" s="66">
        <f t="shared" si="302"/>
        <v>26168947</v>
      </c>
      <c r="BQ330" s="66"/>
      <c r="BR330" s="435">
        <f t="shared" si="283"/>
        <v>8.2529296288052501E-2</v>
      </c>
      <c r="BS330" s="66"/>
      <c r="BT330" s="75"/>
      <c r="BU330" s="170"/>
      <c r="BV330" s="1"/>
      <c r="BW330" s="61">
        <f t="shared" si="189"/>
        <v>321</v>
      </c>
    </row>
    <row r="331" spans="2:75" x14ac:dyDescent="0.3">
      <c r="B331" s="158">
        <f t="shared" si="163"/>
        <v>44231</v>
      </c>
      <c r="C331" s="61"/>
      <c r="D331" s="17">
        <v>121737</v>
      </c>
      <c r="E331" s="16"/>
      <c r="F331" s="16"/>
      <c r="G331" s="16"/>
      <c r="H331" s="16">
        <f t="shared" si="284"/>
        <v>27197662</v>
      </c>
      <c r="I331" s="16"/>
      <c r="J331" s="436">
        <f t="shared" si="285"/>
        <v>4.4961344810934434E-3</v>
      </c>
      <c r="K331" s="16"/>
      <c r="L331" s="16"/>
      <c r="M331" s="16"/>
      <c r="N331" s="16">
        <f t="shared" si="280"/>
        <v>895456</v>
      </c>
      <c r="O331" s="16">
        <f t="shared" si="286"/>
        <v>84464.788819875772</v>
      </c>
      <c r="P331" s="41"/>
      <c r="Q331" s="17">
        <f t="shared" si="281"/>
        <v>895456</v>
      </c>
      <c r="R331" s="16"/>
      <c r="S331" s="60">
        <f t="shared" si="282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7"/>
        <v>464543</v>
      </c>
      <c r="AB331" s="33"/>
      <c r="AC331" s="46">
        <f t="shared" si="288"/>
        <v>1.7080254913087751E-2</v>
      </c>
      <c r="AD331" s="33"/>
      <c r="AE331" s="33">
        <f t="shared" si="289"/>
        <v>1442.6801242236024</v>
      </c>
      <c r="AF331" s="50"/>
      <c r="AG331" s="33">
        <f t="shared" si="290"/>
        <v>21580</v>
      </c>
      <c r="AH331" s="33">
        <f t="shared" si="266"/>
        <v>1170140218.060914</v>
      </c>
      <c r="AI331" s="213">
        <f t="shared" si="291"/>
        <v>-6.5598614418705348E-2</v>
      </c>
      <c r="AJ331" s="50"/>
      <c r="AK331" s="10"/>
      <c r="AL331" s="23">
        <f t="shared" si="292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93"/>
        <v>7.3951997240396718E-3</v>
      </c>
      <c r="AS331" s="25"/>
      <c r="AT331" s="25"/>
      <c r="AU331" s="24"/>
      <c r="AV331" s="298">
        <f t="shared" si="294"/>
        <v>0.62622320256792663</v>
      </c>
      <c r="AW331" s="298"/>
      <c r="AX331" s="24">
        <f t="shared" si="295"/>
        <v>52893.810559006211</v>
      </c>
      <c r="AY331" s="308"/>
      <c r="AZ331" s="10"/>
      <c r="BA331" s="65">
        <f t="shared" si="296"/>
        <v>1645627</v>
      </c>
      <c r="BB331" s="66"/>
      <c r="BC331" s="66">
        <v>318732385</v>
      </c>
      <c r="BD331" s="66"/>
      <c r="BE331" s="66">
        <f t="shared" si="297"/>
        <v>121737</v>
      </c>
      <c r="BF331" s="66"/>
      <c r="BG331" s="144">
        <f t="shared" si="298"/>
        <v>7.3976058973266728E-2</v>
      </c>
      <c r="BH331" s="66"/>
      <c r="BI331" s="170"/>
      <c r="BJ331" s="66"/>
      <c r="BK331" s="66">
        <f t="shared" si="299"/>
        <v>12279539</v>
      </c>
      <c r="BL331" s="66"/>
      <c r="BM331" s="144">
        <f t="shared" si="300"/>
        <v>7.2922607273774698E-2</v>
      </c>
      <c r="BN331" s="65">
        <f t="shared" si="301"/>
        <v>989852.12732919259</v>
      </c>
      <c r="BO331" s="66"/>
      <c r="BP331" s="66">
        <f t="shared" si="302"/>
        <v>26290684</v>
      </c>
      <c r="BQ331" s="66"/>
      <c r="BR331" s="435">
        <f t="shared" si="283"/>
        <v>8.2485135609925556E-2</v>
      </c>
      <c r="BS331" s="66"/>
      <c r="BT331" s="75"/>
      <c r="BU331" s="170"/>
      <c r="BV331" s="1"/>
      <c r="BW331" s="61">
        <f t="shared" si="189"/>
        <v>322</v>
      </c>
    </row>
    <row r="332" spans="2:75" x14ac:dyDescent="0.3">
      <c r="B332" s="158">
        <f t="shared" si="163"/>
        <v>44232</v>
      </c>
      <c r="C332" s="61"/>
      <c r="D332" s="17">
        <v>126125</v>
      </c>
      <c r="E332" s="16"/>
      <c r="F332" s="16"/>
      <c r="G332" s="16"/>
      <c r="H332" s="16">
        <f t="shared" si="284"/>
        <v>27323787</v>
      </c>
      <c r="I332" s="16"/>
      <c r="J332" s="436">
        <f t="shared" si="285"/>
        <v>4.6373471366766743E-3</v>
      </c>
      <c r="K332" s="16"/>
      <c r="L332" s="16"/>
      <c r="M332" s="16"/>
      <c r="N332" s="16">
        <f t="shared" ref="N332:N363" si="303">SUM(D326:D332)</f>
        <v>852548</v>
      </c>
      <c r="O332" s="16">
        <f t="shared" si="286"/>
        <v>84593.767801857583</v>
      </c>
      <c r="P332" s="41"/>
      <c r="Q332" s="17">
        <f t="shared" si="281"/>
        <v>852548</v>
      </c>
      <c r="R332" s="16"/>
      <c r="S332" s="60">
        <f t="shared" si="282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7"/>
        <v>468115</v>
      </c>
      <c r="AB332" s="33"/>
      <c r="AC332" s="46">
        <f t="shared" si="288"/>
        <v>1.7132142041657694E-2</v>
      </c>
      <c r="AD332" s="33"/>
      <c r="AE332" s="33">
        <f t="shared" si="289"/>
        <v>1449.2724458204334</v>
      </c>
      <c r="AF332" s="50"/>
      <c r="AG332" s="33">
        <f t="shared" si="290"/>
        <v>21500</v>
      </c>
      <c r="AH332" s="33">
        <f t="shared" si="266"/>
        <v>1169879245.060914</v>
      </c>
      <c r="AI332" s="213">
        <f t="shared" si="291"/>
        <v>-5.9533703687502736E-2</v>
      </c>
      <c r="AJ332" s="50"/>
      <c r="AK332" s="10"/>
      <c r="AL332" s="23">
        <f t="shared" si="292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93"/>
        <v>6.7146134288628328E-3</v>
      </c>
      <c r="AS332" s="25"/>
      <c r="AT332" s="25"/>
      <c r="AU332" s="24"/>
      <c r="AV332" s="298">
        <f t="shared" si="294"/>
        <v>0.62751803035208842</v>
      </c>
      <c r="AW332" s="298"/>
      <c r="AX332" s="24">
        <f t="shared" si="295"/>
        <v>53084.114551083592</v>
      </c>
      <c r="AY332" s="308"/>
      <c r="AZ332" s="10"/>
      <c r="BA332" s="65">
        <f t="shared" si="296"/>
        <v>1907154</v>
      </c>
      <c r="BB332" s="66"/>
      <c r="BC332" s="66">
        <v>320639539</v>
      </c>
      <c r="BD332" s="66"/>
      <c r="BE332" s="66">
        <f t="shared" si="297"/>
        <v>126125</v>
      </c>
      <c r="BF332" s="66"/>
      <c r="BG332" s="144">
        <f t="shared" si="298"/>
        <v>6.6132572408940229E-2</v>
      </c>
      <c r="BH332" s="66"/>
      <c r="BI332" s="170"/>
      <c r="BJ332" s="66"/>
      <c r="BK332" s="66">
        <f t="shared" si="299"/>
        <v>12242855</v>
      </c>
      <c r="BL332" s="66"/>
      <c r="BM332" s="144">
        <f t="shared" si="300"/>
        <v>6.9636371581628637E-2</v>
      </c>
      <c r="BN332" s="65">
        <f t="shared" si="301"/>
        <v>992692.07120743033</v>
      </c>
      <c r="BO332" s="66"/>
      <c r="BP332" s="66">
        <f t="shared" si="302"/>
        <v>26416809</v>
      </c>
      <c r="BQ332" s="66"/>
      <c r="BR332" s="435">
        <f t="shared" si="283"/>
        <v>8.2387871072881008E-2</v>
      </c>
      <c r="BS332" s="66"/>
      <c r="BT332" s="75"/>
      <c r="BU332" s="170"/>
      <c r="BV332" s="1"/>
      <c r="BW332" s="61">
        <f t="shared" si="189"/>
        <v>323</v>
      </c>
    </row>
    <row r="333" spans="2:75" x14ac:dyDescent="0.3">
      <c r="B333" s="158">
        <f t="shared" si="163"/>
        <v>44233</v>
      </c>
      <c r="C333" s="61"/>
      <c r="D333" s="17">
        <v>105983</v>
      </c>
      <c r="E333" s="16"/>
      <c r="F333" s="16"/>
      <c r="G333" s="16"/>
      <c r="H333" s="16">
        <f t="shared" si="284"/>
        <v>27429770</v>
      </c>
      <c r="I333" s="16"/>
      <c r="J333" s="436">
        <f t="shared" si="285"/>
        <v>3.8787815173643389E-3</v>
      </c>
      <c r="K333" s="16"/>
      <c r="L333" s="16"/>
      <c r="M333" s="16"/>
      <c r="N333" s="16">
        <f t="shared" si="303"/>
        <v>817799</v>
      </c>
      <c r="O333" s="16">
        <f t="shared" si="286"/>
        <v>84659.78395061729</v>
      </c>
      <c r="P333" s="41"/>
      <c r="Q333" s="17">
        <f t="shared" ref="Q333:Q364" si="304">SUM(D327:D333)</f>
        <v>817799</v>
      </c>
      <c r="R333" s="16"/>
      <c r="S333" s="60">
        <f t="shared" ref="S333:S364" si="305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7"/>
        <v>470845</v>
      </c>
      <c r="AB333" s="33"/>
      <c r="AC333" s="46">
        <f t="shared" si="288"/>
        <v>1.7165473862886929E-2</v>
      </c>
      <c r="AD333" s="33"/>
      <c r="AE333" s="33">
        <f t="shared" si="289"/>
        <v>1453.2253086419753</v>
      </c>
      <c r="AF333" s="50"/>
      <c r="AG333" s="33">
        <f t="shared" si="290"/>
        <v>21341</v>
      </c>
      <c r="AH333" s="33">
        <f t="shared" si="266"/>
        <v>1169605055.060914</v>
      </c>
      <c r="AI333" s="213">
        <f t="shared" si="291"/>
        <v>-4.347631213302855E-2</v>
      </c>
      <c r="AJ333" s="50"/>
      <c r="AK333" s="10"/>
      <c r="AL333" s="23">
        <f t="shared" si="292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93"/>
        <v>7.1355881305030875E-3</v>
      </c>
      <c r="AS333" s="25"/>
      <c r="AT333" s="25"/>
      <c r="AU333" s="24"/>
      <c r="AV333" s="298">
        <f t="shared" si="294"/>
        <v>0.62955383876714965</v>
      </c>
      <c r="AW333" s="298"/>
      <c r="AX333" s="24">
        <f t="shared" si="295"/>
        <v>53297.891975308645</v>
      </c>
      <c r="AY333" s="308"/>
      <c r="AZ333" s="10"/>
      <c r="BA333" s="65">
        <f t="shared" si="296"/>
        <v>1755864</v>
      </c>
      <c r="BB333" s="66"/>
      <c r="BC333" s="66">
        <v>322395403</v>
      </c>
      <c r="BD333" s="66"/>
      <c r="BE333" s="66">
        <f t="shared" si="297"/>
        <v>105983</v>
      </c>
      <c r="BF333" s="66"/>
      <c r="BG333" s="144">
        <f t="shared" si="298"/>
        <v>6.0359458363517901E-2</v>
      </c>
      <c r="BH333" s="66"/>
      <c r="BI333" s="170"/>
      <c r="BJ333" s="66"/>
      <c r="BK333" s="66">
        <f t="shared" si="299"/>
        <v>11834372</v>
      </c>
      <c r="BL333" s="66"/>
      <c r="BM333" s="144">
        <f t="shared" si="300"/>
        <v>6.9103709094153878E-2</v>
      </c>
      <c r="BN333" s="65">
        <f t="shared" si="301"/>
        <v>995047.54012345674</v>
      </c>
      <c r="BO333" s="66"/>
      <c r="BP333" s="66">
        <f t="shared" si="302"/>
        <v>26522792</v>
      </c>
      <c r="BQ333" s="66"/>
      <c r="BR333" s="435">
        <f t="shared" si="283"/>
        <v>8.2267897597783052E-2</v>
      </c>
      <c r="BS333" s="66"/>
      <c r="BT333" s="75"/>
      <c r="BU333" s="170"/>
      <c r="BV333" s="1"/>
      <c r="BW333" s="61">
        <f t="shared" si="189"/>
        <v>324</v>
      </c>
    </row>
    <row r="334" spans="2:75" x14ac:dyDescent="0.3">
      <c r="B334" s="347">
        <f t="shared" si="163"/>
        <v>44234</v>
      </c>
      <c r="C334" s="61"/>
      <c r="D334" s="17">
        <v>91256</v>
      </c>
      <c r="E334" s="16"/>
      <c r="F334" s="16"/>
      <c r="G334" s="16"/>
      <c r="H334" s="16">
        <f t="shared" si="284"/>
        <v>27521026</v>
      </c>
      <c r="I334" s="16"/>
      <c r="J334" s="436">
        <f t="shared" si="285"/>
        <v>3.326896288229905E-3</v>
      </c>
      <c r="K334" s="16"/>
      <c r="L334" s="16"/>
      <c r="M334" s="16"/>
      <c r="N334" s="16">
        <f t="shared" si="303"/>
        <v>801239</v>
      </c>
      <c r="O334" s="16">
        <f t="shared" si="286"/>
        <v>84680.08</v>
      </c>
      <c r="P334" s="41"/>
      <c r="Q334" s="17">
        <f t="shared" si="304"/>
        <v>801239</v>
      </c>
      <c r="R334" s="16"/>
      <c r="S334" s="60">
        <f t="shared" si="305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7"/>
        <v>472160</v>
      </c>
      <c r="AB334" s="33"/>
      <c r="AC334" s="46">
        <f t="shared" si="288"/>
        <v>1.7156337122024447E-2</v>
      </c>
      <c r="AD334" s="33"/>
      <c r="AE334" s="33">
        <f t="shared" si="289"/>
        <v>1452.8</v>
      </c>
      <c r="AF334" s="50"/>
      <c r="AG334" s="33">
        <f t="shared" si="290"/>
        <v>20770</v>
      </c>
      <c r="AH334" s="33">
        <f t="shared" si="266"/>
        <v>1169298606.060914</v>
      </c>
      <c r="AI334" s="213">
        <f t="shared" si="291"/>
        <v>-7.0818234688856077E-2</v>
      </c>
      <c r="AJ334" s="50"/>
      <c r="AK334" s="10"/>
      <c r="AL334" s="23">
        <f t="shared" si="292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93"/>
        <v>5.0179757763796394E-3</v>
      </c>
      <c r="AS334" s="25"/>
      <c r="AT334" s="25"/>
      <c r="AU334" s="24"/>
      <c r="AV334" s="298">
        <f t="shared" si="294"/>
        <v>0.63061493419613057</v>
      </c>
      <c r="AW334" s="298"/>
      <c r="AX334" s="24">
        <f t="shared" si="295"/>
        <v>53400.523076923077</v>
      </c>
      <c r="AY334" s="308"/>
      <c r="AZ334" s="10"/>
      <c r="BA334" s="65">
        <f t="shared" si="296"/>
        <v>1409563</v>
      </c>
      <c r="BB334" s="66"/>
      <c r="BC334" s="66">
        <v>323804966</v>
      </c>
      <c r="BD334" s="66"/>
      <c r="BE334" s="66">
        <f t="shared" si="297"/>
        <v>91256</v>
      </c>
      <c r="BF334" s="66"/>
      <c r="BG334" s="144">
        <f t="shared" si="298"/>
        <v>6.4740632380390239E-2</v>
      </c>
      <c r="BH334" s="66"/>
      <c r="BI334" s="170"/>
      <c r="BJ334" s="66"/>
      <c r="BK334" s="66">
        <f t="shared" si="299"/>
        <v>11668363</v>
      </c>
      <c r="BL334" s="66"/>
      <c r="BM334" s="144">
        <f t="shared" si="300"/>
        <v>6.8667644295947947E-2</v>
      </c>
      <c r="BN334" s="65">
        <f t="shared" si="301"/>
        <v>996322.97230769228</v>
      </c>
      <c r="BO334" s="66"/>
      <c r="BP334" s="66">
        <f t="shared" si="302"/>
        <v>26614048</v>
      </c>
      <c r="BQ334" s="66"/>
      <c r="BR334" s="435">
        <f t="shared" si="283"/>
        <v>8.2191599248048586E-2</v>
      </c>
      <c r="BS334" s="66"/>
      <c r="BT334" s="75"/>
      <c r="BU334" s="170"/>
      <c r="BV334" s="1"/>
      <c r="BW334" s="61">
        <f t="shared" si="189"/>
        <v>325</v>
      </c>
    </row>
    <row r="335" spans="2:75" x14ac:dyDescent="0.3">
      <c r="B335" s="158">
        <f t="shared" si="163"/>
        <v>44235</v>
      </c>
      <c r="C335" s="61"/>
      <c r="D335" s="17">
        <v>90346</v>
      </c>
      <c r="E335" s="16"/>
      <c r="F335" s="16"/>
      <c r="G335" s="16"/>
      <c r="H335" s="16">
        <f t="shared" si="284"/>
        <v>27611372</v>
      </c>
      <c r="I335" s="16"/>
      <c r="J335" s="436">
        <f t="shared" si="285"/>
        <v>3.2827991223873705E-3</v>
      </c>
      <c r="K335" s="16"/>
      <c r="L335" s="16"/>
      <c r="M335" s="16"/>
      <c r="N335" s="16">
        <f t="shared" si="303"/>
        <v>765133</v>
      </c>
      <c r="O335" s="16">
        <f t="shared" si="286"/>
        <v>84697.460122699384</v>
      </c>
      <c r="P335" s="41"/>
      <c r="Q335" s="17">
        <f t="shared" si="304"/>
        <v>765133</v>
      </c>
      <c r="R335" s="16"/>
      <c r="S335" s="60">
        <f t="shared" si="305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7"/>
        <v>473752</v>
      </c>
      <c r="AB335" s="33"/>
      <c r="AC335" s="46">
        <f t="shared" si="288"/>
        <v>1.7157858001406089E-2</v>
      </c>
      <c r="AD335" s="33"/>
      <c r="AE335" s="33">
        <f t="shared" si="289"/>
        <v>1453.2269938650306</v>
      </c>
      <c r="AF335" s="50"/>
      <c r="AG335" s="33">
        <f t="shared" si="290"/>
        <v>20447</v>
      </c>
      <c r="AH335" s="33">
        <f t="shared" si="266"/>
        <v>1169048912.060914</v>
      </c>
      <c r="AI335" s="213">
        <f t="shared" si="291"/>
        <v>-8.6004201868490462E-2</v>
      </c>
      <c r="AJ335" s="50"/>
      <c r="AK335" s="10"/>
      <c r="AL335" s="23">
        <f t="shared" si="292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93"/>
        <v>9.0837485314174387E-3</v>
      </c>
      <c r="AS335" s="25"/>
      <c r="AT335" s="25"/>
      <c r="AU335" s="24"/>
      <c r="AV335" s="298">
        <f t="shared" si="294"/>
        <v>0.63426112979825844</v>
      </c>
      <c r="AW335" s="298"/>
      <c r="AX335" s="24">
        <f t="shared" si="295"/>
        <v>53720.306748466261</v>
      </c>
      <c r="AY335" s="308"/>
      <c r="AZ335" s="10"/>
      <c r="BA335" s="65">
        <f t="shared" si="296"/>
        <v>1705328</v>
      </c>
      <c r="BB335" s="66"/>
      <c r="BC335" s="66">
        <v>325510294</v>
      </c>
      <c r="BD335" s="66"/>
      <c r="BE335" s="66">
        <f t="shared" si="297"/>
        <v>90346</v>
      </c>
      <c r="BF335" s="66"/>
      <c r="BG335" s="144">
        <f t="shared" si="298"/>
        <v>5.2978664514978936E-2</v>
      </c>
      <c r="BH335" s="66"/>
      <c r="BI335" s="170"/>
      <c r="BJ335" s="66"/>
      <c r="BK335" s="66">
        <f t="shared" si="299"/>
        <v>11335542</v>
      </c>
      <c r="BL335" s="66"/>
      <c r="BM335" s="144">
        <f t="shared" si="300"/>
        <v>6.7498581011829872E-2</v>
      </c>
      <c r="BN335" s="65">
        <f t="shared" si="301"/>
        <v>998497.83435582824</v>
      </c>
      <c r="BO335" s="66"/>
      <c r="BP335" s="66">
        <f t="shared" si="302"/>
        <v>26704394</v>
      </c>
      <c r="BQ335" s="66"/>
      <c r="BR335" s="435">
        <f t="shared" si="283"/>
        <v>8.2038554516497109E-2</v>
      </c>
      <c r="BS335" s="66"/>
      <c r="BT335" s="75"/>
      <c r="BU335" s="170"/>
      <c r="BV335" s="1"/>
      <c r="BW335" s="61">
        <f t="shared" si="189"/>
        <v>326</v>
      </c>
    </row>
    <row r="336" spans="2:75" x14ac:dyDescent="0.3">
      <c r="B336" s="158">
        <f t="shared" si="163"/>
        <v>44236</v>
      </c>
      <c r="C336" s="61"/>
      <c r="D336" s="17">
        <v>95542</v>
      </c>
      <c r="E336" s="16"/>
      <c r="F336" s="16"/>
      <c r="G336" s="16"/>
      <c r="H336" s="16">
        <f t="shared" si="284"/>
        <v>27706914</v>
      </c>
      <c r="I336" s="16"/>
      <c r="J336" s="436">
        <f t="shared" si="285"/>
        <v>3.4602409470996225E-3</v>
      </c>
      <c r="K336" s="16"/>
      <c r="L336" s="16"/>
      <c r="M336" s="16"/>
      <c r="N336" s="16">
        <f t="shared" si="303"/>
        <v>744448</v>
      </c>
      <c r="O336" s="16">
        <f t="shared" si="286"/>
        <v>84730.623853211015</v>
      </c>
      <c r="P336" s="41"/>
      <c r="Q336" s="17">
        <f t="shared" si="304"/>
        <v>744448</v>
      </c>
      <c r="R336" s="16"/>
      <c r="S336" s="60">
        <f t="shared" si="305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7"/>
        <v>477017</v>
      </c>
      <c r="AB336" s="33"/>
      <c r="AC336" s="46">
        <f t="shared" si="288"/>
        <v>1.7216533028542983E-2</v>
      </c>
      <c r="AD336" s="33"/>
      <c r="AE336" s="33">
        <f t="shared" si="289"/>
        <v>1458.7675840978593</v>
      </c>
      <c r="AF336" s="50"/>
      <c r="AG336" s="33">
        <f t="shared" si="290"/>
        <v>20005</v>
      </c>
      <c r="AH336" s="33">
        <f t="shared" si="266"/>
        <v>1168828085.060914</v>
      </c>
      <c r="AI336" s="213">
        <f t="shared" si="291"/>
        <v>-9.7491653884327345E-2</v>
      </c>
      <c r="AJ336" s="50"/>
      <c r="AK336" s="10"/>
      <c r="AL336" s="23">
        <f t="shared" si="292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93"/>
        <v>7.2173984543894131E-3</v>
      </c>
      <c r="AS336" s="25"/>
      <c r="AT336" s="25"/>
      <c r="AU336" s="24"/>
      <c r="AV336" s="298">
        <f t="shared" si="294"/>
        <v>0.63663593137799468</v>
      </c>
      <c r="AW336" s="298"/>
      <c r="AX336" s="24">
        <f t="shared" si="295"/>
        <v>53942.559633027522</v>
      </c>
      <c r="AY336" s="308"/>
      <c r="AZ336" s="10"/>
      <c r="BA336" s="65">
        <f t="shared" si="296"/>
        <v>1661500</v>
      </c>
      <c r="BB336" s="66"/>
      <c r="BC336" s="66">
        <v>327171794</v>
      </c>
      <c r="BD336" s="66"/>
      <c r="BE336" s="66">
        <f t="shared" si="297"/>
        <v>95542</v>
      </c>
      <c r="BF336" s="66"/>
      <c r="BG336" s="144">
        <f t="shared" si="298"/>
        <v>5.7503460728257599E-2</v>
      </c>
      <c r="BH336" s="66"/>
      <c r="BI336" s="170"/>
      <c r="BJ336" s="66"/>
      <c r="BK336" s="66">
        <f t="shared" si="299"/>
        <v>11556832</v>
      </c>
      <c r="BL336" s="66"/>
      <c r="BM336" s="144">
        <f t="shared" si="300"/>
        <v>6.4416269095198403E-2</v>
      </c>
      <c r="BN336" s="65">
        <f t="shared" si="301"/>
        <v>1000525.3639143731</v>
      </c>
      <c r="BO336" s="66"/>
      <c r="BP336" s="66">
        <f t="shared" si="302"/>
        <v>26799936</v>
      </c>
      <c r="BQ336" s="66"/>
      <c r="BR336" s="435">
        <f t="shared" si="283"/>
        <v>8.1913956189022821E-2</v>
      </c>
      <c r="BS336" s="66"/>
      <c r="BT336" s="75"/>
      <c r="BU336" s="170"/>
      <c r="BV336" s="1"/>
      <c r="BW336" s="61">
        <f t="shared" si="189"/>
        <v>327</v>
      </c>
    </row>
    <row r="337" spans="2:75" x14ac:dyDescent="0.3">
      <c r="B337" s="158">
        <f t="shared" si="163"/>
        <v>44237</v>
      </c>
      <c r="C337" s="61"/>
      <c r="D337" s="17">
        <v>96806</v>
      </c>
      <c r="E337" s="16"/>
      <c r="F337" s="16"/>
      <c r="G337" s="16"/>
      <c r="H337" s="16">
        <f t="shared" si="284"/>
        <v>27803720</v>
      </c>
      <c r="I337" s="16"/>
      <c r="J337" s="436">
        <f t="shared" si="285"/>
        <v>3.4939293491869933E-3</v>
      </c>
      <c r="K337" s="16"/>
      <c r="L337" s="16"/>
      <c r="M337" s="16"/>
      <c r="N337" s="16">
        <f t="shared" si="303"/>
        <v>727795</v>
      </c>
      <c r="O337" s="16">
        <f t="shared" si="286"/>
        <v>84767.439024390245</v>
      </c>
      <c r="P337" s="41"/>
      <c r="Q337" s="17">
        <f t="shared" si="304"/>
        <v>727795</v>
      </c>
      <c r="R337" s="16"/>
      <c r="S337" s="60">
        <f t="shared" si="305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7"/>
        <v>480449</v>
      </c>
      <c r="AB337" s="33"/>
      <c r="AC337" s="46">
        <f t="shared" si="288"/>
        <v>1.7280025838269125E-2</v>
      </c>
      <c r="AD337" s="33"/>
      <c r="AE337" s="33">
        <f t="shared" si="289"/>
        <v>1464.7835365853659</v>
      </c>
      <c r="AF337" s="50"/>
      <c r="AG337" s="33">
        <f t="shared" si="290"/>
        <v>19438</v>
      </c>
      <c r="AH337" s="33">
        <f t="shared" si="266"/>
        <v>1168613402.060914</v>
      </c>
      <c r="AI337" s="213">
        <f t="shared" si="291"/>
        <v>-0.11512723630900897</v>
      </c>
      <c r="AJ337" s="50"/>
      <c r="AK337" s="10"/>
      <c r="AL337" s="23">
        <f t="shared" si="292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93"/>
        <v>1.0664078796694888E-2</v>
      </c>
      <c r="AS337" s="25"/>
      <c r="AT337" s="25"/>
      <c r="AU337" s="24"/>
      <c r="AV337" s="298">
        <f t="shared" si="294"/>
        <v>0.64118481267974214</v>
      </c>
      <c r="AW337" s="298"/>
      <c r="AX337" s="24">
        <f t="shared" si="295"/>
        <v>54351.594512195123</v>
      </c>
      <c r="AY337" s="308"/>
      <c r="AZ337" s="10"/>
      <c r="BA337" s="65">
        <f t="shared" si="296"/>
        <v>1303452</v>
      </c>
      <c r="BB337" s="66"/>
      <c r="BC337" s="66">
        <v>328475246</v>
      </c>
      <c r="BD337" s="66"/>
      <c r="BE337" s="66">
        <f t="shared" si="297"/>
        <v>96806</v>
      </c>
      <c r="BF337" s="66"/>
      <c r="BG337" s="144">
        <f t="shared" si="298"/>
        <v>7.4268941242178463E-2</v>
      </c>
      <c r="BH337" s="66"/>
      <c r="BI337" s="170"/>
      <c r="BJ337" s="66"/>
      <c r="BK337" s="66">
        <f t="shared" si="299"/>
        <v>11388488</v>
      </c>
      <c r="BL337" s="66"/>
      <c r="BM337" s="144">
        <f t="shared" si="300"/>
        <v>6.3906200717777459E-2</v>
      </c>
      <c r="BN337" s="65">
        <f t="shared" si="301"/>
        <v>1001448.9207317074</v>
      </c>
      <c r="BO337" s="66"/>
      <c r="BP337" s="66">
        <f t="shared" si="302"/>
        <v>26896742</v>
      </c>
      <c r="BQ337" s="66"/>
      <c r="BR337" s="435">
        <f t="shared" ref="BR337:BR368" si="306">+BP337/BC337</f>
        <v>8.1883619321499804E-2</v>
      </c>
      <c r="BS337" s="66"/>
      <c r="BT337" s="75"/>
      <c r="BU337" s="170"/>
      <c r="BV337" s="1"/>
      <c r="BW337" s="61">
        <f t="shared" si="189"/>
        <v>328</v>
      </c>
    </row>
    <row r="338" spans="2:75" x14ac:dyDescent="0.3">
      <c r="B338" s="158">
        <f t="shared" si="163"/>
        <v>44238</v>
      </c>
      <c r="C338" s="61"/>
      <c r="D338" s="17">
        <v>104244</v>
      </c>
      <c r="E338" s="16"/>
      <c r="F338" s="16"/>
      <c r="G338" s="16"/>
      <c r="H338" s="16">
        <f t="shared" si="284"/>
        <v>27907964</v>
      </c>
      <c r="I338" s="16"/>
      <c r="J338" s="436">
        <f t="shared" si="285"/>
        <v>3.7492824701155099E-3</v>
      </c>
      <c r="K338" s="16"/>
      <c r="L338" s="16"/>
      <c r="M338" s="16"/>
      <c r="N338" s="16">
        <f t="shared" si="303"/>
        <v>710302</v>
      </c>
      <c r="O338" s="16">
        <f t="shared" si="286"/>
        <v>84826.638297872341</v>
      </c>
      <c r="P338" s="41"/>
      <c r="Q338" s="17">
        <f t="shared" si="304"/>
        <v>710302</v>
      </c>
      <c r="R338" s="16"/>
      <c r="S338" s="60">
        <f t="shared" si="305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7"/>
        <v>483699</v>
      </c>
      <c r="AB338" s="33"/>
      <c r="AC338" s="46">
        <f t="shared" si="288"/>
        <v>1.7331934353935673E-2</v>
      </c>
      <c r="AD338" s="33"/>
      <c r="AE338" s="33">
        <f t="shared" si="289"/>
        <v>1470.2097264437689</v>
      </c>
      <c r="AF338" s="50"/>
      <c r="AG338" s="33">
        <f t="shared" si="290"/>
        <v>19156</v>
      </c>
      <c r="AH338" s="33">
        <f t="shared" si="266"/>
        <v>1168389774.060914</v>
      </c>
      <c r="AI338" s="213">
        <f t="shared" si="291"/>
        <v>-0.11232622798887859</v>
      </c>
      <c r="AJ338" s="50"/>
      <c r="AK338" s="10"/>
      <c r="AL338" s="23">
        <f t="shared" si="292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93"/>
        <v>7.0117089368942273E-3</v>
      </c>
      <c r="AS338" s="25"/>
      <c r="AT338" s="25"/>
      <c r="AU338" s="24"/>
      <c r="AV338" s="298">
        <f t="shared" si="294"/>
        <v>0.64326881746013431</v>
      </c>
      <c r="AW338" s="298"/>
      <c r="AX338" s="24">
        <f t="shared" si="295"/>
        <v>54566.331306990884</v>
      </c>
      <c r="AY338" s="308"/>
      <c r="AZ338" s="10"/>
      <c r="BA338" s="65">
        <f t="shared" si="296"/>
        <v>1750000</v>
      </c>
      <c r="BB338" s="66"/>
      <c r="BC338" s="66">
        <f>328475246+1750000</f>
        <v>330225246</v>
      </c>
      <c r="BD338" s="66"/>
      <c r="BE338" s="66">
        <f t="shared" si="297"/>
        <v>104244</v>
      </c>
      <c r="BF338" s="66"/>
      <c r="BG338" s="144">
        <f t="shared" si="298"/>
        <v>5.9568000000000003E-2</v>
      </c>
      <c r="BH338" s="66"/>
      <c r="BI338" s="170"/>
      <c r="BJ338" s="66"/>
      <c r="BK338" s="66">
        <f t="shared" si="299"/>
        <v>11492861</v>
      </c>
      <c r="BL338" s="66"/>
      <c r="BM338" s="144">
        <f t="shared" si="300"/>
        <v>6.180375800246779E-2</v>
      </c>
      <c r="BN338" s="65">
        <f t="shared" si="301"/>
        <v>1003724.1519756839</v>
      </c>
      <c r="BO338" s="66"/>
      <c r="BP338" s="66">
        <f t="shared" si="302"/>
        <v>27000986</v>
      </c>
      <c r="BQ338" s="66"/>
      <c r="BR338" s="435">
        <f t="shared" si="306"/>
        <v>8.1765359635768128E-2</v>
      </c>
      <c r="BS338" s="66"/>
      <c r="BT338" s="75"/>
      <c r="BU338" s="170"/>
      <c r="BV338" s="1"/>
      <c r="BW338" s="61">
        <f t="shared" si="189"/>
        <v>329</v>
      </c>
    </row>
    <row r="339" spans="2:75" x14ac:dyDescent="0.3">
      <c r="B339" s="158">
        <f t="shared" si="163"/>
        <v>44239</v>
      </c>
      <c r="C339" s="61"/>
      <c r="D339" s="17">
        <v>100288</v>
      </c>
      <c r="E339" s="16"/>
      <c r="F339" s="16"/>
      <c r="G339" s="16"/>
      <c r="H339" s="16">
        <f t="shared" si="284"/>
        <v>28008252</v>
      </c>
      <c r="I339" s="16"/>
      <c r="J339" s="436">
        <f t="shared" si="285"/>
        <v>3.5935262063545733E-3</v>
      </c>
      <c r="K339" s="16"/>
      <c r="L339" s="16"/>
      <c r="M339" s="16"/>
      <c r="N339" s="16">
        <f t="shared" si="303"/>
        <v>684465</v>
      </c>
      <c r="O339" s="16">
        <f t="shared" si="286"/>
        <v>84873.490909090906</v>
      </c>
      <c r="P339" s="41"/>
      <c r="Q339" s="17">
        <f t="shared" si="304"/>
        <v>684465</v>
      </c>
      <c r="R339" s="16"/>
      <c r="S339" s="60">
        <f t="shared" si="305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7"/>
        <v>486607</v>
      </c>
      <c r="AB339" s="33"/>
      <c r="AC339" s="46">
        <f t="shared" si="288"/>
        <v>1.7373701150646601E-2</v>
      </c>
      <c r="AD339" s="33"/>
      <c r="AE339" s="33">
        <f t="shared" si="289"/>
        <v>1474.5666666666666</v>
      </c>
      <c r="AF339" s="50"/>
      <c r="AG339" s="33">
        <f t="shared" si="290"/>
        <v>18492</v>
      </c>
      <c r="AH339" s="33">
        <f t="shared" si="266"/>
        <v>1168151701.060914</v>
      </c>
      <c r="AI339" s="213">
        <f t="shared" si="291"/>
        <v>-0.13990697674418603</v>
      </c>
      <c r="AJ339" s="50"/>
      <c r="AK339" s="10"/>
      <c r="AL339" s="23">
        <f t="shared" si="292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93"/>
        <v>4.9012598536690771E-3</v>
      </c>
      <c r="AS339" s="25"/>
      <c r="AT339" s="25"/>
      <c r="AU339" s="24"/>
      <c r="AV339" s="298">
        <f t="shared" si="294"/>
        <v>0.64410702959970512</v>
      </c>
      <c r="AW339" s="298"/>
      <c r="AX339" s="24">
        <f t="shared" si="295"/>
        <v>54667.612121212122</v>
      </c>
      <c r="AY339" s="308"/>
      <c r="AZ339" s="10"/>
      <c r="BA339" s="65">
        <f t="shared" si="296"/>
        <v>1904676</v>
      </c>
      <c r="BB339" s="66"/>
      <c r="BC339" s="66">
        <v>332129922</v>
      </c>
      <c r="BD339" s="66"/>
      <c r="BE339" s="66">
        <f t="shared" si="297"/>
        <v>100288</v>
      </c>
      <c r="BF339" s="66"/>
      <c r="BG339" s="144">
        <f t="shared" si="298"/>
        <v>5.2653574676217896E-2</v>
      </c>
      <c r="BH339" s="66"/>
      <c r="BI339" s="170"/>
      <c r="BJ339" s="66"/>
      <c r="BK339" s="66">
        <f t="shared" si="299"/>
        <v>11490383</v>
      </c>
      <c r="BL339" s="66"/>
      <c r="BM339" s="144">
        <f t="shared" si="300"/>
        <v>5.9568510466535364E-2</v>
      </c>
      <c r="BN339" s="65">
        <f t="shared" si="301"/>
        <v>1006454.3090909091</v>
      </c>
      <c r="BO339" s="66"/>
      <c r="BP339" s="66">
        <f t="shared" si="302"/>
        <v>27101274</v>
      </c>
      <c r="BQ339" s="66"/>
      <c r="BR339" s="435">
        <f t="shared" si="306"/>
        <v>8.1598411359034367E-2</v>
      </c>
      <c r="BS339" s="66"/>
      <c r="BT339" s="75"/>
      <c r="BU339" s="170"/>
      <c r="BV339" s="1"/>
      <c r="BW339" s="61">
        <f t="shared" si="189"/>
        <v>330</v>
      </c>
    </row>
    <row r="340" spans="2:75" x14ac:dyDescent="0.3">
      <c r="B340" s="158">
        <f t="shared" si="163"/>
        <v>44240</v>
      </c>
      <c r="C340" s="61"/>
      <c r="D340" s="17">
        <v>86484</v>
      </c>
      <c r="E340" s="16"/>
      <c r="F340" s="16"/>
      <c r="G340" s="16"/>
      <c r="H340" s="16">
        <f t="shared" si="284"/>
        <v>28094736</v>
      </c>
      <c r="I340" s="16"/>
      <c r="J340" s="436">
        <f t="shared" si="285"/>
        <v>3.0878042656856987E-3</v>
      </c>
      <c r="K340" s="16"/>
      <c r="L340" s="16"/>
      <c r="M340" s="16"/>
      <c r="N340" s="16">
        <f t="shared" si="303"/>
        <v>664966</v>
      </c>
      <c r="O340" s="16">
        <f t="shared" si="286"/>
        <v>84878.356495468281</v>
      </c>
      <c r="P340" s="41"/>
      <c r="Q340" s="17">
        <f t="shared" si="304"/>
        <v>664966</v>
      </c>
      <c r="R340" s="16"/>
      <c r="S340" s="60">
        <f t="shared" si="305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7"/>
        <v>488879</v>
      </c>
      <c r="AB340" s="33"/>
      <c r="AC340" s="46">
        <f t="shared" si="288"/>
        <v>1.7401088944206489E-2</v>
      </c>
      <c r="AD340" s="33"/>
      <c r="AE340" s="33">
        <f t="shared" si="289"/>
        <v>1476.97583081571</v>
      </c>
      <c r="AF340" s="50"/>
      <c r="AG340" s="33">
        <f t="shared" si="290"/>
        <v>18034</v>
      </c>
      <c r="AH340" s="33">
        <f t="shared" si="266"/>
        <v>1167917282.060914</v>
      </c>
      <c r="AI340" s="213">
        <f t="shared" si="291"/>
        <v>-0.15495993627290192</v>
      </c>
      <c r="AJ340" s="50"/>
      <c r="AK340" s="10"/>
      <c r="AL340" s="23">
        <f t="shared" si="292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93"/>
        <v>6.2645258019927812E-3</v>
      </c>
      <c r="AS340" s="25"/>
      <c r="AT340" s="25"/>
      <c r="AU340" s="24"/>
      <c r="AV340" s="298">
        <f t="shared" si="294"/>
        <v>0.64614687961474349</v>
      </c>
      <c r="AW340" s="298"/>
      <c r="AX340" s="24">
        <f t="shared" si="295"/>
        <v>54843.88519637462</v>
      </c>
      <c r="AY340" s="308"/>
      <c r="AZ340" s="10"/>
      <c r="BA340" s="65">
        <f t="shared" si="296"/>
        <v>1698436</v>
      </c>
      <c r="BB340" s="66"/>
      <c r="BC340" s="66">
        <v>333828358</v>
      </c>
      <c r="BD340" s="66"/>
      <c r="BE340" s="66">
        <f t="shared" si="297"/>
        <v>86484</v>
      </c>
      <c r="BF340" s="66"/>
      <c r="BG340" s="144">
        <f t="shared" si="298"/>
        <v>5.0919787380860983E-2</v>
      </c>
      <c r="BH340" s="66"/>
      <c r="BI340" s="170"/>
      <c r="BJ340" s="66"/>
      <c r="BK340" s="66">
        <f t="shared" si="299"/>
        <v>11432955</v>
      </c>
      <c r="BL340" s="66"/>
      <c r="BM340" s="144">
        <f t="shared" si="300"/>
        <v>5.8162216154966064E-2</v>
      </c>
      <c r="BN340" s="65">
        <f t="shared" si="301"/>
        <v>1008544.8882175226</v>
      </c>
      <c r="BO340" s="66"/>
      <c r="BP340" s="66">
        <f t="shared" si="302"/>
        <v>27187758</v>
      </c>
      <c r="BQ340" s="66"/>
      <c r="BR340" s="435">
        <f t="shared" si="306"/>
        <v>8.1442326118981181E-2</v>
      </c>
      <c r="BS340" s="66"/>
      <c r="BT340" s="75"/>
      <c r="BU340" s="170"/>
      <c r="BV340" s="1"/>
      <c r="BW340" s="61">
        <f t="shared" si="189"/>
        <v>331</v>
      </c>
    </row>
    <row r="341" spans="2:75" x14ac:dyDescent="0.3">
      <c r="B341" s="347">
        <f t="shared" si="163"/>
        <v>44241</v>
      </c>
      <c r="C341" s="61"/>
      <c r="D341" s="17">
        <v>64297</v>
      </c>
      <c r="E341" s="16"/>
      <c r="F341" s="16"/>
      <c r="G341" s="16"/>
      <c r="H341" s="16">
        <f t="shared" si="284"/>
        <v>28159033</v>
      </c>
      <c r="I341" s="16"/>
      <c r="J341" s="436">
        <f t="shared" si="285"/>
        <v>2.2885781877430705E-3</v>
      </c>
      <c r="K341" s="16"/>
      <c r="L341" s="16"/>
      <c r="M341" s="16"/>
      <c r="N341" s="16">
        <f t="shared" si="303"/>
        <v>638007</v>
      </c>
      <c r="O341" s="16">
        <f t="shared" si="286"/>
        <v>84816.364457831325</v>
      </c>
      <c r="P341" s="41"/>
      <c r="Q341" s="17">
        <f t="shared" si="304"/>
        <v>638007</v>
      </c>
      <c r="R341" s="16"/>
      <c r="S341" s="60">
        <f t="shared" si="305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7"/>
        <v>489990</v>
      </c>
      <c r="AB341" s="33"/>
      <c r="AC341" s="46">
        <f t="shared" si="288"/>
        <v>1.7400810603119786E-2</v>
      </c>
      <c r="AD341" s="33"/>
      <c r="AE341" s="33">
        <f t="shared" si="289"/>
        <v>1475.8734939759036</v>
      </c>
      <c r="AF341" s="50"/>
      <c r="AG341" s="33">
        <f t="shared" si="290"/>
        <v>17830</v>
      </c>
      <c r="AH341" s="33">
        <f t="shared" si="266"/>
        <v>1167668476.060914</v>
      </c>
      <c r="AI341" s="213">
        <f t="shared" si="291"/>
        <v>-0.14155031295137216</v>
      </c>
      <c r="AJ341" s="50"/>
      <c r="AK341" s="10"/>
      <c r="AL341" s="23">
        <f t="shared" si="292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93"/>
        <v>3.9090357326255253E-3</v>
      </c>
      <c r="AS341" s="25"/>
      <c r="AT341" s="25"/>
      <c r="AU341" s="24"/>
      <c r="AV341" s="298">
        <f t="shared" si="294"/>
        <v>0.64719154240843424</v>
      </c>
      <c r="AW341" s="298"/>
      <c r="AX341" s="24">
        <f t="shared" si="295"/>
        <v>54892.433734939761</v>
      </c>
      <c r="AY341" s="308"/>
      <c r="AZ341" s="10"/>
      <c r="BA341" s="65">
        <f t="shared" si="296"/>
        <v>1285060</v>
      </c>
      <c r="BB341" s="66"/>
      <c r="BC341" s="66">
        <v>335113418</v>
      </c>
      <c r="BD341" s="66"/>
      <c r="BE341" s="66">
        <f t="shared" si="297"/>
        <v>64297</v>
      </c>
      <c r="BF341" s="66"/>
      <c r="BG341" s="144">
        <f t="shared" si="298"/>
        <v>5.0034239646397832E-2</v>
      </c>
      <c r="BH341" s="66"/>
      <c r="BI341" s="170"/>
      <c r="BJ341" s="66"/>
      <c r="BK341" s="66">
        <f t="shared" si="299"/>
        <v>11308452</v>
      </c>
      <c r="BL341" s="66"/>
      <c r="BM341" s="144">
        <f t="shared" si="300"/>
        <v>5.6418597346480311E-2</v>
      </c>
      <c r="BN341" s="65">
        <f t="shared" si="301"/>
        <v>1009377.765060241</v>
      </c>
      <c r="BO341" s="66"/>
      <c r="BP341" s="66">
        <f t="shared" si="302"/>
        <v>27252055</v>
      </c>
      <c r="BQ341" s="66"/>
      <c r="BR341" s="435">
        <f t="shared" si="306"/>
        <v>8.1321885475800312E-2</v>
      </c>
      <c r="BS341" s="66"/>
      <c r="BT341" s="75"/>
      <c r="BU341" s="170"/>
      <c r="BV341" s="1"/>
      <c r="BW341" s="61">
        <f t="shared" si="189"/>
        <v>332</v>
      </c>
    </row>
    <row r="342" spans="2:75" x14ac:dyDescent="0.3">
      <c r="B342" s="158">
        <f t="shared" si="163"/>
        <v>44242</v>
      </c>
      <c r="C342" s="61"/>
      <c r="D342" s="17">
        <v>52785</v>
      </c>
      <c r="E342" s="16"/>
      <c r="F342" s="16"/>
      <c r="G342" s="16"/>
      <c r="H342" s="16">
        <f t="shared" si="284"/>
        <v>28211818</v>
      </c>
      <c r="I342" s="16"/>
      <c r="J342" s="436">
        <f t="shared" si="285"/>
        <v>1.8745317000054653E-3</v>
      </c>
      <c r="K342" s="16"/>
      <c r="L342" s="16"/>
      <c r="M342" s="16"/>
      <c r="N342" s="16">
        <f t="shared" si="303"/>
        <v>600446</v>
      </c>
      <c r="O342" s="16">
        <f t="shared" si="286"/>
        <v>84720.174174174172</v>
      </c>
      <c r="P342" s="41"/>
      <c r="Q342" s="17">
        <f t="shared" si="304"/>
        <v>600446</v>
      </c>
      <c r="R342" s="16"/>
      <c r="S342" s="60">
        <f t="shared" si="305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7"/>
        <v>490944</v>
      </c>
      <c r="AB342" s="33"/>
      <c r="AC342" s="46">
        <f t="shared" si="288"/>
        <v>1.7402068877659709E-2</v>
      </c>
      <c r="AD342" s="33"/>
      <c r="AE342" s="33">
        <f t="shared" si="289"/>
        <v>1474.3063063063064</v>
      </c>
      <c r="AF342" s="50"/>
      <c r="AG342" s="33">
        <f t="shared" si="290"/>
        <v>17192</v>
      </c>
      <c r="AH342" s="33">
        <f t="shared" si="266"/>
        <v>1167465709.060914</v>
      </c>
      <c r="AI342" s="213">
        <f t="shared" si="291"/>
        <v>-0.15919205751454982</v>
      </c>
      <c r="AJ342" s="50"/>
      <c r="AK342" s="10"/>
      <c r="AL342" s="23">
        <f t="shared" si="292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93"/>
        <v>7.2615731270269657E-3</v>
      </c>
      <c r="AS342" s="25"/>
      <c r="AT342" s="25"/>
      <c r="AU342" s="24"/>
      <c r="AV342" s="298">
        <f t="shared" si="294"/>
        <v>0.65067146682996468</v>
      </c>
      <c r="AW342" s="298"/>
      <c r="AX342" s="24">
        <f t="shared" si="295"/>
        <v>55125</v>
      </c>
      <c r="AY342" s="308"/>
      <c r="AZ342" s="10"/>
      <c r="BA342" s="65">
        <f t="shared" si="296"/>
        <v>1354277</v>
      </c>
      <c r="BB342" s="66"/>
      <c r="BC342" s="66">
        <v>336467695</v>
      </c>
      <c r="BD342" s="66"/>
      <c r="BE342" s="66">
        <f t="shared" si="297"/>
        <v>52785</v>
      </c>
      <c r="BF342" s="66"/>
      <c r="BG342" s="144">
        <f t="shared" si="298"/>
        <v>3.8976516621045766E-2</v>
      </c>
      <c r="BH342" s="66"/>
      <c r="BI342" s="170"/>
      <c r="BJ342" s="66"/>
      <c r="BK342" s="66">
        <f t="shared" si="299"/>
        <v>10957401</v>
      </c>
      <c r="BL342" s="66"/>
      <c r="BM342" s="144">
        <f t="shared" si="300"/>
        <v>5.4798213554473361E-2</v>
      </c>
      <c r="BN342" s="65">
        <f t="shared" si="301"/>
        <v>1010413.4984984985</v>
      </c>
      <c r="BO342" s="66"/>
      <c r="BP342" s="66">
        <f t="shared" si="302"/>
        <v>27304840</v>
      </c>
      <c r="BQ342" s="66"/>
      <c r="BR342" s="435">
        <f t="shared" si="306"/>
        <v>8.1151446054873108E-2</v>
      </c>
      <c r="BS342" s="66"/>
      <c r="BT342" s="75"/>
      <c r="BU342" s="170"/>
      <c r="BV342" s="1"/>
      <c r="BW342" s="61">
        <f t="shared" si="189"/>
        <v>333</v>
      </c>
    </row>
    <row r="343" spans="2:75" x14ac:dyDescent="0.3">
      <c r="B343" s="158">
        <f t="shared" si="163"/>
        <v>44243</v>
      </c>
      <c r="C343" s="61"/>
      <c r="D343" s="17">
        <v>63398</v>
      </c>
      <c r="E343" s="16"/>
      <c r="F343" s="16"/>
      <c r="G343" s="16"/>
      <c r="H343" s="16">
        <f t="shared" si="284"/>
        <v>28275216</v>
      </c>
      <c r="I343" s="16"/>
      <c r="J343" s="436">
        <f t="shared" si="285"/>
        <v>2.2472142702749608E-3</v>
      </c>
      <c r="K343" s="16"/>
      <c r="L343" s="16"/>
      <c r="M343" s="16"/>
      <c r="N343" s="16">
        <f t="shared" si="303"/>
        <v>568302</v>
      </c>
      <c r="O343" s="16">
        <f t="shared" si="286"/>
        <v>84656.335329341324</v>
      </c>
      <c r="P343" s="41"/>
      <c r="Q343" s="17">
        <f t="shared" si="304"/>
        <v>568302</v>
      </c>
      <c r="R343" s="16"/>
      <c r="S343" s="60">
        <f t="shared" si="305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7"/>
        <v>492731</v>
      </c>
      <c r="AB343" s="33"/>
      <c r="AC343" s="46">
        <f t="shared" si="288"/>
        <v>1.7426250607599249E-2</v>
      </c>
      <c r="AD343" s="33"/>
      <c r="AE343" s="33">
        <f t="shared" si="289"/>
        <v>1475.2425149700598</v>
      </c>
      <c r="AF343" s="50"/>
      <c r="AG343" s="33">
        <f t="shared" si="290"/>
        <v>15714</v>
      </c>
      <c r="AH343" s="33">
        <f t="shared" si="266"/>
        <v>1167291149.060914</v>
      </c>
      <c r="AI343" s="213">
        <f t="shared" si="291"/>
        <v>-0.2144963759060235</v>
      </c>
      <c r="AJ343" s="50"/>
      <c r="AK343" s="10"/>
      <c r="AL343" s="23">
        <f t="shared" si="292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93"/>
        <v>6.6893015464444035E-3</v>
      </c>
      <c r="AS343" s="25"/>
      <c r="AT343" s="25"/>
      <c r="AU343" s="24"/>
      <c r="AV343" s="298">
        <f t="shared" si="294"/>
        <v>0.65355532562509866</v>
      </c>
      <c r="AW343" s="298"/>
      <c r="AX343" s="24">
        <f t="shared" si="295"/>
        <v>55327.598802395209</v>
      </c>
      <c r="AY343" s="308"/>
      <c r="AZ343" s="10"/>
      <c r="BA343" s="65">
        <f t="shared" si="296"/>
        <v>1198213</v>
      </c>
      <c r="BB343" s="66"/>
      <c r="BC343" s="66">
        <v>337665908</v>
      </c>
      <c r="BD343" s="66"/>
      <c r="BE343" s="66">
        <f t="shared" si="297"/>
        <v>63398</v>
      </c>
      <c r="BF343" s="66"/>
      <c r="BG343" s="144">
        <f t="shared" si="298"/>
        <v>5.2910459158763926E-2</v>
      </c>
      <c r="BH343" s="66"/>
      <c r="BI343" s="170"/>
      <c r="BJ343" s="66"/>
      <c r="BK343" s="66">
        <f t="shared" si="299"/>
        <v>10494114</v>
      </c>
      <c r="BL343" s="66"/>
      <c r="BM343" s="144">
        <f t="shared" si="300"/>
        <v>5.4154357385482951E-2</v>
      </c>
      <c r="BN343" s="65">
        <f t="shared" si="301"/>
        <v>1010975.7724550898</v>
      </c>
      <c r="BO343" s="66"/>
      <c r="BP343" s="66">
        <f t="shared" si="302"/>
        <v>27368238</v>
      </c>
      <c r="BQ343" s="66"/>
      <c r="BR343" s="435">
        <f t="shared" si="306"/>
        <v>8.1051232450745372E-2</v>
      </c>
      <c r="BS343" s="66"/>
      <c r="BT343" s="75"/>
      <c r="BU343" s="170"/>
      <c r="BV343" s="1"/>
      <c r="BW343" s="61">
        <f t="shared" si="189"/>
        <v>334</v>
      </c>
    </row>
    <row r="344" spans="2:75" x14ac:dyDescent="0.3">
      <c r="B344" s="158">
        <f t="shared" si="163"/>
        <v>44244</v>
      </c>
      <c r="C344" s="61"/>
      <c r="D344" s="17">
        <v>71640</v>
      </c>
      <c r="E344" s="16"/>
      <c r="F344" s="16"/>
      <c r="G344" s="16"/>
      <c r="H344" s="16">
        <f t="shared" si="284"/>
        <v>28346856</v>
      </c>
      <c r="I344" s="16"/>
      <c r="J344" s="436">
        <f t="shared" si="285"/>
        <v>2.5336676473134635E-3</v>
      </c>
      <c r="K344" s="16"/>
      <c r="L344" s="16"/>
      <c r="M344" s="16"/>
      <c r="N344" s="16">
        <f t="shared" si="303"/>
        <v>543136</v>
      </c>
      <c r="O344" s="16">
        <f t="shared" si="286"/>
        <v>84617.480597014932</v>
      </c>
      <c r="P344" s="41"/>
      <c r="Q344" s="17">
        <f t="shared" si="304"/>
        <v>543136</v>
      </c>
      <c r="R344" s="16"/>
      <c r="S344" s="60">
        <f t="shared" si="305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7"/>
        <v>495268</v>
      </c>
      <c r="AB344" s="33"/>
      <c r="AC344" s="46">
        <f t="shared" si="288"/>
        <v>1.7471708326313156E-2</v>
      </c>
      <c r="AD344" s="33"/>
      <c r="AE344" s="33">
        <f t="shared" si="289"/>
        <v>1478.4119402985075</v>
      </c>
      <c r="AF344" s="50"/>
      <c r="AG344" s="33">
        <f t="shared" si="290"/>
        <v>14819</v>
      </c>
      <c r="AH344" s="33">
        <f t="shared" si="266"/>
        <v>1167141821.060914</v>
      </c>
      <c r="AI344" s="213">
        <f t="shared" si="291"/>
        <v>-0.23762732791439448</v>
      </c>
      <c r="AJ344" s="50"/>
      <c r="AK344" s="10"/>
      <c r="AL344" s="23">
        <f t="shared" si="292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93"/>
        <v>6.3356432545657012E-3</v>
      </c>
      <c r="AS344" s="25"/>
      <c r="AT344" s="25"/>
      <c r="AU344" s="24"/>
      <c r="AV344" s="298">
        <f t="shared" si="294"/>
        <v>0.65603384728098246</v>
      </c>
      <c r="AW344" s="298"/>
      <c r="AX344" s="24">
        <f t="shared" si="295"/>
        <v>55511.931343283584</v>
      </c>
      <c r="AY344" s="308"/>
      <c r="AZ344" s="10"/>
      <c r="BA344" s="65">
        <f t="shared" si="296"/>
        <v>2594597</v>
      </c>
      <c r="BB344" s="66"/>
      <c r="BC344" s="66">
        <v>340260505</v>
      </c>
      <c r="BD344" s="66"/>
      <c r="BE344" s="66">
        <f t="shared" si="297"/>
        <v>71640</v>
      </c>
      <c r="BF344" s="66"/>
      <c r="BG344" s="144">
        <f t="shared" si="298"/>
        <v>2.7611224402094042E-2</v>
      </c>
      <c r="BH344" s="66"/>
      <c r="BI344" s="170"/>
      <c r="BJ344" s="66"/>
      <c r="BK344" s="66">
        <f t="shared" si="299"/>
        <v>11785259</v>
      </c>
      <c r="BL344" s="66"/>
      <c r="BM344" s="144">
        <f t="shared" si="300"/>
        <v>4.6086046984627149E-2</v>
      </c>
      <c r="BN344" s="65">
        <f t="shared" si="301"/>
        <v>1015703</v>
      </c>
      <c r="BO344" s="66"/>
      <c r="BP344" s="66">
        <f t="shared" si="302"/>
        <v>27439878</v>
      </c>
      <c r="BQ344" s="66"/>
      <c r="BR344" s="435">
        <f t="shared" si="306"/>
        <v>8.0643735011208542E-2</v>
      </c>
      <c r="BS344" s="66"/>
      <c r="BT344" s="75"/>
      <c r="BU344" s="170"/>
      <c r="BV344" s="1"/>
      <c r="BW344" s="61">
        <f t="shared" si="189"/>
        <v>335</v>
      </c>
    </row>
    <row r="345" spans="2:75" x14ac:dyDescent="0.3">
      <c r="B345" s="158">
        <f t="shared" si="163"/>
        <v>44245</v>
      </c>
      <c r="C345" s="61"/>
      <c r="D345" s="17">
        <v>68924</v>
      </c>
      <c r="E345" s="16"/>
      <c r="F345" s="16"/>
      <c r="G345" s="16"/>
      <c r="H345" s="16">
        <f t="shared" si="284"/>
        <v>28415780</v>
      </c>
      <c r="I345" s="16"/>
      <c r="J345" s="436">
        <f t="shared" si="285"/>
        <v>2.4314513045115126E-3</v>
      </c>
      <c r="K345" s="16"/>
      <c r="L345" s="16"/>
      <c r="M345" s="16"/>
      <c r="N345" s="16">
        <f t="shared" si="303"/>
        <v>507816</v>
      </c>
      <c r="O345" s="16">
        <f t="shared" si="286"/>
        <v>84570.773809523816</v>
      </c>
      <c r="P345" s="41"/>
      <c r="Q345" s="17">
        <f t="shared" si="304"/>
        <v>507816</v>
      </c>
      <c r="R345" s="16"/>
      <c r="S345" s="60">
        <f t="shared" si="305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7"/>
        <v>498029</v>
      </c>
      <c r="AB345" s="33"/>
      <c r="AC345" s="46">
        <f t="shared" si="288"/>
        <v>1.7526494081809472E-2</v>
      </c>
      <c r="AD345" s="33"/>
      <c r="AE345" s="33">
        <f t="shared" si="289"/>
        <v>1482.2291666666667</v>
      </c>
      <c r="AF345" s="50"/>
      <c r="AG345" s="33">
        <f t="shared" si="290"/>
        <v>14330</v>
      </c>
      <c r="AH345" s="33">
        <f t="shared" si="266"/>
        <v>1166967443.060914</v>
      </c>
      <c r="AI345" s="213">
        <f t="shared" si="291"/>
        <v>-0.25193150970975153</v>
      </c>
      <c r="AJ345" s="50"/>
      <c r="AK345" s="10"/>
      <c r="AL345" s="23">
        <f t="shared" si="292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93"/>
        <v>5.7496850078807855E-3</v>
      </c>
      <c r="AS345" s="25"/>
      <c r="AT345" s="25"/>
      <c r="AU345" s="24"/>
      <c r="AV345" s="298">
        <f t="shared" si="294"/>
        <v>0.65820544077973575</v>
      </c>
      <c r="AW345" s="298"/>
      <c r="AX345" s="24">
        <f t="shared" si="295"/>
        <v>55664.943452380954</v>
      </c>
      <c r="AY345" s="308"/>
      <c r="AZ345" s="10"/>
      <c r="BA345" s="65">
        <f t="shared" si="296"/>
        <v>1247344</v>
      </c>
      <c r="BB345" s="66"/>
      <c r="BC345" s="66">
        <v>341507849</v>
      </c>
      <c r="BD345" s="66"/>
      <c r="BE345" s="66">
        <f t="shared" si="297"/>
        <v>68924</v>
      </c>
      <c r="BF345" s="66"/>
      <c r="BG345" s="144">
        <f t="shared" si="298"/>
        <v>5.5256609243320209E-2</v>
      </c>
      <c r="BH345" s="66"/>
      <c r="BI345" s="170"/>
      <c r="BJ345" s="66"/>
      <c r="BK345" s="66">
        <f t="shared" si="299"/>
        <v>11282603</v>
      </c>
      <c r="BL345" s="66"/>
      <c r="BM345" s="144">
        <f t="shared" si="300"/>
        <v>4.500876260557958E-2</v>
      </c>
      <c r="BN345" s="65">
        <f t="shared" si="301"/>
        <v>1016392.4077380953</v>
      </c>
      <c r="BO345" s="66"/>
      <c r="BP345" s="66">
        <f t="shared" si="302"/>
        <v>27508802</v>
      </c>
      <c r="BQ345" s="66"/>
      <c r="BR345" s="435">
        <f t="shared" si="306"/>
        <v>8.0551009531848267E-2</v>
      </c>
      <c r="BS345" s="66"/>
      <c r="BT345" s="75"/>
      <c r="BU345" s="170"/>
      <c r="BV345" s="1"/>
      <c r="BW345" s="61">
        <f t="shared" si="189"/>
        <v>336</v>
      </c>
    </row>
    <row r="346" spans="2:75" x14ac:dyDescent="0.3">
      <c r="B346" s="158">
        <f t="shared" si="163"/>
        <v>44246</v>
      </c>
      <c r="C346" s="61"/>
      <c r="D346" s="17">
        <v>85539</v>
      </c>
      <c r="E346" s="16"/>
      <c r="F346" s="16"/>
      <c r="G346" s="16"/>
      <c r="H346" s="16">
        <f t="shared" si="284"/>
        <v>28501319</v>
      </c>
      <c r="I346" s="16"/>
      <c r="J346" s="436">
        <f t="shared" si="285"/>
        <v>3.0102640152760191E-3</v>
      </c>
      <c r="K346" s="16"/>
      <c r="L346" s="16"/>
      <c r="M346" s="16"/>
      <c r="N346" s="16">
        <f t="shared" si="303"/>
        <v>493067</v>
      </c>
      <c r="O346" s="16">
        <f t="shared" si="286"/>
        <v>84573.646884272996</v>
      </c>
      <c r="P346" s="41"/>
      <c r="Q346" s="17">
        <f t="shared" si="304"/>
        <v>493067</v>
      </c>
      <c r="R346" s="16"/>
      <c r="S346" s="60">
        <f t="shared" si="305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7"/>
        <v>500674</v>
      </c>
      <c r="AB346" s="33"/>
      <c r="AC346" s="46">
        <f t="shared" si="288"/>
        <v>1.7566695772921949E-2</v>
      </c>
      <c r="AD346" s="33"/>
      <c r="AE346" s="33">
        <f t="shared" si="289"/>
        <v>1485.679525222552</v>
      </c>
      <c r="AF346" s="50"/>
      <c r="AG346" s="33">
        <f t="shared" si="290"/>
        <v>14067</v>
      </c>
      <c r="AH346" s="33">
        <f t="shared" si="266"/>
        <v>1166777362.060914</v>
      </c>
      <c r="AI346" s="213">
        <f t="shared" si="291"/>
        <v>-0.23929266709928618</v>
      </c>
      <c r="AJ346" s="50"/>
      <c r="AK346" s="10"/>
      <c r="AL346" s="23">
        <f t="shared" si="292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93"/>
        <v>4.5446231467494635E-3</v>
      </c>
      <c r="AS346" s="25"/>
      <c r="AT346" s="25"/>
      <c r="AU346" s="24"/>
      <c r="AV346" s="298">
        <f t="shared" si="294"/>
        <v>0.65921233329587303</v>
      </c>
      <c r="AW346" s="298"/>
      <c r="AX346" s="24">
        <f t="shared" si="295"/>
        <v>55751.991097922852</v>
      </c>
      <c r="AY346" s="308"/>
      <c r="AZ346" s="10"/>
      <c r="BA346" s="65">
        <f t="shared" si="296"/>
        <v>2560000</v>
      </c>
      <c r="BB346" s="66"/>
      <c r="BC346" s="66">
        <f>341507849+2560000</f>
        <v>344067849</v>
      </c>
      <c r="BD346" s="66"/>
      <c r="BE346" s="66">
        <f t="shared" si="297"/>
        <v>85539</v>
      </c>
      <c r="BF346" s="66"/>
      <c r="BG346" s="144">
        <f t="shared" si="298"/>
        <v>3.3413671875000002E-2</v>
      </c>
      <c r="BH346" s="66"/>
      <c r="BI346" s="170"/>
      <c r="BJ346" s="66"/>
      <c r="BK346" s="66">
        <f t="shared" si="299"/>
        <v>11937927</v>
      </c>
      <c r="BL346" s="66"/>
      <c r="BM346" s="144">
        <f t="shared" si="300"/>
        <v>4.1302564507221397E-2</v>
      </c>
      <c r="BN346" s="65">
        <f t="shared" si="301"/>
        <v>1020972.8456973294</v>
      </c>
      <c r="BO346" s="66"/>
      <c r="BP346" s="66">
        <f t="shared" si="302"/>
        <v>27594341</v>
      </c>
      <c r="BQ346" s="66"/>
      <c r="BR346" s="435">
        <f t="shared" si="306"/>
        <v>8.0200289216793397E-2</v>
      </c>
      <c r="BS346" s="66"/>
      <c r="BT346" s="75"/>
      <c r="BU346" s="170"/>
      <c r="BV346" s="1"/>
      <c r="BW346" s="61">
        <f t="shared" si="189"/>
        <v>337</v>
      </c>
    </row>
    <row r="347" spans="2:75" x14ac:dyDescent="0.3">
      <c r="B347" s="158">
        <f t="shared" si="163"/>
        <v>44247</v>
      </c>
      <c r="C347" s="61"/>
      <c r="D347" s="17">
        <v>69617</v>
      </c>
      <c r="E347" s="16"/>
      <c r="F347" s="16"/>
      <c r="G347" s="16"/>
      <c r="H347" s="16">
        <f t="shared" si="284"/>
        <v>28570936</v>
      </c>
      <c r="I347" s="16"/>
      <c r="J347" s="436">
        <f t="shared" si="285"/>
        <v>2.4425887096663841E-3</v>
      </c>
      <c r="K347" s="16"/>
      <c r="L347" s="16"/>
      <c r="M347" s="16"/>
      <c r="N347" s="16">
        <f t="shared" si="303"/>
        <v>476200</v>
      </c>
      <c r="O347" s="16">
        <f t="shared" si="286"/>
        <v>84529.396449704145</v>
      </c>
      <c r="P347" s="41"/>
      <c r="Q347" s="17">
        <f t="shared" si="304"/>
        <v>476200</v>
      </c>
      <c r="R347" s="16"/>
      <c r="S347" s="60">
        <f t="shared" si="305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7"/>
        <v>502581</v>
      </c>
      <c r="AB347" s="33"/>
      <c r="AC347" s="46">
        <f t="shared" si="288"/>
        <v>1.7590638262603646E-2</v>
      </c>
      <c r="AD347" s="33"/>
      <c r="AE347" s="33">
        <f t="shared" si="289"/>
        <v>1486.9260355029585</v>
      </c>
      <c r="AF347" s="50"/>
      <c r="AG347" s="33">
        <f t="shared" si="290"/>
        <v>13702</v>
      </c>
      <c r="AH347" s="33">
        <f t="shared" si="266"/>
        <v>1166583604.060914</v>
      </c>
      <c r="AI347" s="213">
        <f t="shared" si="291"/>
        <v>-0.24021293113008763</v>
      </c>
      <c r="AJ347" s="50"/>
      <c r="AK347" s="10"/>
      <c r="AL347" s="23">
        <f t="shared" si="292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93"/>
        <v>5.8999635999214626E-3</v>
      </c>
      <c r="AS347" s="25"/>
      <c r="AT347" s="25"/>
      <c r="AU347" s="24"/>
      <c r="AV347" s="298">
        <f t="shared" si="294"/>
        <v>0.66148592401733008</v>
      </c>
      <c r="AW347" s="298"/>
      <c r="AX347" s="24">
        <f t="shared" si="295"/>
        <v>55915.00591715976</v>
      </c>
      <c r="AY347" s="308"/>
      <c r="AZ347" s="10"/>
      <c r="BA347" s="65">
        <f t="shared" si="296"/>
        <v>2883916</v>
      </c>
      <c r="BB347" s="66"/>
      <c r="BC347" s="66">
        <v>346951765</v>
      </c>
      <c r="BD347" s="66"/>
      <c r="BE347" s="66">
        <f t="shared" si="297"/>
        <v>69617</v>
      </c>
      <c r="BF347" s="66"/>
      <c r="BG347" s="144">
        <f t="shared" si="298"/>
        <v>2.4139746095239945E-2</v>
      </c>
      <c r="BH347" s="66"/>
      <c r="BI347" s="170"/>
      <c r="BJ347" s="66"/>
      <c r="BK347" s="66">
        <f t="shared" si="299"/>
        <v>13123407</v>
      </c>
      <c r="BL347" s="66"/>
      <c r="BM347" s="144">
        <f t="shared" si="300"/>
        <v>3.6286308883051482E-2</v>
      </c>
      <c r="BN347" s="65">
        <f t="shared" si="301"/>
        <v>1026484.5118343196</v>
      </c>
      <c r="BO347" s="66"/>
      <c r="BP347" s="66">
        <f t="shared" si="302"/>
        <v>27663958</v>
      </c>
      <c r="BQ347" s="66"/>
      <c r="BR347" s="435">
        <f t="shared" si="306"/>
        <v>7.973430543003579E-2</v>
      </c>
      <c r="BS347" s="66"/>
      <c r="BT347" s="75"/>
      <c r="BU347" s="170"/>
      <c r="BV347" s="1"/>
      <c r="BW347" s="61">
        <f t="shared" si="189"/>
        <v>338</v>
      </c>
    </row>
    <row r="348" spans="2:75" x14ac:dyDescent="0.3">
      <c r="B348" s="347">
        <f t="shared" si="163"/>
        <v>44248</v>
      </c>
      <c r="C348" s="61"/>
      <c r="D348" s="17">
        <v>57225</v>
      </c>
      <c r="E348" s="16"/>
      <c r="F348" s="16"/>
      <c r="G348" s="16"/>
      <c r="H348" s="16">
        <f t="shared" si="284"/>
        <v>28628161</v>
      </c>
      <c r="I348" s="16"/>
      <c r="J348" s="436">
        <f t="shared" si="285"/>
        <v>2.0029095301603E-3</v>
      </c>
      <c r="K348" s="16"/>
      <c r="L348" s="16"/>
      <c r="M348" s="16"/>
      <c r="N348" s="16">
        <f t="shared" si="303"/>
        <v>469128</v>
      </c>
      <c r="O348" s="16">
        <f t="shared" si="286"/>
        <v>84448.852507374628</v>
      </c>
      <c r="P348" s="41"/>
      <c r="Q348" s="17">
        <f t="shared" si="304"/>
        <v>469128</v>
      </c>
      <c r="R348" s="16"/>
      <c r="S348" s="60">
        <f t="shared" si="305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7"/>
        <v>503828</v>
      </c>
      <c r="AB348" s="33"/>
      <c r="AC348" s="46">
        <f t="shared" si="288"/>
        <v>1.7599034740652744E-2</v>
      </c>
      <c r="AD348" s="33"/>
      <c r="AE348" s="33">
        <f t="shared" si="289"/>
        <v>1486.2182890855456</v>
      </c>
      <c r="AF348" s="50"/>
      <c r="AG348" s="33">
        <f t="shared" si="290"/>
        <v>13838</v>
      </c>
      <c r="AH348" s="33">
        <f t="shared" si="266"/>
        <v>1166391539.060914</v>
      </c>
      <c r="AI348" s="213">
        <f t="shared" si="291"/>
        <v>-0.22389231632080764</v>
      </c>
      <c r="AJ348" s="50"/>
      <c r="AK348" s="10"/>
      <c r="AL348" s="23">
        <f t="shared" si="292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93"/>
        <v>3.9111559429379078E-3</v>
      </c>
      <c r="AS348" s="25"/>
      <c r="AT348" s="25"/>
      <c r="AU348" s="24"/>
      <c r="AV348" s="298">
        <f t="shared" si="294"/>
        <v>0.66274567898371117</v>
      </c>
      <c r="AW348" s="298"/>
      <c r="AX348" s="24">
        <f t="shared" si="295"/>
        <v>55968.112094395277</v>
      </c>
      <c r="AY348" s="308"/>
      <c r="AZ348" s="10"/>
      <c r="BA348" s="65">
        <f t="shared" si="296"/>
        <v>1144436</v>
      </c>
      <c r="BB348" s="66"/>
      <c r="BC348" s="66">
        <v>348096201</v>
      </c>
      <c r="BD348" s="66"/>
      <c r="BE348" s="66">
        <f t="shared" si="297"/>
        <v>57225</v>
      </c>
      <c r="BF348" s="66"/>
      <c r="BG348" s="144">
        <f t="shared" si="298"/>
        <v>5.0002796137136547E-2</v>
      </c>
      <c r="BH348" s="66"/>
      <c r="BI348" s="170"/>
      <c r="BJ348" s="66"/>
      <c r="BK348" s="66">
        <f t="shared" si="299"/>
        <v>12982783</v>
      </c>
      <c r="BL348" s="66"/>
      <c r="BM348" s="144">
        <f t="shared" si="300"/>
        <v>3.6134625372695517E-2</v>
      </c>
      <c r="BN348" s="65">
        <f t="shared" si="301"/>
        <v>1026832.4513274336</v>
      </c>
      <c r="BO348" s="66"/>
      <c r="BP348" s="66">
        <f t="shared" si="302"/>
        <v>27721183</v>
      </c>
      <c r="BQ348" s="66"/>
      <c r="BR348" s="435">
        <f t="shared" si="306"/>
        <v>7.9636557136686478E-2</v>
      </c>
      <c r="BS348" s="66"/>
      <c r="BT348" s="75"/>
      <c r="BU348" s="170"/>
      <c r="BV348" s="1"/>
      <c r="BW348" s="61">
        <f t="shared" si="189"/>
        <v>339</v>
      </c>
    </row>
    <row r="349" spans="2:75" x14ac:dyDescent="0.3">
      <c r="B349" s="158">
        <f t="shared" si="163"/>
        <v>44249</v>
      </c>
      <c r="C349" s="61"/>
      <c r="D349" s="17">
        <v>71054</v>
      </c>
      <c r="E349" s="16"/>
      <c r="F349" s="16"/>
      <c r="G349" s="16"/>
      <c r="H349" s="16">
        <f t="shared" si="284"/>
        <v>28699215</v>
      </c>
      <c r="I349" s="16"/>
      <c r="J349" s="436">
        <f t="shared" si="285"/>
        <v>2.4819617299204097E-3</v>
      </c>
      <c r="K349" s="16"/>
      <c r="L349" s="16"/>
      <c r="M349" s="16"/>
      <c r="N349" s="16">
        <f t="shared" si="303"/>
        <v>487397</v>
      </c>
      <c r="O349" s="16">
        <f t="shared" si="286"/>
        <v>84409.455882352937</v>
      </c>
      <c r="P349" s="41"/>
      <c r="Q349" s="17">
        <f t="shared" si="304"/>
        <v>487397</v>
      </c>
      <c r="R349" s="16"/>
      <c r="S349" s="60">
        <f t="shared" si="305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7"/>
        <v>506232</v>
      </c>
      <c r="AB349" s="33"/>
      <c r="AC349" s="46">
        <f t="shared" si="288"/>
        <v>1.7639228111291545E-2</v>
      </c>
      <c r="AD349" s="33"/>
      <c r="AE349" s="33">
        <f t="shared" si="289"/>
        <v>1488.9176470588236</v>
      </c>
      <c r="AF349" s="50"/>
      <c r="AG349" s="33">
        <f t="shared" si="290"/>
        <v>15288</v>
      </c>
      <c r="AH349" s="33">
        <f t="shared" si="266"/>
        <v>1166218472.060914</v>
      </c>
      <c r="AI349" s="213">
        <f t="shared" si="291"/>
        <v>-0.11074918566775244</v>
      </c>
      <c r="AJ349" s="50"/>
      <c r="AK349" s="10"/>
      <c r="AL349" s="23">
        <f t="shared" si="292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93"/>
        <v>1.2613956851747123E-2</v>
      </c>
      <c r="AS349" s="25"/>
      <c r="AT349" s="25"/>
      <c r="AU349" s="24"/>
      <c r="AV349" s="298">
        <f t="shared" si="294"/>
        <v>0.66944399001854227</v>
      </c>
      <c r="AW349" s="298"/>
      <c r="AX349" s="24">
        <f t="shared" si="295"/>
        <v>56507.402941176471</v>
      </c>
      <c r="AY349" s="308"/>
      <c r="AZ349" s="10"/>
      <c r="BA349" s="65">
        <f t="shared" si="296"/>
        <v>2957478</v>
      </c>
      <c r="BB349" s="66"/>
      <c r="BC349" s="66">
        <v>351053679</v>
      </c>
      <c r="BD349" s="66"/>
      <c r="BE349" s="66">
        <f t="shared" si="297"/>
        <v>71054</v>
      </c>
      <c r="BF349" s="66"/>
      <c r="BG349" s="144">
        <f t="shared" si="298"/>
        <v>2.4025199849331085E-2</v>
      </c>
      <c r="BH349" s="66"/>
      <c r="BI349" s="170"/>
      <c r="BJ349" s="66"/>
      <c r="BK349" s="66">
        <f t="shared" si="299"/>
        <v>14585984</v>
      </c>
      <c r="BL349" s="66"/>
      <c r="BM349" s="144">
        <f t="shared" si="300"/>
        <v>3.3415434981966252E-2</v>
      </c>
      <c r="BN349" s="65">
        <f t="shared" si="301"/>
        <v>1032510.8205882353</v>
      </c>
      <c r="BO349" s="66"/>
      <c r="BP349" s="66">
        <f t="shared" si="302"/>
        <v>27792237</v>
      </c>
      <c r="BQ349" s="66"/>
      <c r="BR349" s="435">
        <f t="shared" si="306"/>
        <v>7.9168055093933376E-2</v>
      </c>
      <c r="BS349" s="66"/>
      <c r="BT349" s="75"/>
      <c r="BU349" s="170"/>
      <c r="BV349" s="1"/>
      <c r="BW349" s="61">
        <f t="shared" si="189"/>
        <v>340</v>
      </c>
    </row>
    <row r="350" spans="2:75" x14ac:dyDescent="0.3">
      <c r="B350" s="158">
        <f t="shared" si="163"/>
        <v>44250</v>
      </c>
      <c r="C350" s="61"/>
      <c r="D350" s="17">
        <v>73704</v>
      </c>
      <c r="E350" s="16"/>
      <c r="F350" s="16"/>
      <c r="G350" s="16"/>
      <c r="H350" s="16">
        <f t="shared" si="284"/>
        <v>28772919</v>
      </c>
      <c r="I350" s="16"/>
      <c r="J350" s="436">
        <f t="shared" si="285"/>
        <v>2.5681538676232086E-3</v>
      </c>
      <c r="K350" s="16"/>
      <c r="L350" s="16"/>
      <c r="M350" s="16"/>
      <c r="N350" s="16">
        <f t="shared" si="303"/>
        <v>497703</v>
      </c>
      <c r="O350" s="16">
        <f t="shared" si="286"/>
        <v>84378.061583577713</v>
      </c>
      <c r="P350" s="41"/>
      <c r="Q350" s="17">
        <f t="shared" si="304"/>
        <v>497703</v>
      </c>
      <c r="R350" s="16"/>
      <c r="S350" s="60">
        <f t="shared" si="305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7"/>
        <v>508675</v>
      </c>
      <c r="AB350" s="33"/>
      <c r="AC350" s="46">
        <f t="shared" si="288"/>
        <v>1.7678950126679884E-2</v>
      </c>
      <c r="AD350" s="33"/>
      <c r="AE350" s="33">
        <f t="shared" si="289"/>
        <v>1491.7155425219942</v>
      </c>
      <c r="AF350" s="50"/>
      <c r="AG350" s="33">
        <f t="shared" si="290"/>
        <v>15944</v>
      </c>
      <c r="AH350" s="33">
        <f t="shared" si="266"/>
        <v>1166083290.060914</v>
      </c>
      <c r="AI350" s="213">
        <f t="shared" si="291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93"/>
        <v>3.9037050689402124E-3</v>
      </c>
      <c r="AS350" s="25"/>
      <c r="AT350" s="25"/>
      <c r="AU350" s="24"/>
      <c r="AV350" s="298">
        <f t="shared" si="294"/>
        <v>0.66772915879685335</v>
      </c>
      <c r="AW350" s="298"/>
      <c r="AX350" s="24">
        <f t="shared" si="295"/>
        <v>56341.69208211144</v>
      </c>
      <c r="AY350" s="308"/>
      <c r="AZ350" s="111" t="s">
        <v>26</v>
      </c>
      <c r="BA350" s="65">
        <f t="shared" si="296"/>
        <v>696321</v>
      </c>
      <c r="BB350" s="66"/>
      <c r="BC350" s="66">
        <v>351750000</v>
      </c>
      <c r="BD350" s="66"/>
      <c r="BE350" s="66">
        <f t="shared" si="297"/>
        <v>73704</v>
      </c>
      <c r="BF350" s="66"/>
      <c r="BG350" s="144">
        <f t="shared" si="298"/>
        <v>0.1058477340192239</v>
      </c>
      <c r="BH350" s="66"/>
      <c r="BI350" s="170"/>
      <c r="BJ350" s="66"/>
      <c r="BK350" s="66">
        <f t="shared" si="299"/>
        <v>14084092</v>
      </c>
      <c r="BL350" s="66"/>
      <c r="BM350" s="144">
        <f t="shared" si="300"/>
        <v>3.5337954338838455E-2</v>
      </c>
      <c r="BN350" s="65">
        <f t="shared" si="301"/>
        <v>1031524.926686217</v>
      </c>
      <c r="BO350" s="66"/>
      <c r="BP350" s="66">
        <f t="shared" si="302"/>
        <v>27865941</v>
      </c>
      <c r="BQ350" s="66"/>
      <c r="BR350" s="435">
        <f t="shared" si="306"/>
        <v>7.9220869936034111E-2</v>
      </c>
      <c r="BS350" s="66"/>
      <c r="BT350" s="75"/>
      <c r="BU350" s="170"/>
      <c r="BV350" s="1"/>
      <c r="BW350" s="61">
        <f t="shared" si="189"/>
        <v>341</v>
      </c>
    </row>
    <row r="351" spans="2:75" x14ac:dyDescent="0.3">
      <c r="B351" s="158">
        <f t="shared" si="163"/>
        <v>44251</v>
      </c>
      <c r="C351" s="61"/>
      <c r="D351" s="17">
        <v>75299</v>
      </c>
      <c r="E351" s="16"/>
      <c r="F351" s="16"/>
      <c r="G351" s="16"/>
      <c r="H351" s="16">
        <f t="shared" si="284"/>
        <v>28848218</v>
      </c>
      <c r="I351" s="16"/>
      <c r="J351" s="436">
        <f t="shared" si="285"/>
        <v>2.6170094177792665E-3</v>
      </c>
      <c r="K351" s="16"/>
      <c r="L351" s="16"/>
      <c r="M351" s="16"/>
      <c r="N351" s="16">
        <f t="shared" si="303"/>
        <v>501362</v>
      </c>
      <c r="O351" s="16">
        <f t="shared" si="286"/>
        <v>84351.514619883048</v>
      </c>
      <c r="P351" s="41"/>
      <c r="Q351" s="17">
        <f t="shared" si="304"/>
        <v>501362</v>
      </c>
      <c r="R351" s="16"/>
      <c r="S351" s="60">
        <f t="shared" si="305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7"/>
        <v>511200</v>
      </c>
      <c r="AB351" s="33"/>
      <c r="AC351" s="46">
        <f t="shared" si="288"/>
        <v>1.772033198029771E-2</v>
      </c>
      <c r="AD351" s="33"/>
      <c r="AE351" s="33">
        <f t="shared" si="289"/>
        <v>1494.7368421052631</v>
      </c>
      <c r="AF351" s="50"/>
      <c r="AG351" s="33">
        <f t="shared" si="290"/>
        <v>15932</v>
      </c>
      <c r="AH351" s="33">
        <f t="shared" si="266"/>
        <v>1165931046.060914</v>
      </c>
      <c r="AI351" s="213">
        <f t="shared" si="291"/>
        <v>7.510628247520075E-2</v>
      </c>
      <c r="AJ351" s="50"/>
      <c r="AK351" s="111"/>
      <c r="AL351" s="23">
        <f t="shared" ref="AL351:AL383" si="307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93"/>
        <v>6.6525380302851524E-3</v>
      </c>
      <c r="AS351" s="25"/>
      <c r="AT351" s="25"/>
      <c r="AU351" s="24"/>
      <c r="AV351" s="298">
        <f t="shared" si="294"/>
        <v>0.67041676543071049</v>
      </c>
      <c r="AW351" s="298"/>
      <c r="AX351" s="24">
        <f t="shared" si="295"/>
        <v>56550.669590643272</v>
      </c>
      <c r="AY351" s="308"/>
      <c r="AZ351" s="111"/>
      <c r="BA351" s="65">
        <f t="shared" si="296"/>
        <v>782421</v>
      </c>
      <c r="BB351" s="66"/>
      <c r="BC351" s="66">
        <v>352532421</v>
      </c>
      <c r="BD351" s="66"/>
      <c r="BE351" s="66">
        <f t="shared" si="297"/>
        <v>75299</v>
      </c>
      <c r="BF351" s="66"/>
      <c r="BG351" s="144">
        <f t="shared" si="298"/>
        <v>9.623847008196354E-2</v>
      </c>
      <c r="BH351" s="66"/>
      <c r="BI351" s="170"/>
      <c r="BJ351" s="66"/>
      <c r="BK351" s="66">
        <f t="shared" si="299"/>
        <v>12271916</v>
      </c>
      <c r="BL351" s="66"/>
      <c r="BM351" s="144">
        <f t="shared" si="300"/>
        <v>4.0854419146936792E-2</v>
      </c>
      <c r="BN351" s="65">
        <f t="shared" si="301"/>
        <v>1030796.552631579</v>
      </c>
      <c r="BO351" s="66"/>
      <c r="BP351" s="66">
        <f t="shared" si="302"/>
        <v>27941240</v>
      </c>
      <c r="BQ351" s="66"/>
      <c r="BR351" s="435">
        <f t="shared" si="306"/>
        <v>7.9258639306822795E-2</v>
      </c>
      <c r="BS351" s="66"/>
      <c r="BT351" s="75"/>
      <c r="BU351" s="170"/>
      <c r="BV351" s="1"/>
      <c r="BW351" s="61">
        <f t="shared" si="189"/>
        <v>342</v>
      </c>
    </row>
    <row r="352" spans="2:75" x14ac:dyDescent="0.3">
      <c r="B352" s="158">
        <f t="shared" si="163"/>
        <v>44252</v>
      </c>
      <c r="C352" s="61"/>
      <c r="D352" s="17">
        <v>77377</v>
      </c>
      <c r="E352" s="16"/>
      <c r="F352" s="16"/>
      <c r="G352" s="16"/>
      <c r="H352" s="16">
        <f t="shared" si="284"/>
        <v>28925595</v>
      </c>
      <c r="I352" s="16"/>
      <c r="J352" s="436">
        <f t="shared" si="285"/>
        <v>2.682210734819045E-3</v>
      </c>
      <c r="K352" s="16"/>
      <c r="L352" s="16"/>
      <c r="M352" s="16"/>
      <c r="N352" s="16">
        <f t="shared" si="303"/>
        <v>509815</v>
      </c>
      <c r="O352" s="16">
        <f t="shared" si="286"/>
        <v>84331.180758017494</v>
      </c>
      <c r="P352" s="41"/>
      <c r="Q352" s="17">
        <f t="shared" si="304"/>
        <v>509815</v>
      </c>
      <c r="R352" s="16"/>
      <c r="S352" s="60">
        <f t="shared" si="305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7"/>
        <v>513614</v>
      </c>
      <c r="AB352" s="33"/>
      <c r="AC352" s="46">
        <f t="shared" si="288"/>
        <v>1.7756384959410516E-2</v>
      </c>
      <c r="AD352" s="33"/>
      <c r="AE352" s="33">
        <f t="shared" si="289"/>
        <v>1497.4169096209912</v>
      </c>
      <c r="AF352" s="50"/>
      <c r="AG352" s="33">
        <f t="shared" si="290"/>
        <v>15585</v>
      </c>
      <c r="AH352" s="33">
        <f t="shared" si="266"/>
        <v>1165779319.060914</v>
      </c>
      <c r="AI352" s="213">
        <f t="shared" si="291"/>
        <v>8.7578506629448716E-2</v>
      </c>
      <c r="AJ352" s="50"/>
      <c r="AK352" s="111"/>
      <c r="AL352" s="23">
        <f t="shared" si="307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93"/>
        <v>4.9184271891134839E-3</v>
      </c>
      <c r="AS352" s="25"/>
      <c r="AT352" s="25"/>
      <c r="AU352" s="24"/>
      <c r="AV352" s="298">
        <f t="shared" si="294"/>
        <v>0.67191195202726162</v>
      </c>
      <c r="AW352" s="298"/>
      <c r="AX352" s="24">
        <f t="shared" si="295"/>
        <v>56663.128279883385</v>
      </c>
      <c r="AY352" s="308"/>
      <c r="AZ352" s="111"/>
      <c r="BA352" s="65">
        <f t="shared" si="296"/>
        <v>1805732</v>
      </c>
      <c r="BB352" s="66"/>
      <c r="BC352" s="66">
        <v>354338153</v>
      </c>
      <c r="BD352" s="66"/>
      <c r="BE352" s="66">
        <f t="shared" si="297"/>
        <v>77377</v>
      </c>
      <c r="BF352" s="66"/>
      <c r="BG352" s="144">
        <f t="shared" si="298"/>
        <v>4.2850766337418841E-2</v>
      </c>
      <c r="BH352" s="66"/>
      <c r="BI352" s="170"/>
      <c r="BJ352" s="66"/>
      <c r="BK352" s="66">
        <f t="shared" si="299"/>
        <v>12830304</v>
      </c>
      <c r="BL352" s="66"/>
      <c r="BM352" s="144">
        <f t="shared" si="300"/>
        <v>3.9735223732812568E-2</v>
      </c>
      <c r="BN352" s="65">
        <f t="shared" si="301"/>
        <v>1033055.8396501457</v>
      </c>
      <c r="BO352" s="66"/>
      <c r="BP352" s="66">
        <f t="shared" si="302"/>
        <v>28018617</v>
      </c>
      <c r="BQ352" s="66"/>
      <c r="BR352" s="435">
        <f t="shared" si="306"/>
        <v>7.9073102240841672E-2</v>
      </c>
      <c r="BS352" s="66"/>
      <c r="BT352" s="75"/>
      <c r="BU352" s="170"/>
      <c r="BV352" s="1"/>
      <c r="BW352" s="61">
        <f t="shared" si="189"/>
        <v>343</v>
      </c>
    </row>
    <row r="353" spans="2:75" x14ac:dyDescent="0.3">
      <c r="B353" s="158">
        <f t="shared" si="163"/>
        <v>44253</v>
      </c>
      <c r="C353" s="61"/>
      <c r="D353" s="17">
        <v>80625</v>
      </c>
      <c r="E353" s="16"/>
      <c r="F353" s="16"/>
      <c r="G353" s="16"/>
      <c r="H353" s="16">
        <f t="shared" si="284"/>
        <v>29006220</v>
      </c>
      <c r="I353" s="16"/>
      <c r="J353" s="436">
        <f t="shared" si="285"/>
        <v>2.787323821688024E-3</v>
      </c>
      <c r="K353" s="16"/>
      <c r="L353" s="16"/>
      <c r="M353" s="16"/>
      <c r="N353" s="16">
        <f t="shared" si="303"/>
        <v>504901</v>
      </c>
      <c r="O353" s="16">
        <f t="shared" si="286"/>
        <v>84320.406976744183</v>
      </c>
      <c r="P353" s="41"/>
      <c r="Q353" s="17">
        <f t="shared" si="304"/>
        <v>504901</v>
      </c>
      <c r="R353" s="16"/>
      <c r="S353" s="60">
        <f t="shared" si="305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7"/>
        <v>515860</v>
      </c>
      <c r="AB353" s="33"/>
      <c r="AC353" s="46">
        <f t="shared" si="288"/>
        <v>1.7784461401726941E-2</v>
      </c>
      <c r="AD353" s="33"/>
      <c r="AE353" s="33">
        <f t="shared" si="289"/>
        <v>1499.5930232558139</v>
      </c>
      <c r="AF353" s="50"/>
      <c r="AG353" s="33">
        <f t="shared" si="290"/>
        <v>15186</v>
      </c>
      <c r="AH353" s="33">
        <f t="shared" si="266"/>
        <v>1165619288.060914</v>
      </c>
      <c r="AI353" s="213">
        <f t="shared" si="291"/>
        <v>7.9547878012369372E-2</v>
      </c>
      <c r="AJ353" s="50"/>
      <c r="AK353" s="111"/>
      <c r="AL353" s="23">
        <f t="shared" si="307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93"/>
        <v>5.0739748643882912E-3</v>
      </c>
      <c r="AS353" s="25"/>
      <c r="AT353" s="25"/>
      <c r="AU353" s="24"/>
      <c r="AV353" s="298">
        <f t="shared" si="294"/>
        <v>0.67344410957373968</v>
      </c>
      <c r="AW353" s="298"/>
      <c r="AX353" s="24">
        <f t="shared" si="295"/>
        <v>56785.08139534884</v>
      </c>
      <c r="AY353" s="308"/>
      <c r="AZ353" s="111"/>
      <c r="BA353" s="65">
        <f t="shared" si="296"/>
        <v>1743779</v>
      </c>
      <c r="BB353" s="66"/>
      <c r="BC353" s="66">
        <v>356081932</v>
      </c>
      <c r="BD353" s="66"/>
      <c r="BE353" s="66">
        <f t="shared" si="297"/>
        <v>80625</v>
      </c>
      <c r="BF353" s="66"/>
      <c r="BG353" s="144">
        <f t="shared" si="298"/>
        <v>4.623579020047839E-2</v>
      </c>
      <c r="BH353" s="66"/>
      <c r="BI353" s="170"/>
      <c r="BJ353" s="66"/>
      <c r="BK353" s="66">
        <f t="shared" si="299"/>
        <v>12014083</v>
      </c>
      <c r="BL353" s="66"/>
      <c r="BM353" s="144">
        <f t="shared" si="300"/>
        <v>4.2025762598776786E-2</v>
      </c>
      <c r="BN353" s="65">
        <f t="shared" si="301"/>
        <v>1035121.8953488372</v>
      </c>
      <c r="BO353" s="66"/>
      <c r="BP353" s="66">
        <f t="shared" si="302"/>
        <v>28099242</v>
      </c>
      <c r="BQ353" s="66"/>
      <c r="BR353" s="435">
        <f t="shared" si="306"/>
        <v>7.8912293702113473E-2</v>
      </c>
      <c r="BS353" s="66"/>
      <c r="BT353" s="75"/>
      <c r="BU353" s="170"/>
      <c r="BV353" s="1"/>
      <c r="BW353" s="61">
        <f t="shared" si="189"/>
        <v>344</v>
      </c>
    </row>
    <row r="354" spans="2:75" x14ac:dyDescent="0.3">
      <c r="B354" s="158">
        <f t="shared" si="163"/>
        <v>44254</v>
      </c>
      <c r="C354" s="61"/>
      <c r="D354" s="17">
        <v>64320</v>
      </c>
      <c r="E354" s="16"/>
      <c r="F354" s="16"/>
      <c r="G354" s="16"/>
      <c r="H354" s="16">
        <f t="shared" si="284"/>
        <v>29070540</v>
      </c>
      <c r="I354" s="16"/>
      <c r="J354" s="436">
        <f t="shared" si="285"/>
        <v>2.2174554285253299E-3</v>
      </c>
      <c r="K354" s="16"/>
      <c r="L354" s="16"/>
      <c r="M354" s="16"/>
      <c r="N354" s="16">
        <f t="shared" si="303"/>
        <v>499604</v>
      </c>
      <c r="O354" s="16">
        <f t="shared" si="286"/>
        <v>84262.434782608689</v>
      </c>
      <c r="P354" s="41"/>
      <c r="Q354" s="17">
        <f t="shared" si="304"/>
        <v>499604</v>
      </c>
      <c r="R354" s="16"/>
      <c r="S354" s="60">
        <f t="shared" si="305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7"/>
        <v>517414</v>
      </c>
      <c r="AB354" s="33"/>
      <c r="AC354" s="46">
        <f t="shared" si="288"/>
        <v>1.779856858524128E-2</v>
      </c>
      <c r="AD354" s="33"/>
      <c r="AE354" s="33">
        <f t="shared" si="289"/>
        <v>1499.7507246376811</v>
      </c>
      <c r="AF354" s="50"/>
      <c r="AG354" s="33">
        <f t="shared" si="290"/>
        <v>14833</v>
      </c>
      <c r="AH354" s="33">
        <f t="shared" si="266"/>
        <v>1165456655.060914</v>
      </c>
      <c r="AI354" s="213">
        <f t="shared" si="291"/>
        <v>8.2542694497153707E-2</v>
      </c>
      <c r="AJ354" s="50"/>
      <c r="AK354" s="111"/>
      <c r="AL354" s="23">
        <f t="shared" si="307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93"/>
        <v>5.040168796381788E-3</v>
      </c>
      <c r="AS354" s="25"/>
      <c r="AT354" s="25"/>
      <c r="AU354" s="24"/>
      <c r="AV354" s="298">
        <f t="shared" si="294"/>
        <v>0.67534084334174738</v>
      </c>
      <c r="AW354" s="298"/>
      <c r="AX354" s="24">
        <f t="shared" si="295"/>
        <v>56905.863768115945</v>
      </c>
      <c r="AY354" s="308"/>
      <c r="AZ354" s="111"/>
      <c r="BA354" s="65">
        <f t="shared" si="296"/>
        <v>1626064</v>
      </c>
      <c r="BB354" s="66"/>
      <c r="BC354" s="66">
        <v>357707996</v>
      </c>
      <c r="BD354" s="66"/>
      <c r="BE354" s="66">
        <f t="shared" si="297"/>
        <v>64320</v>
      </c>
      <c r="BF354" s="66"/>
      <c r="BG354" s="144">
        <f t="shared" si="298"/>
        <v>3.9555638646449343E-2</v>
      </c>
      <c r="BH354" s="66"/>
      <c r="BI354" s="170"/>
      <c r="BJ354" s="66"/>
      <c r="BK354" s="66">
        <f t="shared" si="299"/>
        <v>10756231</v>
      </c>
      <c r="BL354" s="66"/>
      <c r="BM354" s="144">
        <f t="shared" si="300"/>
        <v>4.6447868217036246E-2</v>
      </c>
      <c r="BN354" s="65">
        <f t="shared" si="301"/>
        <v>1036834.7710144927</v>
      </c>
      <c r="BO354" s="66"/>
      <c r="BP354" s="66">
        <f t="shared" si="302"/>
        <v>28163562</v>
      </c>
      <c r="BQ354" s="66"/>
      <c r="BR354" s="435">
        <f t="shared" si="306"/>
        <v>7.8733386770588151E-2</v>
      </c>
      <c r="BS354" s="66"/>
      <c r="BT354" s="75"/>
      <c r="BU354" s="170"/>
      <c r="BV354" s="1"/>
      <c r="BW354" s="61">
        <f t="shared" si="189"/>
        <v>345</v>
      </c>
    </row>
    <row r="355" spans="2:75" x14ac:dyDescent="0.3">
      <c r="B355" s="347">
        <f t="shared" si="163"/>
        <v>44255</v>
      </c>
      <c r="C355" s="61"/>
      <c r="D355" s="17">
        <v>49412</v>
      </c>
      <c r="E355" s="16"/>
      <c r="F355" s="16"/>
      <c r="G355" s="16"/>
      <c r="H355" s="16">
        <f t="shared" si="284"/>
        <v>29119952</v>
      </c>
      <c r="I355" s="16"/>
      <c r="J355" s="436">
        <f t="shared" si="285"/>
        <v>1.6997276280385572E-3</v>
      </c>
      <c r="K355" s="16"/>
      <c r="L355" s="16"/>
      <c r="M355" s="16"/>
      <c r="N355" s="16">
        <f t="shared" si="303"/>
        <v>491791</v>
      </c>
      <c r="O355" s="16">
        <f t="shared" si="286"/>
        <v>84161.710982658959</v>
      </c>
      <c r="P355" s="41"/>
      <c r="Q355" s="17">
        <f t="shared" si="304"/>
        <v>491791</v>
      </c>
      <c r="R355" s="16"/>
      <c r="S355" s="60">
        <f t="shared" si="305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7"/>
        <v>518697</v>
      </c>
      <c r="AB355" s="33"/>
      <c r="AC355" s="46">
        <f t="shared" si="288"/>
        <v>1.7812426339164297E-2</v>
      </c>
      <c r="AD355" s="33"/>
      <c r="AE355" s="33">
        <f t="shared" si="289"/>
        <v>1499.1242774566474</v>
      </c>
      <c r="AF355" s="50"/>
      <c r="AG355" s="33">
        <f t="shared" si="290"/>
        <v>14869</v>
      </c>
      <c r="AH355" s="33">
        <f t="shared" si="266"/>
        <v>1165287622.060914</v>
      </c>
      <c r="AI355" s="213">
        <f t="shared" si="291"/>
        <v>7.4504986269692153E-2</v>
      </c>
      <c r="AJ355" s="50"/>
      <c r="AK355" s="111"/>
      <c r="AL355" s="23">
        <f t="shared" si="307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93"/>
        <v>3.1469719913227658E-3</v>
      </c>
      <c r="AS355" s="25"/>
      <c r="AT355" s="25"/>
      <c r="AU355" s="24"/>
      <c r="AV355" s="298">
        <f t="shared" si="294"/>
        <v>0.67631656810423313</v>
      </c>
      <c r="AW355" s="298"/>
      <c r="AX355" s="24">
        <f t="shared" si="295"/>
        <v>56919.959537572257</v>
      </c>
      <c r="AY355" s="308"/>
      <c r="AZ355" s="111"/>
      <c r="BA355" s="65">
        <f t="shared" si="296"/>
        <v>1313574</v>
      </c>
      <c r="BB355" s="66"/>
      <c r="BC355" s="66">
        <v>359021570</v>
      </c>
      <c r="BD355" s="66"/>
      <c r="BE355" s="66">
        <f t="shared" si="297"/>
        <v>49412</v>
      </c>
      <c r="BF355" s="66"/>
      <c r="BG355" s="144">
        <f t="shared" si="298"/>
        <v>3.7616457085782755E-2</v>
      </c>
      <c r="BH355" s="66"/>
      <c r="BI355" s="170"/>
      <c r="BJ355" s="66"/>
      <c r="BK355" s="66">
        <f t="shared" si="299"/>
        <v>10925369</v>
      </c>
      <c r="BL355" s="66"/>
      <c r="BM355" s="144">
        <f t="shared" si="300"/>
        <v>4.5013674137688163E-2</v>
      </c>
      <c r="BN355" s="65">
        <f t="shared" si="301"/>
        <v>1037634.5953757225</v>
      </c>
      <c r="BO355" s="66"/>
      <c r="BP355" s="66">
        <f t="shared" si="302"/>
        <v>28212974</v>
      </c>
      <c r="BQ355" s="66"/>
      <c r="BR355" s="435">
        <f t="shared" si="306"/>
        <v>7.8582949765385962E-2</v>
      </c>
      <c r="BS355" s="66"/>
      <c r="BT355" s="75"/>
      <c r="BU355" s="170"/>
      <c r="BV355" s="1"/>
      <c r="BW355" s="61">
        <f t="shared" si="189"/>
        <v>346</v>
      </c>
    </row>
    <row r="356" spans="2:75" x14ac:dyDescent="0.3">
      <c r="B356" s="158">
        <f t="shared" si="163"/>
        <v>44256</v>
      </c>
      <c r="C356" s="61"/>
      <c r="D356" s="17">
        <v>55181</v>
      </c>
      <c r="E356" s="16"/>
      <c r="F356" s="16"/>
      <c r="G356" s="16"/>
      <c r="H356" s="16">
        <f t="shared" si="284"/>
        <v>29175133</v>
      </c>
      <c r="I356" s="16"/>
      <c r="J356" s="436">
        <f t="shared" si="285"/>
        <v>1.8949550466291977E-3</v>
      </c>
      <c r="K356" s="16"/>
      <c r="L356" s="16"/>
      <c r="M356" s="16"/>
      <c r="N356" s="16">
        <f t="shared" si="303"/>
        <v>475918</v>
      </c>
      <c r="O356" s="16">
        <f t="shared" si="286"/>
        <v>84078.193083573482</v>
      </c>
      <c r="P356" s="41"/>
      <c r="Q356" s="17">
        <f t="shared" si="304"/>
        <v>475918</v>
      </c>
      <c r="R356" s="16"/>
      <c r="S356" s="60">
        <f t="shared" si="305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7"/>
        <v>520181</v>
      </c>
      <c r="AB356" s="33"/>
      <c r="AC356" s="46">
        <f t="shared" si="288"/>
        <v>1.7829601667968403E-2</v>
      </c>
      <c r="AD356" s="33"/>
      <c r="AE356" s="33">
        <f t="shared" si="289"/>
        <v>1499.0806916426513</v>
      </c>
      <c r="AF356" s="50"/>
      <c r="AG356" s="33">
        <f t="shared" si="290"/>
        <v>13949</v>
      </c>
      <c r="AH356" s="33">
        <f t="shared" si="266"/>
        <v>1165146890.060914</v>
      </c>
      <c r="AI356" s="213">
        <f t="shared" si="291"/>
        <v>-8.7585034013605442E-2</v>
      </c>
      <c r="AJ356" s="50"/>
      <c r="AK356" s="111" t="s">
        <v>26</v>
      </c>
      <c r="AL356" s="23">
        <f t="shared" si="307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93"/>
        <v>4.3675567953498848E-3</v>
      </c>
      <c r="AS356" s="25"/>
      <c r="AT356" s="25"/>
      <c r="AU356" s="24"/>
      <c r="AV356" s="298">
        <f t="shared" si="294"/>
        <v>0.67798566676628347</v>
      </c>
      <c r="AW356" s="298"/>
      <c r="AX356" s="24">
        <f t="shared" si="295"/>
        <v>57003.809798270893</v>
      </c>
      <c r="AY356" s="308"/>
      <c r="AZ356" s="111" t="s">
        <v>26</v>
      </c>
      <c r="BA356" s="65">
        <f t="shared" si="296"/>
        <v>1727242</v>
      </c>
      <c r="BB356" s="66"/>
      <c r="BC356" s="66">
        <f>361948812-1200000</f>
        <v>360748812</v>
      </c>
      <c r="BD356" s="66"/>
      <c r="BE356" s="66">
        <f t="shared" si="297"/>
        <v>55181</v>
      </c>
      <c r="BF356" s="66"/>
      <c r="BG356" s="144">
        <f t="shared" si="298"/>
        <v>3.1947463065395587E-2</v>
      </c>
      <c r="BH356" s="66"/>
      <c r="BI356" s="170"/>
      <c r="BJ356" s="66"/>
      <c r="BK356" s="66">
        <f t="shared" si="299"/>
        <v>9695133</v>
      </c>
      <c r="BL356" s="66"/>
      <c r="BM356" s="144">
        <f t="shared" si="300"/>
        <v>4.9088341542091275E-2</v>
      </c>
      <c r="BN356" s="65">
        <f t="shared" si="301"/>
        <v>1039621.9365994236</v>
      </c>
      <c r="BO356" s="66"/>
      <c r="BP356" s="66">
        <f t="shared" si="302"/>
        <v>28268155</v>
      </c>
      <c r="BQ356" s="66"/>
      <c r="BR356" s="435">
        <f t="shared" si="306"/>
        <v>7.8359662068686178E-2</v>
      </c>
      <c r="BS356" s="66"/>
      <c r="BT356" s="75"/>
      <c r="BU356" s="170"/>
      <c r="BV356" s="1"/>
      <c r="BW356" s="61">
        <f t="shared" si="189"/>
        <v>347</v>
      </c>
    </row>
    <row r="357" spans="2:75" x14ac:dyDescent="0.3">
      <c r="B357" s="158">
        <f t="shared" si="163"/>
        <v>44257</v>
      </c>
      <c r="C357" s="61"/>
      <c r="D357" s="17">
        <v>56890</v>
      </c>
      <c r="E357" s="16"/>
      <c r="F357" s="16"/>
      <c r="G357" s="16"/>
      <c r="H357" s="16">
        <f t="shared" si="284"/>
        <v>29232023</v>
      </c>
      <c r="I357" s="16"/>
      <c r="J357" s="436">
        <f t="shared" si="285"/>
        <v>1.9499482658742293E-3</v>
      </c>
      <c r="K357" s="16"/>
      <c r="L357" s="16"/>
      <c r="M357" s="16"/>
      <c r="N357" s="16">
        <f t="shared" si="303"/>
        <v>459104</v>
      </c>
      <c r="O357" s="16">
        <f t="shared" si="286"/>
        <v>84000.066091954024</v>
      </c>
      <c r="P357" s="41"/>
      <c r="Q357" s="17">
        <f t="shared" si="304"/>
        <v>459104</v>
      </c>
      <c r="R357" s="16"/>
      <c r="S357" s="60">
        <f t="shared" si="305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7"/>
        <v>522170</v>
      </c>
      <c r="AB357" s="33"/>
      <c r="AC357" s="46">
        <f t="shared" si="288"/>
        <v>1.7862944347026549E-2</v>
      </c>
      <c r="AD357" s="33"/>
      <c r="AE357" s="33">
        <f t="shared" si="289"/>
        <v>1500.4885057471265</v>
      </c>
      <c r="AF357" s="50"/>
      <c r="AG357" s="33">
        <f t="shared" si="290"/>
        <v>13495</v>
      </c>
      <c r="AH357" s="33">
        <f t="shared" si="266"/>
        <v>1165039074.060914</v>
      </c>
      <c r="AI357" s="213">
        <f t="shared" si="291"/>
        <v>-0.15360010035122931</v>
      </c>
      <c r="AJ357" s="50"/>
      <c r="AK357" s="111" t="s">
        <v>26</v>
      </c>
      <c r="AL357" s="23">
        <f t="shared" si="307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93"/>
        <v>6.3194117871286423E-3</v>
      </c>
      <c r="AS357" s="25"/>
      <c r="AT357" s="25"/>
      <c r="AU357" s="24"/>
      <c r="AV357" s="298">
        <f t="shared" si="294"/>
        <v>0.68094233505494983</v>
      </c>
      <c r="AW357" s="298"/>
      <c r="AX357" s="24">
        <f t="shared" si="295"/>
        <v>57199.201149425287</v>
      </c>
      <c r="AY357" s="308"/>
      <c r="AZ357" s="111" t="s">
        <v>26</v>
      </c>
      <c r="BA357" s="65">
        <f t="shared" si="296"/>
        <v>1200000</v>
      </c>
      <c r="BB357" s="66"/>
      <c r="BC357" s="66">
        <v>361948812</v>
      </c>
      <c r="BD357" s="66"/>
      <c r="BE357" s="66">
        <f t="shared" si="297"/>
        <v>56890</v>
      </c>
      <c r="BF357" s="66"/>
      <c r="BG357" s="144">
        <f t="shared" si="298"/>
        <v>4.740833333333333E-2</v>
      </c>
      <c r="BH357" s="66"/>
      <c r="BI357" s="170"/>
      <c r="BJ357" s="66"/>
      <c r="BK357" s="66">
        <f t="shared" si="299"/>
        <v>10198812</v>
      </c>
      <c r="BL357" s="66"/>
      <c r="BM357" s="144">
        <f t="shared" si="300"/>
        <v>4.5015439053097558E-2</v>
      </c>
      <c r="BN357" s="65">
        <f t="shared" si="301"/>
        <v>1040082.7931034482</v>
      </c>
      <c r="BO357" s="66"/>
      <c r="BP357" s="66">
        <f t="shared" si="302"/>
        <v>28325045</v>
      </c>
      <c r="BQ357" s="66"/>
      <c r="BR357" s="435">
        <f t="shared" si="306"/>
        <v>7.8257046468769728E-2</v>
      </c>
      <c r="BS357" s="66"/>
      <c r="BT357" s="75"/>
      <c r="BU357" s="170"/>
      <c r="BV357" s="1"/>
      <c r="BW357" s="61">
        <f t="shared" si="189"/>
        <v>348</v>
      </c>
    </row>
    <row r="358" spans="2:75" x14ac:dyDescent="0.3">
      <c r="B358" s="158">
        <f t="shared" si="163"/>
        <v>44258</v>
      </c>
      <c r="C358" s="61"/>
      <c r="D358" s="17">
        <v>67225</v>
      </c>
      <c r="E358" s="16"/>
      <c r="F358" s="16"/>
      <c r="G358" s="16"/>
      <c r="H358" s="16">
        <f t="shared" ref="H358:H383" si="308">+H357+D358</f>
        <v>29299248</v>
      </c>
      <c r="I358" s="16"/>
      <c r="J358" s="436">
        <f t="shared" ref="J358:J383" si="309">+D358/H357</f>
        <v>2.2997039924332299E-3</v>
      </c>
      <c r="K358" s="16"/>
      <c r="L358" s="16"/>
      <c r="M358" s="16"/>
      <c r="N358" s="16">
        <f t="shared" si="303"/>
        <v>451030</v>
      </c>
      <c r="O358" s="16">
        <f t="shared" ref="O358:O383" si="310">+H358/BW358</f>
        <v>83952</v>
      </c>
      <c r="P358" s="41"/>
      <c r="Q358" s="17">
        <f t="shared" si="304"/>
        <v>451030</v>
      </c>
      <c r="R358" s="16"/>
      <c r="S358" s="60">
        <f t="shared" si="305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11">+AA357+W358</f>
        <v>524511</v>
      </c>
      <c r="AB358" s="33"/>
      <c r="AC358" s="46">
        <f t="shared" ref="AC358:AC383" si="312">+AA358/H358</f>
        <v>1.7901858778081949E-2</v>
      </c>
      <c r="AD358" s="33"/>
      <c r="AE358" s="33">
        <f t="shared" ref="AE358:AE383" si="313">+AA358/BW358</f>
        <v>1502.8968481375359</v>
      </c>
      <c r="AF358" s="50"/>
      <c r="AG358" s="33">
        <f t="shared" ref="AG358:AG383" si="314">SUM(W352:W358)</f>
        <v>13311</v>
      </c>
      <c r="AH358" s="33">
        <f t="shared" ref="AH358:AH421" si="315">SUM(D329:D1078)</f>
        <v>1164912622.060914</v>
      </c>
      <c r="AI358" s="213">
        <f t="shared" ref="AI358:AI383" si="316">+(AG358-AG351)/AG351</f>
        <v>-0.16451167461712277</v>
      </c>
      <c r="AJ358" s="50"/>
      <c r="AK358" s="111"/>
      <c r="AL358" s="23">
        <f t="shared" si="307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7">+AL358/AP357</f>
        <v>4.9234571538204711E-3</v>
      </c>
      <c r="AS358" s="25"/>
      <c r="AT358" s="25"/>
      <c r="AU358" s="24"/>
      <c r="AV358" s="298">
        <f t="shared" ref="AV358:AV383" si="318">+AP358/H358</f>
        <v>0.68272486037866909</v>
      </c>
      <c r="AW358" s="298"/>
      <c r="AX358" s="24">
        <f t="shared" ref="AX358:AX383" si="319">+AP358/BW358</f>
        <v>57316.11747851003</v>
      </c>
      <c r="AY358" s="308"/>
      <c r="AZ358" s="111"/>
      <c r="BA358" s="65">
        <f t="shared" ref="BA358:BA383" si="320">+BC358-BC357</f>
        <v>1458939</v>
      </c>
      <c r="BB358" s="66"/>
      <c r="BC358" s="66">
        <v>363407751</v>
      </c>
      <c r="BD358" s="66"/>
      <c r="BE358" s="66">
        <f t="shared" ref="BE358:BE383" si="321">+D358</f>
        <v>67225</v>
      </c>
      <c r="BF358" s="66"/>
      <c r="BG358" s="144">
        <f t="shared" ref="BG358:BG383" si="322">+BE358/BA358</f>
        <v>4.6078006002992583E-2</v>
      </c>
      <c r="BH358" s="66"/>
      <c r="BI358" s="170"/>
      <c r="BJ358" s="66"/>
      <c r="BK358" s="66">
        <f t="shared" ref="BK358:BK383" si="323">SUM(BA352:BA358)</f>
        <v>10875330</v>
      </c>
      <c r="BL358" s="66"/>
      <c r="BM358" s="144">
        <f t="shared" ref="BM358:BM383" si="324">+Q358/BK358</f>
        <v>4.1472764504617329E-2</v>
      </c>
      <c r="BN358" s="65">
        <f t="shared" ref="BN358:BN383" si="325">+BC358/BW358</f>
        <v>1041282.9541547277</v>
      </c>
      <c r="BO358" s="66"/>
      <c r="BP358" s="66">
        <f t="shared" ref="BP358:BP383" si="326">+BP357+BE358</f>
        <v>28392270</v>
      </c>
      <c r="BQ358" s="66"/>
      <c r="BR358" s="435">
        <f t="shared" si="306"/>
        <v>7.8127860294317161E-2</v>
      </c>
      <c r="BS358" s="66"/>
      <c r="BT358" s="75"/>
      <c r="BU358" s="170"/>
      <c r="BV358" s="1"/>
      <c r="BW358" s="61">
        <f t="shared" si="189"/>
        <v>349</v>
      </c>
    </row>
    <row r="359" spans="2:75" x14ac:dyDescent="0.3">
      <c r="B359" s="158">
        <f t="shared" si="163"/>
        <v>44259</v>
      </c>
      <c r="C359" s="61"/>
      <c r="D359" s="17">
        <v>68321</v>
      </c>
      <c r="E359" s="16"/>
      <c r="F359" s="16"/>
      <c r="G359" s="16"/>
      <c r="H359" s="16">
        <f t="shared" si="308"/>
        <v>29367569</v>
      </c>
      <c r="I359" s="16"/>
      <c r="J359" s="436">
        <f t="shared" si="309"/>
        <v>2.3318345917956664E-3</v>
      </c>
      <c r="K359" s="16"/>
      <c r="L359" s="16"/>
      <c r="M359" s="16"/>
      <c r="N359" s="16">
        <f t="shared" si="303"/>
        <v>441974</v>
      </c>
      <c r="O359" s="16">
        <f t="shared" si="310"/>
        <v>83907.34</v>
      </c>
      <c r="P359" s="41"/>
      <c r="Q359" s="17">
        <f t="shared" si="304"/>
        <v>441974</v>
      </c>
      <c r="R359" s="16"/>
      <c r="S359" s="60">
        <f t="shared" si="305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11"/>
        <v>526504</v>
      </c>
      <c r="AB359" s="33"/>
      <c r="AC359" s="46">
        <f t="shared" si="312"/>
        <v>1.7928075694654877E-2</v>
      </c>
      <c r="AD359" s="33"/>
      <c r="AE359" s="33">
        <f t="shared" si="313"/>
        <v>1504.2971428571429</v>
      </c>
      <c r="AF359" s="50"/>
      <c r="AG359" s="33">
        <f t="shared" si="314"/>
        <v>12890</v>
      </c>
      <c r="AH359" s="33">
        <f t="shared" si="315"/>
        <v>1164796395.060914</v>
      </c>
      <c r="AI359" s="213">
        <f t="shared" si="316"/>
        <v>-0.17292268206608918</v>
      </c>
      <c r="AJ359" s="50"/>
      <c r="AK359" s="111"/>
      <c r="AL359" s="23">
        <f t="shared" si="307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7"/>
        <v>4.5051010269542687E-3</v>
      </c>
      <c r="AS359" s="25"/>
      <c r="AT359" s="25"/>
      <c r="AU359" s="24"/>
      <c r="AV359" s="298">
        <f t="shared" si="318"/>
        <v>0.6842051516078842</v>
      </c>
      <c r="AW359" s="298"/>
      <c r="AX359" s="24">
        <f t="shared" si="319"/>
        <v>57409.834285714285</v>
      </c>
      <c r="AY359" s="308"/>
      <c r="AZ359" s="111"/>
      <c r="BA359" s="65">
        <f t="shared" si="320"/>
        <v>1609442</v>
      </c>
      <c r="BB359" s="66"/>
      <c r="BC359" s="66">
        <v>365017193</v>
      </c>
      <c r="BD359" s="66"/>
      <c r="BE359" s="66">
        <f t="shared" si="321"/>
        <v>68321</v>
      </c>
      <c r="BF359" s="66"/>
      <c r="BG359" s="144">
        <f t="shared" si="322"/>
        <v>4.2450116251471007E-2</v>
      </c>
      <c r="BH359" s="66"/>
      <c r="BI359" s="170"/>
      <c r="BJ359" s="66"/>
      <c r="BK359" s="66">
        <f t="shared" si="323"/>
        <v>10679040</v>
      </c>
      <c r="BL359" s="66"/>
      <c r="BM359" s="144">
        <f t="shared" si="324"/>
        <v>4.1387053517919214E-2</v>
      </c>
      <c r="BN359" s="65">
        <f t="shared" si="325"/>
        <v>1042906.2657142857</v>
      </c>
      <c r="BO359" s="66"/>
      <c r="BP359" s="66">
        <f t="shared" si="326"/>
        <v>28460591</v>
      </c>
      <c r="BQ359" s="66"/>
      <c r="BR359" s="435">
        <f t="shared" si="306"/>
        <v>7.7970549184514709E-2</v>
      </c>
      <c r="BS359" s="66"/>
      <c r="BT359" s="75"/>
      <c r="BU359" s="170"/>
      <c r="BV359" s="1"/>
      <c r="BW359" s="61">
        <f t="shared" si="189"/>
        <v>350</v>
      </c>
    </row>
    <row r="360" spans="2:75" x14ac:dyDescent="0.3">
      <c r="B360" s="158">
        <f t="shared" si="163"/>
        <v>44260</v>
      </c>
      <c r="C360" s="61"/>
      <c r="D360" s="17">
        <v>69240</v>
      </c>
      <c r="E360" s="16"/>
      <c r="F360" s="16"/>
      <c r="G360" s="16"/>
      <c r="H360" s="16">
        <f t="shared" si="308"/>
        <v>29436809</v>
      </c>
      <c r="I360" s="16"/>
      <c r="J360" s="436">
        <f t="shared" si="309"/>
        <v>2.3577028115606027E-3</v>
      </c>
      <c r="K360" s="16"/>
      <c r="L360" s="16"/>
      <c r="M360" s="16"/>
      <c r="N360" s="16">
        <f t="shared" si="303"/>
        <v>430589</v>
      </c>
      <c r="O360" s="16">
        <f t="shared" si="310"/>
        <v>83865.552706552713</v>
      </c>
      <c r="P360" s="41"/>
      <c r="Q360" s="17">
        <f t="shared" si="304"/>
        <v>430589</v>
      </c>
      <c r="R360" s="16"/>
      <c r="S360" s="60">
        <f t="shared" si="305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11"/>
        <v>528340</v>
      </c>
      <c r="AB360" s="33"/>
      <c r="AC360" s="46">
        <f t="shared" si="312"/>
        <v>1.7948276934500611E-2</v>
      </c>
      <c r="AD360" s="33"/>
      <c r="AE360" s="33">
        <f t="shared" si="313"/>
        <v>1505.2421652421651</v>
      </c>
      <c r="AF360" s="50"/>
      <c r="AG360" s="33">
        <f t="shared" si="314"/>
        <v>12480</v>
      </c>
      <c r="AH360" s="33">
        <f t="shared" si="315"/>
        <v>1164682936.060914</v>
      </c>
      <c r="AI360" s="213">
        <f t="shared" si="316"/>
        <v>-0.17819043856183328</v>
      </c>
      <c r="AJ360" s="50"/>
      <c r="AK360" s="111"/>
      <c r="AL360" s="23">
        <f t="shared" si="307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7"/>
        <v>4.489126352767236E-3</v>
      </c>
      <c r="AS360" s="25"/>
      <c r="AT360" s="25"/>
      <c r="AU360" s="24"/>
      <c r="AV360" s="298">
        <f t="shared" si="318"/>
        <v>0.68566005235146243</v>
      </c>
      <c r="AW360" s="298"/>
      <c r="AX360" s="24">
        <f t="shared" si="319"/>
        <v>57503.259259259263</v>
      </c>
      <c r="AY360" s="308"/>
      <c r="AZ360" s="111"/>
      <c r="BA360" s="65">
        <f t="shared" si="320"/>
        <v>1779519</v>
      </c>
      <c r="BB360" s="66"/>
      <c r="BC360" s="66">
        <v>366796712</v>
      </c>
      <c r="BD360" s="66"/>
      <c r="BE360" s="66">
        <f t="shared" si="321"/>
        <v>69240</v>
      </c>
      <c r="BF360" s="66"/>
      <c r="BG360" s="144">
        <f t="shared" si="322"/>
        <v>3.8909390683662268E-2</v>
      </c>
      <c r="BH360" s="66"/>
      <c r="BI360" s="170"/>
      <c r="BJ360" s="66"/>
      <c r="BK360" s="66">
        <f t="shared" si="323"/>
        <v>10714780</v>
      </c>
      <c r="BL360" s="66"/>
      <c r="BM360" s="144">
        <f t="shared" si="324"/>
        <v>4.0186452731647317E-2</v>
      </c>
      <c r="BN360" s="65">
        <f t="shared" si="325"/>
        <v>1045004.8774928775</v>
      </c>
      <c r="BO360" s="66"/>
      <c r="BP360" s="66">
        <f t="shared" si="326"/>
        <v>28529831</v>
      </c>
      <c r="BQ360" s="66"/>
      <c r="BR360" s="435">
        <f t="shared" si="306"/>
        <v>7.7781043468023239E-2</v>
      </c>
      <c r="BS360" s="66"/>
      <c r="BT360" s="75"/>
      <c r="BU360" s="170"/>
      <c r="BV360" s="1"/>
      <c r="BW360" s="61">
        <f t="shared" si="189"/>
        <v>351</v>
      </c>
    </row>
    <row r="361" spans="2:75" x14ac:dyDescent="0.3">
      <c r="B361" s="158">
        <f t="shared" si="163"/>
        <v>44261</v>
      </c>
      <c r="C361" s="61"/>
      <c r="D361" s="17">
        <v>58228</v>
      </c>
      <c r="E361" s="16"/>
      <c r="F361" s="16"/>
      <c r="G361" s="16"/>
      <c r="H361" s="16">
        <f t="shared" si="308"/>
        <v>29495037</v>
      </c>
      <c r="I361" s="16"/>
      <c r="J361" s="436">
        <f t="shared" si="309"/>
        <v>1.9780676635161101E-3</v>
      </c>
      <c r="K361" s="16"/>
      <c r="L361" s="16"/>
      <c r="M361" s="16"/>
      <c r="N361" s="16">
        <f t="shared" si="303"/>
        <v>424497</v>
      </c>
      <c r="O361" s="16">
        <f t="shared" si="310"/>
        <v>83792.71875</v>
      </c>
      <c r="P361" s="41"/>
      <c r="Q361" s="17">
        <f t="shared" si="304"/>
        <v>424497</v>
      </c>
      <c r="R361" s="16"/>
      <c r="S361" s="60">
        <f t="shared" si="305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11"/>
        <v>529855</v>
      </c>
      <c r="AB361" s="33"/>
      <c r="AC361" s="46">
        <f t="shared" si="312"/>
        <v>1.7964208690431548E-2</v>
      </c>
      <c r="AD361" s="33"/>
      <c r="AE361" s="33">
        <f t="shared" si="313"/>
        <v>1505.2698863636363</v>
      </c>
      <c r="AF361" s="50"/>
      <c r="AG361" s="33">
        <f t="shared" si="314"/>
        <v>12441</v>
      </c>
      <c r="AH361" s="33">
        <f t="shared" si="315"/>
        <v>1164561199.060914</v>
      </c>
      <c r="AI361" s="213">
        <f t="shared" si="316"/>
        <v>-0.16126205083260298</v>
      </c>
      <c r="AJ361" s="50"/>
      <c r="AK361" s="111"/>
      <c r="AL361" s="23">
        <f t="shared" si="307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7"/>
        <v>4.4724827687210493E-3</v>
      </c>
      <c r="AS361" s="25"/>
      <c r="AT361" s="25"/>
      <c r="AU361" s="24"/>
      <c r="AV361" s="298">
        <f t="shared" si="318"/>
        <v>0.68736699669168067</v>
      </c>
      <c r="AW361" s="298"/>
      <c r="AX361" s="24">
        <f t="shared" si="319"/>
        <v>57596.349431818184</v>
      </c>
      <c r="AY361" s="308"/>
      <c r="AZ361" s="111"/>
      <c r="BA361" s="65">
        <f t="shared" si="320"/>
        <v>1295561</v>
      </c>
      <c r="BB361" s="66"/>
      <c r="BC361" s="66">
        <v>368092273</v>
      </c>
      <c r="BD361" s="66"/>
      <c r="BE361" s="66">
        <f t="shared" si="321"/>
        <v>58228</v>
      </c>
      <c r="BF361" s="66"/>
      <c r="BG361" s="144">
        <f t="shared" si="322"/>
        <v>4.4944236512213631E-2</v>
      </c>
      <c r="BH361" s="66"/>
      <c r="BI361" s="170"/>
      <c r="BJ361" s="66"/>
      <c r="BK361" s="66">
        <f t="shared" si="323"/>
        <v>10384277</v>
      </c>
      <c r="BL361" s="66"/>
      <c r="BM361" s="144">
        <f t="shared" si="324"/>
        <v>4.0878820932839136E-2</v>
      </c>
      <c r="BN361" s="65">
        <f t="shared" si="325"/>
        <v>1045716.6846590909</v>
      </c>
      <c r="BO361" s="66"/>
      <c r="BP361" s="66">
        <f t="shared" si="326"/>
        <v>28588059</v>
      </c>
      <c r="BQ361" s="66"/>
      <c r="BR361" s="435">
        <f t="shared" si="306"/>
        <v>7.7665468951585409E-2</v>
      </c>
      <c r="BS361" s="66"/>
      <c r="BT361" s="75"/>
      <c r="BU361" s="170"/>
      <c r="BV361" s="1"/>
      <c r="BW361" s="61">
        <f t="shared" si="189"/>
        <v>352</v>
      </c>
    </row>
    <row r="362" spans="2:75" x14ac:dyDescent="0.3">
      <c r="B362" s="347">
        <f t="shared" si="163"/>
        <v>44262</v>
      </c>
      <c r="C362" s="61"/>
      <c r="D362" s="17">
        <v>41967</v>
      </c>
      <c r="E362" s="16"/>
      <c r="F362" s="16"/>
      <c r="G362" s="16"/>
      <c r="H362" s="16">
        <f t="shared" si="308"/>
        <v>29537004</v>
      </c>
      <c r="I362" s="16"/>
      <c r="J362" s="436">
        <f t="shared" si="309"/>
        <v>1.4228495458405426E-3</v>
      </c>
      <c r="K362" s="16"/>
      <c r="L362" s="16"/>
      <c r="M362" s="16"/>
      <c r="N362" s="16">
        <f t="shared" si="303"/>
        <v>417052</v>
      </c>
      <c r="O362" s="16">
        <f t="shared" si="310"/>
        <v>83674.23229461757</v>
      </c>
      <c r="P362" s="41"/>
      <c r="Q362" s="17">
        <f t="shared" si="304"/>
        <v>417052</v>
      </c>
      <c r="R362" s="16"/>
      <c r="S362" s="60">
        <f t="shared" si="305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11"/>
        <v>530571</v>
      </c>
      <c r="AB362" s="33"/>
      <c r="AC362" s="46">
        <f t="shared" si="312"/>
        <v>1.7962925420601222E-2</v>
      </c>
      <c r="AD362" s="33"/>
      <c r="AE362" s="33">
        <f t="shared" si="313"/>
        <v>1503.0339943342776</v>
      </c>
      <c r="AF362" s="50"/>
      <c r="AG362" s="33">
        <f t="shared" si="314"/>
        <v>11874</v>
      </c>
      <c r="AH362" s="33">
        <f t="shared" si="315"/>
        <v>1164435074.060914</v>
      </c>
      <c r="AI362" s="213">
        <f t="shared" si="316"/>
        <v>-0.20142578519066515</v>
      </c>
      <c r="AJ362" s="50"/>
      <c r="AK362" s="111"/>
      <c r="AL362" s="23">
        <f t="shared" si="307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7"/>
        <v>3.0946662250482949E-3</v>
      </c>
      <c r="AS362" s="25"/>
      <c r="AT362" s="25"/>
      <c r="AU362" s="24"/>
      <c r="AV362" s="298">
        <f t="shared" si="318"/>
        <v>0.68851451555479359</v>
      </c>
      <c r="AW362" s="298"/>
      <c r="AX362" s="24">
        <f t="shared" si="319"/>
        <v>57610.923512747875</v>
      </c>
      <c r="AY362" s="308"/>
      <c r="AZ362" s="111"/>
      <c r="BA362" s="65">
        <f t="shared" si="320"/>
        <v>1117961</v>
      </c>
      <c r="BB362" s="66"/>
      <c r="BC362" s="66">
        <v>369210234</v>
      </c>
      <c r="BD362" s="66"/>
      <c r="BE362" s="66">
        <f t="shared" si="321"/>
        <v>41967</v>
      </c>
      <c r="BF362" s="66"/>
      <c r="BG362" s="144">
        <f t="shared" si="322"/>
        <v>3.7538876579773353E-2</v>
      </c>
      <c r="BH362" s="66"/>
      <c r="BI362" s="170"/>
      <c r="BJ362" s="66"/>
      <c r="BK362" s="66">
        <f t="shared" si="323"/>
        <v>10188664</v>
      </c>
      <c r="BL362" s="66"/>
      <c r="BM362" s="144">
        <f t="shared" si="324"/>
        <v>4.0932942729292085E-2</v>
      </c>
      <c r="BN362" s="65">
        <f t="shared" si="325"/>
        <v>1045921.342776204</v>
      </c>
      <c r="BO362" s="66"/>
      <c r="BP362" s="66">
        <f t="shared" si="326"/>
        <v>28630026</v>
      </c>
      <c r="BQ362" s="66"/>
      <c r="BR362" s="435">
        <f t="shared" si="306"/>
        <v>7.754396645462433E-2</v>
      </c>
      <c r="BS362" s="66"/>
      <c r="BT362" s="75"/>
      <c r="BU362" s="170"/>
      <c r="BV362" s="1"/>
      <c r="BW362" s="61">
        <f t="shared" si="189"/>
        <v>353</v>
      </c>
    </row>
    <row r="363" spans="2:75" x14ac:dyDescent="0.3">
      <c r="B363" s="158">
        <f t="shared" si="163"/>
        <v>44263</v>
      </c>
      <c r="C363" s="61"/>
      <c r="D363" s="17">
        <v>45368</v>
      </c>
      <c r="E363" s="16"/>
      <c r="F363" s="16"/>
      <c r="G363" s="16"/>
      <c r="H363" s="16">
        <f t="shared" si="308"/>
        <v>29582372</v>
      </c>
      <c r="I363" s="16"/>
      <c r="J363" s="436">
        <f t="shared" si="309"/>
        <v>1.5359716239331518E-3</v>
      </c>
      <c r="K363" s="16"/>
      <c r="L363" s="16"/>
      <c r="M363" s="16"/>
      <c r="N363" s="16">
        <f t="shared" si="303"/>
        <v>407239</v>
      </c>
      <c r="O363" s="16">
        <f t="shared" si="310"/>
        <v>83566.022598870055</v>
      </c>
      <c r="P363" s="41"/>
      <c r="Q363" s="17">
        <f t="shared" si="304"/>
        <v>407239</v>
      </c>
      <c r="R363" s="16"/>
      <c r="S363" s="60">
        <f t="shared" si="305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11"/>
        <v>531401</v>
      </c>
      <c r="AB363" s="33"/>
      <c r="AC363" s="46">
        <f t="shared" si="312"/>
        <v>1.7963434439942815E-2</v>
      </c>
      <c r="AD363" s="33"/>
      <c r="AE363" s="33">
        <f t="shared" si="313"/>
        <v>1501.1327683615818</v>
      </c>
      <c r="AF363" s="50"/>
      <c r="AG363" s="33">
        <f t="shared" si="314"/>
        <v>11220</v>
      </c>
      <c r="AH363" s="33">
        <f t="shared" si="315"/>
        <v>1164329091.060914</v>
      </c>
      <c r="AI363" s="213">
        <f t="shared" si="316"/>
        <v>-0.19564126460678186</v>
      </c>
      <c r="AJ363" s="50"/>
      <c r="AK363" s="111"/>
      <c r="AL363" s="23">
        <f t="shared" si="307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7"/>
        <v>5.5722042011233314E-3</v>
      </c>
      <c r="AS363" s="25"/>
      <c r="AT363" s="25"/>
      <c r="AU363" s="24"/>
      <c r="AV363" s="298">
        <f t="shared" si="318"/>
        <v>0.69128925834615296</v>
      </c>
      <c r="AW363" s="298"/>
      <c r="AX363" s="24">
        <f t="shared" si="319"/>
        <v>57768.293785310736</v>
      </c>
      <c r="AY363" s="308"/>
      <c r="AZ363" s="111"/>
      <c r="BA363" s="65">
        <f t="shared" si="320"/>
        <v>1428263</v>
      </c>
      <c r="BB363" s="66"/>
      <c r="BC363" s="66">
        <v>370638497</v>
      </c>
      <c r="BD363" s="66"/>
      <c r="BE363" s="66">
        <f t="shared" si="321"/>
        <v>45368</v>
      </c>
      <c r="BF363" s="66"/>
      <c r="BG363" s="144">
        <f t="shared" si="322"/>
        <v>3.1764457946470641E-2</v>
      </c>
      <c r="BH363" s="66"/>
      <c r="BI363" s="170"/>
      <c r="BJ363" s="66"/>
      <c r="BK363" s="66">
        <f t="shared" si="323"/>
        <v>9889685</v>
      </c>
      <c r="BL363" s="66"/>
      <c r="BM363" s="144">
        <f t="shared" si="324"/>
        <v>4.117815683714901E-2</v>
      </c>
      <c r="BN363" s="65">
        <f t="shared" si="325"/>
        <v>1047001.4039548023</v>
      </c>
      <c r="BO363" s="66"/>
      <c r="BP363" s="66">
        <f t="shared" si="326"/>
        <v>28675394</v>
      </c>
      <c r="BQ363" s="66"/>
      <c r="BR363" s="435">
        <f t="shared" si="306"/>
        <v>7.7367554185824361E-2</v>
      </c>
      <c r="BS363" s="66"/>
      <c r="BT363" s="75"/>
      <c r="BU363" s="170"/>
      <c r="BV363" s="1"/>
      <c r="BW363" s="61">
        <f t="shared" si="189"/>
        <v>354</v>
      </c>
    </row>
    <row r="364" spans="2:75" x14ac:dyDescent="0.3">
      <c r="B364" s="158">
        <f t="shared" si="163"/>
        <v>44264</v>
      </c>
      <c r="C364" s="61"/>
      <c r="D364" s="17">
        <v>55683</v>
      </c>
      <c r="E364" s="16"/>
      <c r="F364" s="16"/>
      <c r="G364" s="16"/>
      <c r="H364" s="16">
        <f t="shared" si="308"/>
        <v>29638055</v>
      </c>
      <c r="I364" s="16"/>
      <c r="J364" s="436">
        <f t="shared" si="309"/>
        <v>1.882303420428896E-3</v>
      </c>
      <c r="K364" s="16"/>
      <c r="L364" s="16"/>
      <c r="M364" s="16"/>
      <c r="N364" s="16">
        <f t="shared" ref="N364:N383" si="327">SUM(D358:D364)</f>
        <v>406032</v>
      </c>
      <c r="O364" s="16">
        <f t="shared" si="310"/>
        <v>83487.478873239437</v>
      </c>
      <c r="P364" s="41"/>
      <c r="Q364" s="17">
        <f t="shared" si="304"/>
        <v>406032</v>
      </c>
      <c r="R364" s="16"/>
      <c r="S364" s="60">
        <f t="shared" si="305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11"/>
        <v>533105</v>
      </c>
      <c r="AB364" s="33"/>
      <c r="AC364" s="46">
        <f t="shared" si="312"/>
        <v>1.7987178983236249E-2</v>
      </c>
      <c r="AD364" s="33"/>
      <c r="AE364" s="33">
        <f t="shared" si="313"/>
        <v>1501.7042253521126</v>
      </c>
      <c r="AF364" s="50"/>
      <c r="AG364" s="33">
        <f t="shared" si="314"/>
        <v>10935</v>
      </c>
      <c r="AH364" s="33">
        <f t="shared" si="315"/>
        <v>1164237835.060914</v>
      </c>
      <c r="AI364" s="213">
        <f t="shared" si="316"/>
        <v>-0.18969988884772138</v>
      </c>
      <c r="AJ364" s="50"/>
      <c r="AK364" s="111"/>
      <c r="AL364" s="23">
        <f t="shared" si="307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7"/>
        <v>4.8754091447344482E-3</v>
      </c>
      <c r="AS364" s="25"/>
      <c r="AT364" s="25"/>
      <c r="AU364" s="24"/>
      <c r="AV364" s="298">
        <f t="shared" si="318"/>
        <v>0.69335447282218754</v>
      </c>
      <c r="AW364" s="298"/>
      <c r="AX364" s="24">
        <f t="shared" si="319"/>
        <v>57886.416901408447</v>
      </c>
      <c r="AY364" s="308"/>
      <c r="AZ364" s="111"/>
      <c r="BA364" s="65">
        <f t="shared" si="320"/>
        <v>1256221</v>
      </c>
      <c r="BB364" s="66"/>
      <c r="BC364" s="66">
        <v>371894718</v>
      </c>
      <c r="BD364" s="66"/>
      <c r="BE364" s="66">
        <f t="shared" si="321"/>
        <v>55683</v>
      </c>
      <c r="BF364" s="66"/>
      <c r="BG364" s="144">
        <f t="shared" si="322"/>
        <v>4.4325799361736508E-2</v>
      </c>
      <c r="BH364" s="66"/>
      <c r="BI364" s="170"/>
      <c r="BJ364" s="66"/>
      <c r="BK364" s="66">
        <f t="shared" si="323"/>
        <v>9945906</v>
      </c>
      <c r="BL364" s="66"/>
      <c r="BM364" s="144">
        <f t="shared" si="324"/>
        <v>4.0824033526960742E-2</v>
      </c>
      <c r="BN364" s="65">
        <f t="shared" si="325"/>
        <v>1047590.7549295775</v>
      </c>
      <c r="BO364" s="66"/>
      <c r="BP364" s="66">
        <f t="shared" si="326"/>
        <v>28731077</v>
      </c>
      <c r="BQ364" s="66"/>
      <c r="BR364" s="435">
        <f t="shared" si="306"/>
        <v>7.7255942634818497E-2</v>
      </c>
      <c r="BS364" s="66"/>
      <c r="BT364" s="75"/>
      <c r="BU364" s="170"/>
      <c r="BV364" s="1"/>
      <c r="BW364" s="61">
        <f t="shared" si="189"/>
        <v>355</v>
      </c>
    </row>
    <row r="365" spans="2:75" x14ac:dyDescent="0.3">
      <c r="B365" s="158">
        <f t="shared" si="163"/>
        <v>44265</v>
      </c>
      <c r="C365" s="61"/>
      <c r="D365" s="17">
        <v>61360</v>
      </c>
      <c r="E365" s="16"/>
      <c r="F365" s="16"/>
      <c r="G365" s="16"/>
      <c r="H365" s="16">
        <f t="shared" si="308"/>
        <v>29699415</v>
      </c>
      <c r="I365" s="16"/>
      <c r="J365" s="436">
        <f t="shared" si="309"/>
        <v>2.0703112940440929E-3</v>
      </c>
      <c r="K365" s="16"/>
      <c r="L365" s="16"/>
      <c r="M365" s="16"/>
      <c r="N365" s="16">
        <f t="shared" si="327"/>
        <v>400167</v>
      </c>
      <c r="O365" s="16">
        <f t="shared" si="310"/>
        <v>83425.323033707871</v>
      </c>
      <c r="P365" s="41"/>
      <c r="Q365" s="17">
        <f t="shared" ref="Q365:Q383" si="328">SUM(D359:D365)</f>
        <v>400167</v>
      </c>
      <c r="R365" s="16"/>
      <c r="S365" s="60">
        <f t="shared" ref="S365:S383" si="329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11"/>
        <v>534715</v>
      </c>
      <c r="AB365" s="33"/>
      <c r="AC365" s="46">
        <f t="shared" si="312"/>
        <v>1.8004226682579439E-2</v>
      </c>
      <c r="AD365" s="33"/>
      <c r="AE365" s="33">
        <f t="shared" si="313"/>
        <v>1502.0084269662921</v>
      </c>
      <c r="AF365" s="50"/>
      <c r="AG365" s="33">
        <f t="shared" si="314"/>
        <v>10204</v>
      </c>
      <c r="AH365" s="33">
        <f t="shared" si="315"/>
        <v>1164147489.060914</v>
      </c>
      <c r="AI365" s="213">
        <f t="shared" si="316"/>
        <v>-0.23341597175268575</v>
      </c>
      <c r="AJ365" s="50"/>
      <c r="AK365" s="111"/>
      <c r="AL365" s="23">
        <f t="shared" si="307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7"/>
        <v>7.8437238773279069E-3</v>
      </c>
      <c r="AS365" s="25"/>
      <c r="AT365" s="25"/>
      <c r="AU365" s="24"/>
      <c r="AV365" s="298">
        <f t="shared" si="318"/>
        <v>0.69734922388201925</v>
      </c>
      <c r="AW365" s="298"/>
      <c r="AX365" s="24">
        <f t="shared" si="319"/>
        <v>58176.584269662919</v>
      </c>
      <c r="AY365" s="308"/>
      <c r="AZ365" s="111"/>
      <c r="BA365" s="65">
        <f t="shared" si="320"/>
        <v>1211143</v>
      </c>
      <c r="BB365" s="66"/>
      <c r="BC365" s="66">
        <v>373105861</v>
      </c>
      <c r="BD365" s="66"/>
      <c r="BE365" s="66">
        <f t="shared" si="321"/>
        <v>61360</v>
      </c>
      <c r="BF365" s="66"/>
      <c r="BG365" s="144">
        <f t="shared" si="322"/>
        <v>5.0662886215748264E-2</v>
      </c>
      <c r="BH365" s="66"/>
      <c r="BI365" s="170"/>
      <c r="BJ365" s="66"/>
      <c r="BK365" s="66">
        <f t="shared" si="323"/>
        <v>9698110</v>
      </c>
      <c r="BL365" s="66"/>
      <c r="BM365" s="144">
        <f t="shared" si="324"/>
        <v>4.126236967821565E-2</v>
      </c>
      <c r="BN365" s="65">
        <f t="shared" si="325"/>
        <v>1048050.1713483146</v>
      </c>
      <c r="BO365" s="66"/>
      <c r="BP365" s="66">
        <f t="shared" si="326"/>
        <v>28792437</v>
      </c>
      <c r="BQ365" s="66"/>
      <c r="BR365" s="435">
        <f t="shared" si="306"/>
        <v>7.7169618624672309E-2</v>
      </c>
      <c r="BS365" s="66"/>
      <c r="BT365" s="75"/>
      <c r="BU365" s="170"/>
      <c r="BV365" s="1"/>
      <c r="BW365" s="61">
        <f t="shared" si="189"/>
        <v>356</v>
      </c>
    </row>
    <row r="366" spans="2:75" x14ac:dyDescent="0.3">
      <c r="B366" s="158">
        <f t="shared" si="163"/>
        <v>44266</v>
      </c>
      <c r="C366" s="61"/>
      <c r="D366" s="17">
        <v>62773</v>
      </c>
      <c r="E366" s="16"/>
      <c r="F366" s="16"/>
      <c r="G366" s="16"/>
      <c r="H366" s="16">
        <f t="shared" si="308"/>
        <v>29762188</v>
      </c>
      <c r="I366" s="16"/>
      <c r="J366" s="436">
        <f t="shared" si="309"/>
        <v>2.1136106552940522E-3</v>
      </c>
      <c r="K366" s="16"/>
      <c r="L366" s="16"/>
      <c r="M366" s="16"/>
      <c r="N366" s="16">
        <f t="shared" si="327"/>
        <v>394619</v>
      </c>
      <c r="O366" s="16">
        <f t="shared" si="310"/>
        <v>83367.473389355742</v>
      </c>
      <c r="P366" s="41"/>
      <c r="Q366" s="17">
        <f t="shared" si="328"/>
        <v>394619</v>
      </c>
      <c r="R366" s="16"/>
      <c r="S366" s="60">
        <f t="shared" si="329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11"/>
        <v>536288</v>
      </c>
      <c r="AB366" s="33"/>
      <c r="AC366" s="46">
        <f t="shared" si="312"/>
        <v>1.8019105315778532E-2</v>
      </c>
      <c r="AD366" s="33"/>
      <c r="AE366" s="33">
        <f t="shared" si="313"/>
        <v>1502.2072829131653</v>
      </c>
      <c r="AF366" s="50"/>
      <c r="AG366" s="33">
        <f t="shared" si="314"/>
        <v>9784</v>
      </c>
      <c r="AH366" s="33">
        <f t="shared" si="315"/>
        <v>1164051947.060914</v>
      </c>
      <c r="AI366" s="213">
        <f t="shared" si="316"/>
        <v>-0.24096198603568658</v>
      </c>
      <c r="AJ366" s="50"/>
      <c r="AK366" s="111"/>
      <c r="AL366" s="23">
        <f t="shared" si="307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7"/>
        <v>3.847739041693287E-3</v>
      </c>
      <c r="AS366" s="25"/>
      <c r="AT366" s="25"/>
      <c r="AU366" s="24"/>
      <c r="AV366" s="298">
        <f t="shared" si="318"/>
        <v>0.69855596638257911</v>
      </c>
      <c r="AW366" s="298"/>
      <c r="AX366" s="24">
        <f t="shared" si="319"/>
        <v>58236.845938375351</v>
      </c>
      <c r="AY366" s="308"/>
      <c r="AZ366" s="111"/>
      <c r="BA366" s="65">
        <f t="shared" si="320"/>
        <v>1365110</v>
      </c>
      <c r="BB366" s="66"/>
      <c r="BC366" s="66">
        <v>374470971</v>
      </c>
      <c r="BD366" s="66"/>
      <c r="BE366" s="66">
        <f t="shared" si="321"/>
        <v>62773</v>
      </c>
      <c r="BF366" s="66"/>
      <c r="BG366" s="144">
        <f t="shared" si="322"/>
        <v>4.5983840130099408E-2</v>
      </c>
      <c r="BH366" s="66"/>
      <c r="BI366" s="170"/>
      <c r="BJ366" s="66"/>
      <c r="BK366" s="66">
        <f t="shared" si="323"/>
        <v>9453778</v>
      </c>
      <c r="BL366" s="66"/>
      <c r="BM366" s="144">
        <f t="shared" si="324"/>
        <v>4.1741936398337259E-2</v>
      </c>
      <c r="BN366" s="65">
        <f t="shared" si="325"/>
        <v>1048938.294117647</v>
      </c>
      <c r="BO366" s="66"/>
      <c r="BP366" s="66">
        <f t="shared" si="326"/>
        <v>28855210</v>
      </c>
      <c r="BQ366" s="66"/>
      <c r="BR366" s="435">
        <f t="shared" si="306"/>
        <v>7.7055932861615592E-2</v>
      </c>
      <c r="BS366" s="66"/>
      <c r="BT366" s="75"/>
      <c r="BU366" s="170"/>
      <c r="BV366" s="1"/>
      <c r="BW366" s="61">
        <f t="shared" si="189"/>
        <v>357</v>
      </c>
    </row>
    <row r="367" spans="2:75" x14ac:dyDescent="0.3">
      <c r="B367" s="158">
        <f t="shared" si="163"/>
        <v>44267</v>
      </c>
      <c r="C367" s="61"/>
      <c r="D367" s="17">
        <v>66785</v>
      </c>
      <c r="E367" s="16"/>
      <c r="F367" s="16"/>
      <c r="G367" s="16"/>
      <c r="H367" s="16">
        <f t="shared" si="308"/>
        <v>29828973</v>
      </c>
      <c r="I367" s="16"/>
      <c r="J367" s="436">
        <f t="shared" si="309"/>
        <v>2.243954644732437E-3</v>
      </c>
      <c r="K367" s="16"/>
      <c r="L367" s="16"/>
      <c r="M367" s="16"/>
      <c r="N367" s="16">
        <f t="shared" si="327"/>
        <v>392164</v>
      </c>
      <c r="O367" s="16">
        <f t="shared" si="310"/>
        <v>83321.15363128492</v>
      </c>
      <c r="P367" s="41"/>
      <c r="Q367" s="17">
        <f t="shared" si="328"/>
        <v>392164</v>
      </c>
      <c r="R367" s="16"/>
      <c r="S367" s="60">
        <f t="shared" si="329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11"/>
        <v>537793</v>
      </c>
      <c r="AB367" s="33"/>
      <c r="AC367" s="46">
        <f t="shared" si="312"/>
        <v>1.8029216091348502E-2</v>
      </c>
      <c r="AD367" s="33"/>
      <c r="AE367" s="33">
        <f t="shared" si="313"/>
        <v>1502.2150837988827</v>
      </c>
      <c r="AF367" s="50"/>
      <c r="AG367" s="33">
        <f t="shared" si="314"/>
        <v>9453</v>
      </c>
      <c r="AH367" s="33">
        <f t="shared" si="315"/>
        <v>1163955141.060914</v>
      </c>
      <c r="AI367" s="213">
        <f t="shared" si="316"/>
        <v>-0.24254807692307692</v>
      </c>
      <c r="AJ367" s="50"/>
      <c r="AK367" s="111"/>
      <c r="AL367" s="23">
        <f t="shared" si="307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7"/>
        <v>5.9674504104123442E-2</v>
      </c>
      <c r="AS367" s="25"/>
      <c r="AT367" s="25"/>
      <c r="AU367" s="24"/>
      <c r="AV367" s="298">
        <f t="shared" si="318"/>
        <v>0.73858459692863043</v>
      </c>
      <c r="AW367" s="298"/>
      <c r="AX367" s="24">
        <f t="shared" si="319"/>
        <v>61539.720670391063</v>
      </c>
      <c r="AY367" s="308"/>
      <c r="AZ367" s="111"/>
      <c r="BA367" s="65">
        <f t="shared" si="320"/>
        <v>1665177</v>
      </c>
      <c r="BB367" s="66"/>
      <c r="BC367" s="66">
        <v>376136148</v>
      </c>
      <c r="BD367" s="66"/>
      <c r="BE367" s="66">
        <f t="shared" si="321"/>
        <v>66785</v>
      </c>
      <c r="BF367" s="66"/>
      <c r="BG367" s="144">
        <f t="shared" si="322"/>
        <v>4.0106847500295764E-2</v>
      </c>
      <c r="BH367" s="66"/>
      <c r="BI367" s="170"/>
      <c r="BJ367" s="66"/>
      <c r="BK367" s="66">
        <f t="shared" si="323"/>
        <v>9339436</v>
      </c>
      <c r="BL367" s="66"/>
      <c r="BM367" s="144">
        <f t="shared" si="324"/>
        <v>4.1990115891366461E-2</v>
      </c>
      <c r="BN367" s="65">
        <f t="shared" si="325"/>
        <v>1050659.6312849163</v>
      </c>
      <c r="BO367" s="66"/>
      <c r="BP367" s="66">
        <f t="shared" si="326"/>
        <v>28921995</v>
      </c>
      <c r="BQ367" s="66"/>
      <c r="BR367" s="435">
        <f t="shared" si="306"/>
        <v>7.6892357072790574E-2</v>
      </c>
      <c r="BS367" s="66"/>
      <c r="BT367" s="75"/>
      <c r="BU367" s="170"/>
      <c r="BV367" s="1"/>
      <c r="BW367" s="61">
        <f t="shared" si="189"/>
        <v>358</v>
      </c>
    </row>
    <row r="368" spans="2:75" x14ac:dyDescent="0.3">
      <c r="B368" s="158">
        <f t="shared" si="163"/>
        <v>44268</v>
      </c>
      <c r="C368" s="61"/>
      <c r="D368" s="17">
        <v>49718</v>
      </c>
      <c r="E368" s="16"/>
      <c r="F368" s="16"/>
      <c r="G368" s="16"/>
      <c r="H368" s="16">
        <f t="shared" si="308"/>
        <v>29878691</v>
      </c>
      <c r="I368" s="16"/>
      <c r="J368" s="436">
        <f t="shared" si="309"/>
        <v>1.6667687486257069E-3</v>
      </c>
      <c r="K368" s="16"/>
      <c r="L368" s="16"/>
      <c r="M368" s="16"/>
      <c r="N368" s="16">
        <f t="shared" si="327"/>
        <v>383654</v>
      </c>
      <c r="O368" s="16">
        <f t="shared" si="310"/>
        <v>83227.551532033423</v>
      </c>
      <c r="P368" s="41"/>
      <c r="Q368" s="17">
        <f t="shared" si="328"/>
        <v>383654</v>
      </c>
      <c r="R368" s="16"/>
      <c r="S368" s="60">
        <f t="shared" si="329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11"/>
        <v>538827</v>
      </c>
      <c r="AB368" s="33"/>
      <c r="AC368" s="46">
        <f t="shared" si="312"/>
        <v>1.8033822164431501E-2</v>
      </c>
      <c r="AD368" s="33"/>
      <c r="AE368" s="33">
        <f t="shared" si="313"/>
        <v>1500.9108635097493</v>
      </c>
      <c r="AF368" s="50"/>
      <c r="AG368" s="33">
        <f t="shared" si="314"/>
        <v>8972</v>
      </c>
      <c r="AH368" s="33">
        <f t="shared" si="315"/>
        <v>1163850897.060914</v>
      </c>
      <c r="AI368" s="213">
        <f t="shared" si="316"/>
        <v>-0.27883610642231332</v>
      </c>
      <c r="AJ368" s="50"/>
      <c r="AK368" s="111"/>
      <c r="AL368" s="23">
        <f t="shared" si="307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7"/>
        <v>3.5121069101030264E-3</v>
      </c>
      <c r="AS368" s="25"/>
      <c r="AT368" s="25"/>
      <c r="AU368" s="24"/>
      <c r="AV368" s="298">
        <f t="shared" si="318"/>
        <v>0.73994526734789012</v>
      </c>
      <c r="AW368" s="298"/>
      <c r="AX368" s="24">
        <f t="shared" si="319"/>
        <v>61583.832869080783</v>
      </c>
      <c r="AY368" s="308"/>
      <c r="AZ368" s="111"/>
      <c r="BA368" s="65">
        <f t="shared" si="320"/>
        <v>2956587</v>
      </c>
      <c r="BB368" s="66"/>
      <c r="BC368" s="66">
        <v>379092735</v>
      </c>
      <c r="BD368" s="66"/>
      <c r="BE368" s="66">
        <f t="shared" si="321"/>
        <v>49718</v>
      </c>
      <c r="BF368" s="66"/>
      <c r="BG368" s="144">
        <f t="shared" si="322"/>
        <v>1.6816011164224154E-2</v>
      </c>
      <c r="BH368" s="66"/>
      <c r="BI368" s="170"/>
      <c r="BJ368" s="66"/>
      <c r="BK368" s="66">
        <f t="shared" si="323"/>
        <v>11000462</v>
      </c>
      <c r="BL368" s="66"/>
      <c r="BM368" s="144">
        <f t="shared" si="324"/>
        <v>3.4876171564430659E-2</v>
      </c>
      <c r="BN368" s="65">
        <f t="shared" si="325"/>
        <v>1055968.6211699164</v>
      </c>
      <c r="BO368" s="66"/>
      <c r="BP368" s="66">
        <f t="shared" si="326"/>
        <v>28971713</v>
      </c>
      <c r="BQ368" s="66"/>
      <c r="BR368" s="435">
        <f t="shared" si="306"/>
        <v>7.6423814874742979E-2</v>
      </c>
      <c r="BS368" s="66"/>
      <c r="BT368" s="75"/>
      <c r="BU368" s="170"/>
      <c r="BV368" s="1"/>
      <c r="BW368" s="61">
        <f t="shared" si="189"/>
        <v>359</v>
      </c>
    </row>
    <row r="369" spans="2:75" x14ac:dyDescent="0.3">
      <c r="B369" s="347">
        <f t="shared" si="163"/>
        <v>44269</v>
      </c>
      <c r="C369" s="61"/>
      <c r="D369" s="17">
        <v>36896</v>
      </c>
      <c r="E369" s="16"/>
      <c r="F369" s="16"/>
      <c r="G369" s="16"/>
      <c r="H369" s="16">
        <f t="shared" si="308"/>
        <v>29915587</v>
      </c>
      <c r="I369" s="16"/>
      <c r="J369" s="436">
        <f t="shared" si="309"/>
        <v>1.2348599876748283E-3</v>
      </c>
      <c r="K369" s="16"/>
      <c r="L369" s="16"/>
      <c r="M369" s="16"/>
      <c r="N369" s="16">
        <f t="shared" si="327"/>
        <v>378583</v>
      </c>
      <c r="O369" s="16">
        <f t="shared" si="310"/>
        <v>83098.852777777778</v>
      </c>
      <c r="P369" s="41"/>
      <c r="Q369" s="17">
        <f t="shared" si="328"/>
        <v>378583</v>
      </c>
      <c r="R369" s="16"/>
      <c r="S369" s="60">
        <f t="shared" si="329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30">SUM(W364:W369)</f>
        <v>8055</v>
      </c>
      <c r="AA369" s="33">
        <f t="shared" si="311"/>
        <v>539456</v>
      </c>
      <c r="AB369" s="33"/>
      <c r="AC369" s="46">
        <f t="shared" si="312"/>
        <v>1.8032606212941768E-2</v>
      </c>
      <c r="AD369" s="33"/>
      <c r="AE369" s="33">
        <f t="shared" si="313"/>
        <v>1498.4888888888888</v>
      </c>
      <c r="AF369" s="50"/>
      <c r="AG369" s="33">
        <f t="shared" si="314"/>
        <v>8885</v>
      </c>
      <c r="AH369" s="33">
        <f t="shared" si="315"/>
        <v>1163750609.060914</v>
      </c>
      <c r="AI369" s="213">
        <f t="shared" si="316"/>
        <v>-0.25172646117567793</v>
      </c>
      <c r="AJ369" s="50"/>
      <c r="AK369" s="111"/>
      <c r="AL369" s="23">
        <f t="shared" si="307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7"/>
        <v>2.7428697869371715E-3</v>
      </c>
      <c r="AS369" s="25"/>
      <c r="AT369" s="25"/>
      <c r="AU369" s="24"/>
      <c r="AV369" s="298">
        <f t="shared" si="318"/>
        <v>0.74105973584940854</v>
      </c>
      <c r="AW369" s="298"/>
      <c r="AX369" s="24">
        <f t="shared" si="319"/>
        <v>61581.213888888888</v>
      </c>
      <c r="AY369" s="308"/>
      <c r="AZ369" s="111"/>
      <c r="BA369" s="65">
        <f t="shared" si="320"/>
        <v>1155639</v>
      </c>
      <c r="BB369" s="66"/>
      <c r="BC369" s="66">
        <v>380248374</v>
      </c>
      <c r="BD369" s="66"/>
      <c r="BE369" s="66">
        <f t="shared" si="321"/>
        <v>36896</v>
      </c>
      <c r="BF369" s="66"/>
      <c r="BG369" s="144">
        <f t="shared" si="322"/>
        <v>3.1926925276838179E-2</v>
      </c>
      <c r="BH369" s="66"/>
      <c r="BI369" s="170"/>
      <c r="BJ369" s="66"/>
      <c r="BK369" s="66">
        <f t="shared" si="323"/>
        <v>11038140</v>
      </c>
      <c r="BL369" s="66"/>
      <c r="BM369" s="144">
        <f t="shared" si="324"/>
        <v>3.4297716825479656E-2</v>
      </c>
      <c r="BN369" s="65">
        <f t="shared" si="325"/>
        <v>1056245.4833333334</v>
      </c>
      <c r="BO369" s="66"/>
      <c r="BP369" s="66">
        <f t="shared" si="326"/>
        <v>29008609</v>
      </c>
      <c r="BQ369" s="66"/>
      <c r="BR369" s="435">
        <f t="shared" ref="BR369:BR383" si="331">+BP369/BC369</f>
        <v>7.6288581315537729E-2</v>
      </c>
      <c r="BS369" s="66"/>
      <c r="BT369" s="75"/>
      <c r="BU369" s="170"/>
      <c r="BV369" s="1"/>
      <c r="BW369" s="61">
        <f t="shared" si="189"/>
        <v>360</v>
      </c>
    </row>
    <row r="370" spans="2:75" x14ac:dyDescent="0.3">
      <c r="B370" s="158">
        <f t="shared" si="163"/>
        <v>44270</v>
      </c>
      <c r="C370" s="61"/>
      <c r="D370" s="17">
        <v>46767</v>
      </c>
      <c r="E370" s="16"/>
      <c r="F370" s="16"/>
      <c r="G370" s="16"/>
      <c r="H370" s="16">
        <f t="shared" si="308"/>
        <v>29962354</v>
      </c>
      <c r="I370" s="16"/>
      <c r="J370" s="436">
        <f t="shared" si="309"/>
        <v>1.5632987579351193E-3</v>
      </c>
      <c r="K370" s="16"/>
      <c r="L370" s="16"/>
      <c r="M370" s="16"/>
      <c r="N370" s="16">
        <f t="shared" si="327"/>
        <v>379982</v>
      </c>
      <c r="O370" s="16">
        <f t="shared" si="310"/>
        <v>82998.210526315786</v>
      </c>
      <c r="P370" s="41"/>
      <c r="Q370" s="17">
        <f t="shared" si="328"/>
        <v>379982</v>
      </c>
      <c r="R370" s="16"/>
      <c r="S370" s="60">
        <f t="shared" si="329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30"/>
        <v>7191</v>
      </c>
      <c r="AA370" s="33">
        <f t="shared" si="311"/>
        <v>540296</v>
      </c>
      <c r="AB370" s="33"/>
      <c r="AC370" s="46">
        <f t="shared" si="312"/>
        <v>1.803249504361373E-2</v>
      </c>
      <c r="AD370" s="33"/>
      <c r="AE370" s="33">
        <f t="shared" si="313"/>
        <v>1496.6648199445983</v>
      </c>
      <c r="AF370" s="50"/>
      <c r="AG370" s="33">
        <f t="shared" si="314"/>
        <v>8895</v>
      </c>
      <c r="AH370" s="33">
        <f t="shared" si="315"/>
        <v>1163664125.060914</v>
      </c>
      <c r="AI370" s="213">
        <f t="shared" si="316"/>
        <v>-0.20721925133689839</v>
      </c>
      <c r="AJ370" s="50"/>
      <c r="AK370" s="111" t="s">
        <v>26</v>
      </c>
      <c r="AL370" s="23">
        <f t="shared" si="307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7"/>
        <v>3.6430211829121587E-3</v>
      </c>
      <c r="AS370" s="25"/>
      <c r="AT370" s="25"/>
      <c r="AU370" s="24"/>
      <c r="AV370" s="298">
        <f t="shared" si="318"/>
        <v>0.74259852880718247</v>
      </c>
      <c r="AW370" s="298"/>
      <c r="AX370" s="24">
        <f t="shared" si="319"/>
        <v>61634.349030470912</v>
      </c>
      <c r="AY370" s="308"/>
      <c r="AZ370" s="111"/>
      <c r="BA370" s="65">
        <f t="shared" si="320"/>
        <v>1251626</v>
      </c>
      <c r="BB370" s="66"/>
      <c r="BC370" s="66">
        <v>381500000</v>
      </c>
      <c r="BD370" s="66"/>
      <c r="BE370" s="66">
        <f t="shared" si="321"/>
        <v>46767</v>
      </c>
      <c r="BF370" s="66"/>
      <c r="BG370" s="144">
        <f t="shared" si="322"/>
        <v>3.7364995613705689E-2</v>
      </c>
      <c r="BH370" s="66"/>
      <c r="BI370" s="170"/>
      <c r="BJ370" s="66"/>
      <c r="BK370" s="66">
        <f t="shared" si="323"/>
        <v>10861503</v>
      </c>
      <c r="BL370" s="66"/>
      <c r="BM370" s="144">
        <f t="shared" si="324"/>
        <v>3.4984292689510837E-2</v>
      </c>
      <c r="BN370" s="65">
        <f t="shared" si="325"/>
        <v>1056786.7036011079</v>
      </c>
      <c r="BO370" s="66"/>
      <c r="BP370" s="66">
        <f t="shared" si="326"/>
        <v>29055376</v>
      </c>
      <c r="BQ370" s="66"/>
      <c r="BR370" s="435">
        <f t="shared" si="331"/>
        <v>7.6160880733944961E-2</v>
      </c>
      <c r="BS370" s="66"/>
      <c r="BT370" s="75"/>
      <c r="BU370" s="170"/>
      <c r="BV370" s="1"/>
      <c r="BW370" s="61">
        <f t="shared" si="189"/>
        <v>361</v>
      </c>
    </row>
    <row r="371" spans="2:75" x14ac:dyDescent="0.3">
      <c r="B371" s="158">
        <f t="shared" si="163"/>
        <v>44271</v>
      </c>
      <c r="C371" s="61"/>
      <c r="D371" s="17">
        <v>53231</v>
      </c>
      <c r="E371" s="16"/>
      <c r="F371" s="16"/>
      <c r="G371" s="16"/>
      <c r="H371" s="16">
        <f t="shared" si="308"/>
        <v>30015585</v>
      </c>
      <c r="I371" s="16"/>
      <c r="J371" s="436">
        <f t="shared" si="309"/>
        <v>1.7765960578397812E-3</v>
      </c>
      <c r="K371" s="16"/>
      <c r="L371" s="16"/>
      <c r="M371" s="16"/>
      <c r="N371" s="16">
        <f t="shared" si="327"/>
        <v>377530</v>
      </c>
      <c r="O371" s="16">
        <f t="shared" si="310"/>
        <v>82915.98066298342</v>
      </c>
      <c r="P371" s="41"/>
      <c r="Q371" s="17">
        <f t="shared" si="328"/>
        <v>377530</v>
      </c>
      <c r="R371" s="16"/>
      <c r="S371" s="60">
        <f t="shared" si="329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30"/>
        <v>6829</v>
      </c>
      <c r="AA371" s="33">
        <f t="shared" si="311"/>
        <v>541544</v>
      </c>
      <c r="AB371" s="33"/>
      <c r="AC371" s="46">
        <f t="shared" si="312"/>
        <v>1.8042093798938119E-2</v>
      </c>
      <c r="AD371" s="33"/>
      <c r="AE371" s="33">
        <f t="shared" si="313"/>
        <v>1495.9779005524863</v>
      </c>
      <c r="AF371" s="50"/>
      <c r="AG371" s="33">
        <f t="shared" si="314"/>
        <v>8439</v>
      </c>
      <c r="AH371" s="33">
        <f t="shared" si="315"/>
        <v>1163599828.060914</v>
      </c>
      <c r="AI371" s="213">
        <f t="shared" si="316"/>
        <v>-0.22825788751714679</v>
      </c>
      <c r="AJ371" s="50"/>
      <c r="AK371" s="111"/>
      <c r="AL371" s="23">
        <f t="shared" si="307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7"/>
        <v>4.8750112359550561E-3</v>
      </c>
      <c r="AS371" s="25"/>
      <c r="AT371" s="25"/>
      <c r="AU371" s="24"/>
      <c r="AV371" s="298">
        <f t="shared" si="318"/>
        <v>0.744895326877687</v>
      </c>
      <c r="AW371" s="298"/>
      <c r="AX371" s="24">
        <f t="shared" si="319"/>
        <v>61763.726519337019</v>
      </c>
      <c r="AY371" s="308"/>
      <c r="AZ371" s="111"/>
      <c r="BA371" s="65">
        <f t="shared" si="320"/>
        <v>1070784</v>
      </c>
      <c r="BB371" s="66"/>
      <c r="BC371" s="66">
        <v>382570784</v>
      </c>
      <c r="BD371" s="66"/>
      <c r="BE371" s="66">
        <f t="shared" si="321"/>
        <v>53231</v>
      </c>
      <c r="BF371" s="66"/>
      <c r="BG371" s="144">
        <f t="shared" si="322"/>
        <v>4.9712173510250431E-2</v>
      </c>
      <c r="BH371" s="66"/>
      <c r="BI371" s="170"/>
      <c r="BJ371" s="66"/>
      <c r="BK371" s="66">
        <f t="shared" si="323"/>
        <v>10676066</v>
      </c>
      <c r="BL371" s="66"/>
      <c r="BM371" s="144">
        <f t="shared" si="324"/>
        <v>3.5362276703797074E-2</v>
      </c>
      <c r="BN371" s="65">
        <f t="shared" si="325"/>
        <v>1056825.370165746</v>
      </c>
      <c r="BO371" s="66"/>
      <c r="BP371" s="66">
        <f t="shared" si="326"/>
        <v>29108607</v>
      </c>
      <c r="BQ371" s="66"/>
      <c r="BR371" s="435">
        <f t="shared" si="331"/>
        <v>7.6086852988753062E-2</v>
      </c>
      <c r="BS371" s="66"/>
      <c r="BT371" s="75"/>
      <c r="BU371" s="170"/>
      <c r="BV371" s="1"/>
      <c r="BW371" s="61">
        <f t="shared" si="189"/>
        <v>362</v>
      </c>
    </row>
    <row r="372" spans="2:75" x14ac:dyDescent="0.3">
      <c r="B372" s="158">
        <f t="shared" si="163"/>
        <v>44272</v>
      </c>
      <c r="C372" s="61"/>
      <c r="D372" s="17">
        <v>63495</v>
      </c>
      <c r="E372" s="16"/>
      <c r="F372" s="16"/>
      <c r="G372" s="16"/>
      <c r="H372" s="16">
        <f t="shared" si="308"/>
        <v>30079080</v>
      </c>
      <c r="I372" s="16"/>
      <c r="J372" s="436">
        <f t="shared" si="309"/>
        <v>2.1154010491549638E-3</v>
      </c>
      <c r="K372" s="16"/>
      <c r="L372" s="16"/>
      <c r="M372" s="16"/>
      <c r="N372" s="16">
        <f t="shared" si="327"/>
        <v>379665</v>
      </c>
      <c r="O372" s="16">
        <f t="shared" si="310"/>
        <v>82862.479338842968</v>
      </c>
      <c r="P372" s="41"/>
      <c r="Q372" s="17">
        <f t="shared" si="328"/>
        <v>379665</v>
      </c>
      <c r="R372" s="16"/>
      <c r="S372" s="60">
        <f t="shared" si="329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30"/>
        <v>6548</v>
      </c>
      <c r="AA372" s="33">
        <f t="shared" si="311"/>
        <v>542836</v>
      </c>
      <c r="AB372" s="33"/>
      <c r="AC372" s="46">
        <f t="shared" si="312"/>
        <v>1.8046961542706758E-2</v>
      </c>
      <c r="AD372" s="33"/>
      <c r="AE372" s="33">
        <f t="shared" si="313"/>
        <v>1495.4159779614324</v>
      </c>
      <c r="AF372" s="50"/>
      <c r="AG372" s="33">
        <f t="shared" si="314"/>
        <v>8121</v>
      </c>
      <c r="AH372" s="33">
        <f t="shared" si="315"/>
        <v>1163547043.060914</v>
      </c>
      <c r="AI372" s="213">
        <f t="shared" si="316"/>
        <v>-0.20413563308506469</v>
      </c>
      <c r="AJ372" s="50"/>
      <c r="AK372" s="111"/>
      <c r="AL372" s="23">
        <f t="shared" si="307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7"/>
        <v>3.9719177551915561E-3</v>
      </c>
      <c r="AS372" s="25"/>
      <c r="AT372" s="25"/>
      <c r="AU372" s="24"/>
      <c r="AV372" s="298">
        <f t="shared" si="318"/>
        <v>0.74627531826106386</v>
      </c>
      <c r="AW372" s="298"/>
      <c r="AX372" s="24">
        <f t="shared" si="319"/>
        <v>61838.223140495866</v>
      </c>
      <c r="AY372" s="308"/>
      <c r="AZ372" s="111"/>
      <c r="BA372" s="65">
        <f t="shared" si="320"/>
        <v>1443977</v>
      </c>
      <c r="BB372" s="66"/>
      <c r="BC372" s="66">
        <v>384014761</v>
      </c>
      <c r="BD372" s="66"/>
      <c r="BE372" s="66">
        <f t="shared" si="321"/>
        <v>63495</v>
      </c>
      <c r="BF372" s="66"/>
      <c r="BG372" s="144">
        <f t="shared" si="322"/>
        <v>4.3972307038131493E-2</v>
      </c>
      <c r="BH372" s="66"/>
      <c r="BI372" s="170"/>
      <c r="BJ372" s="66"/>
      <c r="BK372" s="66">
        <f t="shared" si="323"/>
        <v>10908900</v>
      </c>
      <c r="BL372" s="66"/>
      <c r="BM372" s="144">
        <f t="shared" si="324"/>
        <v>3.4803234056595987E-2</v>
      </c>
      <c r="BN372" s="65">
        <f t="shared" si="325"/>
        <v>1057891.9035812672</v>
      </c>
      <c r="BO372" s="66"/>
      <c r="BP372" s="66">
        <f t="shared" si="326"/>
        <v>29172102</v>
      </c>
      <c r="BQ372" s="66"/>
      <c r="BR372" s="435">
        <f t="shared" si="331"/>
        <v>7.5966095480376597E-2</v>
      </c>
      <c r="BS372" s="66"/>
      <c r="BT372" s="75"/>
      <c r="BU372" s="170"/>
      <c r="BV372" s="1"/>
      <c r="BW372" s="61">
        <f t="shared" si="189"/>
        <v>363</v>
      </c>
    </row>
    <row r="373" spans="2:75" x14ac:dyDescent="0.3">
      <c r="B373" s="158">
        <f t="shared" si="163"/>
        <v>44273</v>
      </c>
      <c r="C373" s="61"/>
      <c r="D373" s="17">
        <v>62629</v>
      </c>
      <c r="E373" s="16"/>
      <c r="F373" s="16"/>
      <c r="G373" s="16"/>
      <c r="H373" s="16">
        <f t="shared" si="308"/>
        <v>30141709</v>
      </c>
      <c r="I373" s="16"/>
      <c r="J373" s="436">
        <f t="shared" si="309"/>
        <v>2.0821447996414782E-3</v>
      </c>
      <c r="K373" s="16"/>
      <c r="L373" s="16"/>
      <c r="M373" s="16"/>
      <c r="N373" s="16">
        <f t="shared" si="327"/>
        <v>379521</v>
      </c>
      <c r="O373" s="16">
        <f t="shared" si="310"/>
        <v>82806.892857142855</v>
      </c>
      <c r="P373" s="41"/>
      <c r="Q373" s="17">
        <f t="shared" si="328"/>
        <v>379521</v>
      </c>
      <c r="R373" s="16"/>
      <c r="S373" s="60">
        <f t="shared" si="329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30"/>
        <v>6748</v>
      </c>
      <c r="AA373" s="33">
        <f t="shared" si="311"/>
        <v>544541</v>
      </c>
      <c r="AB373" s="33"/>
      <c r="AC373" s="46">
        <f t="shared" si="312"/>
        <v>1.806602936814233E-2</v>
      </c>
      <c r="AD373" s="33"/>
      <c r="AE373" s="33">
        <f t="shared" si="313"/>
        <v>1495.9917582417581</v>
      </c>
      <c r="AF373" s="50"/>
      <c r="AG373" s="33">
        <f t="shared" si="314"/>
        <v>8253</v>
      </c>
      <c r="AH373" s="33">
        <f t="shared" si="315"/>
        <v>1163483645.060914</v>
      </c>
      <c r="AI373" s="213">
        <f t="shared" si="316"/>
        <v>-0.15647996729354047</v>
      </c>
      <c r="AJ373" s="50"/>
      <c r="AK373" s="111"/>
      <c r="AL373" s="23">
        <f t="shared" si="307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7"/>
        <v>3.4090552193974549E-3</v>
      </c>
      <c r="AS373" s="25"/>
      <c r="AT373" s="25"/>
      <c r="AU373" s="24"/>
      <c r="AV373" s="298">
        <f t="shared" si="318"/>
        <v>0.74726350121686858</v>
      </c>
      <c r="AW373" s="298"/>
      <c r="AX373" s="24">
        <f t="shared" si="319"/>
        <v>61878.568681318684</v>
      </c>
      <c r="AY373" s="308"/>
      <c r="AZ373" s="111"/>
      <c r="BA373" s="65">
        <f t="shared" si="320"/>
        <v>1655680</v>
      </c>
      <c r="BB373" s="66"/>
      <c r="BC373" s="66">
        <v>385670441</v>
      </c>
      <c r="BD373" s="66"/>
      <c r="BE373" s="66">
        <f t="shared" si="321"/>
        <v>62629</v>
      </c>
      <c r="BF373" s="66"/>
      <c r="BG373" s="144">
        <f t="shared" si="322"/>
        <v>3.7826753962118286E-2</v>
      </c>
      <c r="BH373" s="66"/>
      <c r="BI373" s="170"/>
      <c r="BJ373" s="66"/>
      <c r="BK373" s="66">
        <f t="shared" si="323"/>
        <v>11199470</v>
      </c>
      <c r="BL373" s="66"/>
      <c r="BM373" s="144">
        <f t="shared" si="324"/>
        <v>3.3887407171946528E-2</v>
      </c>
      <c r="BN373" s="65">
        <f t="shared" si="325"/>
        <v>1059534.1785714286</v>
      </c>
      <c r="BO373" s="66"/>
      <c r="BP373" s="66">
        <f t="shared" si="326"/>
        <v>29234731</v>
      </c>
      <c r="BQ373" s="66"/>
      <c r="BR373" s="435">
        <f t="shared" si="331"/>
        <v>7.5802363604007703E-2</v>
      </c>
      <c r="BS373" s="66"/>
      <c r="BT373" s="75"/>
      <c r="BU373" s="170"/>
      <c r="BV373" s="1"/>
      <c r="BW373" s="61">
        <f t="shared" si="189"/>
        <v>364</v>
      </c>
    </row>
    <row r="374" spans="2:75" x14ac:dyDescent="0.3">
      <c r="B374" s="158">
        <f t="shared" si="163"/>
        <v>44274</v>
      </c>
      <c r="C374" s="61"/>
      <c r="D374" s="17">
        <v>66413</v>
      </c>
      <c r="E374" s="16"/>
      <c r="F374" s="16"/>
      <c r="G374" s="16"/>
      <c r="H374" s="16">
        <f t="shared" si="308"/>
        <v>30208122</v>
      </c>
      <c r="I374" s="16"/>
      <c r="J374" s="436">
        <f t="shared" si="309"/>
        <v>2.2033588075579921E-3</v>
      </c>
      <c r="K374" s="16"/>
      <c r="L374" s="16"/>
      <c r="M374" s="16"/>
      <c r="N374" s="16">
        <f t="shared" si="327"/>
        <v>379149</v>
      </c>
      <c r="O374" s="16">
        <f t="shared" si="310"/>
        <v>82761.978082191781</v>
      </c>
      <c r="P374" s="41"/>
      <c r="Q374" s="17">
        <f t="shared" si="328"/>
        <v>379149</v>
      </c>
      <c r="R374" s="16"/>
      <c r="S374" s="60">
        <f t="shared" si="329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30"/>
        <v>6964</v>
      </c>
      <c r="AA374" s="33">
        <f t="shared" si="311"/>
        <v>545791</v>
      </c>
      <c r="AB374" s="33"/>
      <c r="AC374" s="46">
        <f t="shared" si="312"/>
        <v>1.8067690537001937E-2</v>
      </c>
      <c r="AD374" s="33"/>
      <c r="AE374" s="33">
        <f t="shared" si="313"/>
        <v>1495.317808219178</v>
      </c>
      <c r="AF374" s="50"/>
      <c r="AG374" s="33">
        <f t="shared" si="314"/>
        <v>7998</v>
      </c>
      <c r="AH374" s="33">
        <f t="shared" si="315"/>
        <v>1163412005.060914</v>
      </c>
      <c r="AI374" s="213">
        <f t="shared" si="316"/>
        <v>-0.1539193906696287</v>
      </c>
      <c r="AJ374" s="50"/>
      <c r="AK374" s="111" t="s">
        <v>26</v>
      </c>
      <c r="AL374" s="23">
        <f t="shared" si="307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7"/>
        <v>2.9391578214669738E-3</v>
      </c>
      <c r="AS374" s="25"/>
      <c r="AT374" s="25"/>
      <c r="AU374" s="24"/>
      <c r="AV374" s="298">
        <f t="shared" si="318"/>
        <v>0.74781212814222608</v>
      </c>
      <c r="AW374" s="298"/>
      <c r="AX374" s="24">
        <f t="shared" si="319"/>
        <v>61890.410958904111</v>
      </c>
      <c r="AY374" s="308"/>
      <c r="AZ374" s="111"/>
      <c r="BA374" s="65">
        <f t="shared" si="320"/>
        <v>1179559</v>
      </c>
      <c r="BB374" s="66"/>
      <c r="BC374" s="66">
        <v>386850000</v>
      </c>
      <c r="BD374" s="66"/>
      <c r="BE374" s="66">
        <f t="shared" si="321"/>
        <v>66413</v>
      </c>
      <c r="BF374" s="66"/>
      <c r="BG374" s="144">
        <f t="shared" si="322"/>
        <v>5.6303245534983837E-2</v>
      </c>
      <c r="BH374" s="66"/>
      <c r="BI374" s="170"/>
      <c r="BJ374" s="66"/>
      <c r="BK374" s="66">
        <f t="shared" si="323"/>
        <v>10713852</v>
      </c>
      <c r="BL374" s="66"/>
      <c r="BM374" s="144">
        <f t="shared" si="324"/>
        <v>3.5388672533464158E-2</v>
      </c>
      <c r="BN374" s="65">
        <f t="shared" si="325"/>
        <v>1059863.01369863</v>
      </c>
      <c r="BO374" s="66"/>
      <c r="BP374" s="66">
        <f t="shared" si="326"/>
        <v>29301144</v>
      </c>
      <c r="BQ374" s="66"/>
      <c r="BR374" s="435">
        <f t="shared" si="331"/>
        <v>7.5742908103916248E-2</v>
      </c>
      <c r="BS374" s="66"/>
      <c r="BT374" s="75"/>
      <c r="BU374" s="170"/>
      <c r="BV374" s="1"/>
      <c r="BW374" s="61">
        <f t="shared" si="189"/>
        <v>365</v>
      </c>
    </row>
    <row r="375" spans="2:75" x14ac:dyDescent="0.3">
      <c r="B375" s="158">
        <f t="shared" si="163"/>
        <v>44275</v>
      </c>
      <c r="C375" s="61"/>
      <c r="D375" s="17">
        <v>55908</v>
      </c>
      <c r="E375" s="16"/>
      <c r="F375" s="16"/>
      <c r="G375" s="16"/>
      <c r="H375" s="16">
        <f t="shared" si="308"/>
        <v>30264030</v>
      </c>
      <c r="I375" s="16"/>
      <c r="J375" s="436">
        <f t="shared" si="309"/>
        <v>1.8507605338723141E-3</v>
      </c>
      <c r="K375" s="16"/>
      <c r="L375" s="16"/>
      <c r="M375" s="16"/>
      <c r="N375" s="16">
        <f t="shared" si="327"/>
        <v>385339</v>
      </c>
      <c r="O375" s="16">
        <f t="shared" si="310"/>
        <v>82688.606557377047</v>
      </c>
      <c r="P375" s="41"/>
      <c r="Q375" s="17">
        <f t="shared" si="328"/>
        <v>385339</v>
      </c>
      <c r="R375" s="16"/>
      <c r="S375" s="60">
        <f t="shared" si="329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30"/>
        <v>7127</v>
      </c>
      <c r="AA375" s="33">
        <f t="shared" si="311"/>
        <v>546583</v>
      </c>
      <c r="AB375" s="33"/>
      <c r="AC375" s="46">
        <f t="shared" si="312"/>
        <v>1.8060483022254471E-2</v>
      </c>
      <c r="AD375" s="33"/>
      <c r="AE375" s="33">
        <f t="shared" si="313"/>
        <v>1493.3961748633881</v>
      </c>
      <c r="AF375" s="50"/>
      <c r="AG375" s="33">
        <f t="shared" si="314"/>
        <v>7756</v>
      </c>
      <c r="AH375" s="33">
        <f t="shared" si="315"/>
        <v>1163343081.060914</v>
      </c>
      <c r="AI375" s="213">
        <f t="shared" si="316"/>
        <v>-0.13553276861346411</v>
      </c>
      <c r="AJ375" s="50"/>
      <c r="AK375" s="111"/>
      <c r="AL375" s="23">
        <f t="shared" si="307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7"/>
        <v>4.1441788401947767E-3</v>
      </c>
      <c r="AS375" s="25"/>
      <c r="AT375" s="25"/>
      <c r="AU375" s="24"/>
      <c r="AV375" s="298">
        <f t="shared" si="318"/>
        <v>0.74952400589082158</v>
      </c>
      <c r="AW375" s="298"/>
      <c r="AX375" s="24">
        <f t="shared" si="319"/>
        <v>61977.0956284153</v>
      </c>
      <c r="AY375" s="308"/>
      <c r="AZ375" s="111"/>
      <c r="BA375" s="65">
        <f t="shared" si="320"/>
        <v>1849199</v>
      </c>
      <c r="BB375" s="66"/>
      <c r="BC375" s="66">
        <v>388699199</v>
      </c>
      <c r="BD375" s="66"/>
      <c r="BE375" s="66">
        <f t="shared" si="321"/>
        <v>55908</v>
      </c>
      <c r="BF375" s="66"/>
      <c r="BG375" s="144">
        <f t="shared" si="322"/>
        <v>3.0233630885588843E-2</v>
      </c>
      <c r="BH375" s="66"/>
      <c r="BI375" s="170"/>
      <c r="BJ375" s="66"/>
      <c r="BK375" s="66">
        <f t="shared" si="323"/>
        <v>9606464</v>
      </c>
      <c r="BL375" s="66"/>
      <c r="BM375" s="144">
        <f t="shared" si="324"/>
        <v>4.0112470103463665E-2</v>
      </c>
      <c r="BN375" s="65">
        <f t="shared" si="325"/>
        <v>1062019.6693989071</v>
      </c>
      <c r="BO375" s="66"/>
      <c r="BP375" s="66">
        <f t="shared" si="326"/>
        <v>29357052</v>
      </c>
      <c r="BQ375" s="66"/>
      <c r="BR375" s="435">
        <f t="shared" si="331"/>
        <v>7.5526402100972681E-2</v>
      </c>
      <c r="BS375" s="66"/>
      <c r="BT375" s="75"/>
      <c r="BU375" s="170"/>
      <c r="BV375" s="1"/>
      <c r="BW375" s="61">
        <f t="shared" si="189"/>
        <v>366</v>
      </c>
    </row>
    <row r="376" spans="2:75" x14ac:dyDescent="0.3">
      <c r="B376" s="347">
        <f t="shared" si="163"/>
        <v>44276</v>
      </c>
      <c r="C376" s="61"/>
      <c r="D376" s="17">
        <v>39505</v>
      </c>
      <c r="E376" s="16"/>
      <c r="F376" s="16"/>
      <c r="G376" s="16"/>
      <c r="H376" s="16">
        <f t="shared" si="308"/>
        <v>30303535</v>
      </c>
      <c r="I376" s="16"/>
      <c r="J376" s="436">
        <f t="shared" si="309"/>
        <v>1.3053449920582289E-3</v>
      </c>
      <c r="K376" s="16"/>
      <c r="L376" s="16"/>
      <c r="M376" s="16"/>
      <c r="N376" s="16">
        <f t="shared" si="327"/>
        <v>387948</v>
      </c>
      <c r="O376" s="16">
        <f t="shared" si="310"/>
        <v>82570.940054495906</v>
      </c>
      <c r="P376" s="41"/>
      <c r="Q376" s="17">
        <f t="shared" si="328"/>
        <v>387948</v>
      </c>
      <c r="R376" s="16"/>
      <c r="S376" s="60">
        <f t="shared" si="329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30"/>
        <v>6742</v>
      </c>
      <c r="AA376" s="33">
        <f t="shared" si="311"/>
        <v>547038</v>
      </c>
      <c r="AB376" s="33"/>
      <c r="AC376" s="46">
        <f t="shared" si="312"/>
        <v>1.8051953344717042E-2</v>
      </c>
      <c r="AD376" s="33"/>
      <c r="AE376" s="33">
        <f t="shared" si="313"/>
        <v>1490.5667574931881</v>
      </c>
      <c r="AF376" s="50"/>
      <c r="AG376" s="33">
        <f t="shared" si="314"/>
        <v>7582</v>
      </c>
      <c r="AH376" s="33">
        <f t="shared" si="315"/>
        <v>1163257542.060914</v>
      </c>
      <c r="AI376" s="213">
        <f t="shared" si="316"/>
        <v>-0.14665166010129432</v>
      </c>
      <c r="AJ376" s="50"/>
      <c r="AK376" s="111"/>
      <c r="AL376" s="23">
        <f t="shared" si="307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7"/>
        <v>3.1139213821146775E-3</v>
      </c>
      <c r="AS376" s="25"/>
      <c r="AT376" s="25"/>
      <c r="AU376" s="24"/>
      <c r="AV376" s="298">
        <f t="shared" si="318"/>
        <v>0.75087781013007227</v>
      </c>
      <c r="AW376" s="298"/>
      <c r="AX376" s="24">
        <f t="shared" si="319"/>
        <v>62000.68664850136</v>
      </c>
      <c r="AY376" s="308"/>
      <c r="AZ376" s="111"/>
      <c r="BA376" s="65">
        <f t="shared" si="320"/>
        <v>1086915</v>
      </c>
      <c r="BB376" s="66"/>
      <c r="BC376" s="66">
        <v>389786114</v>
      </c>
      <c r="BD376" s="66"/>
      <c r="BE376" s="66">
        <f t="shared" si="321"/>
        <v>39505</v>
      </c>
      <c r="BF376" s="66"/>
      <c r="BG376" s="144">
        <f t="shared" si="322"/>
        <v>3.634598841675752E-2</v>
      </c>
      <c r="BH376" s="66"/>
      <c r="BI376" s="170"/>
      <c r="BJ376" s="66"/>
      <c r="BK376" s="66">
        <f t="shared" si="323"/>
        <v>9537740</v>
      </c>
      <c r="BL376" s="66"/>
      <c r="BM376" s="144">
        <f t="shared" si="324"/>
        <v>4.0675044612245671E-2</v>
      </c>
      <c r="BN376" s="65">
        <f t="shared" si="325"/>
        <v>1062087.5040871934</v>
      </c>
      <c r="BO376" s="66"/>
      <c r="BP376" s="66">
        <f t="shared" si="326"/>
        <v>29396557</v>
      </c>
      <c r="BQ376" s="66"/>
      <c r="BR376" s="435">
        <f t="shared" si="331"/>
        <v>7.5417147877156032E-2</v>
      </c>
      <c r="BS376" s="66"/>
      <c r="BT376" s="75"/>
      <c r="BU376" s="170"/>
      <c r="BV376" s="1"/>
      <c r="BW376" s="61">
        <f t="shared" si="189"/>
        <v>367</v>
      </c>
    </row>
    <row r="377" spans="2:75" x14ac:dyDescent="0.3">
      <c r="B377" s="158">
        <f t="shared" si="163"/>
        <v>44277</v>
      </c>
      <c r="C377" s="61"/>
      <c r="D377" s="17">
        <v>45748</v>
      </c>
      <c r="E377" s="16"/>
      <c r="F377" s="16"/>
      <c r="G377" s="16"/>
      <c r="H377" s="16">
        <f t="shared" si="308"/>
        <v>30349283</v>
      </c>
      <c r="I377" s="16"/>
      <c r="J377" s="436">
        <f t="shared" si="309"/>
        <v>1.5096588566317428E-3</v>
      </c>
      <c r="K377" s="16"/>
      <c r="L377" s="16"/>
      <c r="M377" s="16"/>
      <c r="N377" s="16">
        <f t="shared" si="327"/>
        <v>386929</v>
      </c>
      <c r="O377" s="16">
        <f t="shared" si="310"/>
        <v>82470.877717391311</v>
      </c>
      <c r="P377" s="41"/>
      <c r="Q377" s="17">
        <f t="shared" si="328"/>
        <v>386929</v>
      </c>
      <c r="R377" s="16"/>
      <c r="S377" s="60">
        <f t="shared" si="329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30"/>
        <v>6130</v>
      </c>
      <c r="AA377" s="33">
        <f t="shared" si="311"/>
        <v>547674</v>
      </c>
      <c r="AB377" s="33"/>
      <c r="AC377" s="46">
        <f t="shared" si="312"/>
        <v>1.8045698147135799E-2</v>
      </c>
      <c r="AD377" s="33"/>
      <c r="AE377" s="33">
        <f t="shared" si="313"/>
        <v>1488.2445652173913</v>
      </c>
      <c r="AF377" s="50"/>
      <c r="AG377" s="33">
        <f t="shared" si="314"/>
        <v>7378</v>
      </c>
      <c r="AH377" s="33">
        <f t="shared" si="315"/>
        <v>1163187925.060914</v>
      </c>
      <c r="AI377" s="213">
        <f t="shared" si="316"/>
        <v>-0.17054525014052838</v>
      </c>
      <c r="AJ377" s="50"/>
      <c r="AK377" s="111"/>
      <c r="AL377" s="23">
        <f t="shared" si="307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7"/>
        <v>4.0322573556801607E-3</v>
      </c>
      <c r="AS377" s="25"/>
      <c r="AT377" s="25"/>
      <c r="AU377" s="24"/>
      <c r="AV377" s="298">
        <f t="shared" si="318"/>
        <v>0.75276911813699188</v>
      </c>
      <c r="AW377" s="298"/>
      <c r="AX377" s="24">
        <f t="shared" si="319"/>
        <v>62081.529891304344</v>
      </c>
      <c r="AY377" s="308"/>
      <c r="AZ377" s="111"/>
      <c r="BA377" s="65">
        <f t="shared" si="320"/>
        <v>1326385</v>
      </c>
      <c r="BB377" s="66"/>
      <c r="BC377" s="66">
        <v>391112499</v>
      </c>
      <c r="BD377" s="66"/>
      <c r="BE377" s="66">
        <f t="shared" si="321"/>
        <v>45748</v>
      </c>
      <c r="BF377" s="66"/>
      <c r="BG377" s="144">
        <f t="shared" si="322"/>
        <v>3.4490739868137832E-2</v>
      </c>
      <c r="BH377" s="66"/>
      <c r="BI377" s="170"/>
      <c r="BJ377" s="66"/>
      <c r="BK377" s="66">
        <f t="shared" si="323"/>
        <v>9612499</v>
      </c>
      <c r="BL377" s="66"/>
      <c r="BM377" s="144">
        <f t="shared" si="324"/>
        <v>4.0252695995078906E-2</v>
      </c>
      <c r="BN377" s="65">
        <f t="shared" si="325"/>
        <v>1062805.7038043479</v>
      </c>
      <c r="BO377" s="66"/>
      <c r="BP377" s="66">
        <f t="shared" si="326"/>
        <v>29442305</v>
      </c>
      <c r="BQ377" s="66"/>
      <c r="BR377" s="435">
        <f t="shared" si="331"/>
        <v>7.5278353607410531E-2</v>
      </c>
      <c r="BS377" s="66"/>
      <c r="BT377" s="75"/>
      <c r="BU377" s="170"/>
      <c r="BV377" s="1"/>
      <c r="BW377" s="61">
        <f t="shared" si="189"/>
        <v>368</v>
      </c>
    </row>
    <row r="378" spans="2:75" x14ac:dyDescent="0.3">
      <c r="B378" s="158">
        <f t="shared" si="163"/>
        <v>44278</v>
      </c>
      <c r="C378" s="61"/>
      <c r="D378" s="17">
        <v>58705</v>
      </c>
      <c r="E378" s="16"/>
      <c r="F378" s="16"/>
      <c r="G378" s="16"/>
      <c r="H378" s="16">
        <f t="shared" si="308"/>
        <v>30407988</v>
      </c>
      <c r="I378" s="16"/>
      <c r="J378" s="436">
        <f t="shared" si="309"/>
        <v>1.9343125832659703E-3</v>
      </c>
      <c r="K378" s="16"/>
      <c r="L378" s="16"/>
      <c r="M378" s="16"/>
      <c r="N378" s="16">
        <f t="shared" si="327"/>
        <v>392403</v>
      </c>
      <c r="O378" s="16">
        <f t="shared" si="310"/>
        <v>82406.471544715445</v>
      </c>
      <c r="P378" s="41"/>
      <c r="Q378" s="17">
        <f t="shared" si="328"/>
        <v>392403</v>
      </c>
      <c r="R378" s="16"/>
      <c r="S378" s="60">
        <f t="shared" si="329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30"/>
        <v>5774</v>
      </c>
      <c r="AA378" s="33">
        <f t="shared" si="311"/>
        <v>548610</v>
      </c>
      <c r="AB378" s="33"/>
      <c r="AC378" s="46">
        <f t="shared" si="312"/>
        <v>1.8041640900410775E-2</v>
      </c>
      <c r="AD378" s="33"/>
      <c r="AE378" s="33">
        <f t="shared" si="313"/>
        <v>1486.7479674796748</v>
      </c>
      <c r="AF378" s="50"/>
      <c r="AG378" s="33">
        <f t="shared" si="314"/>
        <v>7066</v>
      </c>
      <c r="AH378" s="33">
        <f t="shared" si="315"/>
        <v>1163130700.060914</v>
      </c>
      <c r="AI378" s="213">
        <f t="shared" si="316"/>
        <v>-0.16269700201445669</v>
      </c>
      <c r="AJ378" s="50"/>
      <c r="AK378" s="111"/>
      <c r="AL378" s="23">
        <f t="shared" si="307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7"/>
        <v>3.4619184808826297E-3</v>
      </c>
      <c r="AS378" s="25"/>
      <c r="AT378" s="25"/>
      <c r="AU378" s="24"/>
      <c r="AV378" s="298">
        <f t="shared" si="318"/>
        <v>0.75391683264279108</v>
      </c>
      <c r="AW378" s="298"/>
      <c r="AX378" s="24">
        <f t="shared" si="319"/>
        <v>62127.626016260161</v>
      </c>
      <c r="AY378" s="308"/>
      <c r="AZ378" s="111"/>
      <c r="BA378" s="65">
        <f t="shared" si="320"/>
        <v>1052670</v>
      </c>
      <c r="BB378" s="66"/>
      <c r="BC378" s="66">
        <v>392165169</v>
      </c>
      <c r="BD378" s="66"/>
      <c r="BE378" s="66">
        <f t="shared" si="321"/>
        <v>58705</v>
      </c>
      <c r="BF378" s="66"/>
      <c r="BG378" s="144">
        <f t="shared" si="322"/>
        <v>5.5767714478421535E-2</v>
      </c>
      <c r="BH378" s="66"/>
      <c r="BI378" s="170"/>
      <c r="BJ378" s="66"/>
      <c r="BK378" s="66">
        <f t="shared" si="323"/>
        <v>9594385</v>
      </c>
      <c r="BL378" s="66"/>
      <c r="BM378" s="144">
        <f t="shared" si="324"/>
        <v>4.0899234291723756E-2</v>
      </c>
      <c r="BN378" s="65">
        <f t="shared" si="325"/>
        <v>1062778.2357723578</v>
      </c>
      <c r="BO378" s="66"/>
      <c r="BP378" s="66">
        <f t="shared" si="326"/>
        <v>29501010</v>
      </c>
      <c r="BQ378" s="66"/>
      <c r="BR378" s="435">
        <f t="shared" si="331"/>
        <v>7.5225982142233541E-2</v>
      </c>
      <c r="BS378" s="66"/>
      <c r="BT378" s="75"/>
      <c r="BU378" s="170"/>
      <c r="BV378" s="1"/>
      <c r="BW378" s="61">
        <f t="shared" si="189"/>
        <v>369</v>
      </c>
    </row>
    <row r="379" spans="2:75" x14ac:dyDescent="0.3">
      <c r="B379" s="158">
        <f t="shared" si="163"/>
        <v>44279</v>
      </c>
      <c r="C379" s="61"/>
      <c r="D379" s="17">
        <v>66538</v>
      </c>
      <c r="E379" s="16"/>
      <c r="F379" s="16"/>
      <c r="G379" s="16"/>
      <c r="H379" s="16">
        <f t="shared" si="308"/>
        <v>30474526</v>
      </c>
      <c r="I379" s="16"/>
      <c r="J379" s="436">
        <f t="shared" si="309"/>
        <v>2.1881750282195587E-3</v>
      </c>
      <c r="K379" s="16"/>
      <c r="L379" s="16"/>
      <c r="M379" s="16"/>
      <c r="N379" s="16">
        <f t="shared" si="327"/>
        <v>395446</v>
      </c>
      <c r="O379" s="16">
        <f t="shared" si="310"/>
        <v>82363.58378378379</v>
      </c>
      <c r="P379" s="41"/>
      <c r="Q379" s="17">
        <f t="shared" si="328"/>
        <v>395446</v>
      </c>
      <c r="R379" s="16"/>
      <c r="S379" s="60">
        <f t="shared" si="329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30"/>
        <v>5474</v>
      </c>
      <c r="AA379" s="33">
        <f t="shared" si="311"/>
        <v>550015</v>
      </c>
      <c r="AB379" s="33"/>
      <c r="AC379" s="46">
        <f t="shared" si="312"/>
        <v>1.8048352909574378E-2</v>
      </c>
      <c r="AD379" s="33"/>
      <c r="AE379" s="33">
        <f t="shared" si="313"/>
        <v>1486.5270270270271</v>
      </c>
      <c r="AF379" s="50"/>
      <c r="AG379" s="33">
        <f t="shared" si="314"/>
        <v>7179</v>
      </c>
      <c r="AH379" s="33">
        <f t="shared" si="315"/>
        <v>1163059646.060914</v>
      </c>
      <c r="AI379" s="213">
        <f t="shared" si="316"/>
        <v>-0.11599556704839306</v>
      </c>
      <c r="AJ379" s="50"/>
      <c r="AK379" s="111"/>
      <c r="AL379" s="23">
        <f t="shared" si="307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7"/>
        <v>9.0636487684630646E-3</v>
      </c>
      <c r="AS379" s="25"/>
      <c r="AT379" s="25"/>
      <c r="AU379" s="24"/>
      <c r="AV379" s="298">
        <f t="shared" si="318"/>
        <v>0.7590890503104134</v>
      </c>
      <c r="AW379" s="298"/>
      <c r="AX379" s="24">
        <f t="shared" si="319"/>
        <v>62521.294594594598</v>
      </c>
      <c r="AY379" s="308"/>
      <c r="AZ379" s="111"/>
      <c r="BA379" s="65">
        <f t="shared" si="320"/>
        <v>1698379</v>
      </c>
      <c r="BB379" s="66"/>
      <c r="BC379" s="66">
        <v>393863548</v>
      </c>
      <c r="BD379" s="66"/>
      <c r="BE379" s="66">
        <f t="shared" si="321"/>
        <v>66538</v>
      </c>
      <c r="BF379" s="66"/>
      <c r="BG379" s="144">
        <f t="shared" si="322"/>
        <v>3.9177356761947717E-2</v>
      </c>
      <c r="BH379" s="66"/>
      <c r="BI379" s="170"/>
      <c r="BJ379" s="66"/>
      <c r="BK379" s="66">
        <f t="shared" si="323"/>
        <v>9848787</v>
      </c>
      <c r="BL379" s="66"/>
      <c r="BM379" s="144">
        <f t="shared" si="324"/>
        <v>4.0151746605952589E-2</v>
      </c>
      <c r="BN379" s="65">
        <f t="shared" si="325"/>
        <v>1064496.0756756756</v>
      </c>
      <c r="BO379" s="66"/>
      <c r="BP379" s="66">
        <f t="shared" si="326"/>
        <v>29567548</v>
      </c>
      <c r="BQ379" s="66"/>
      <c r="BR379" s="435">
        <f t="shared" si="331"/>
        <v>7.5070536865219126E-2</v>
      </c>
      <c r="BS379" s="66"/>
      <c r="BT379" s="75"/>
      <c r="BU379" s="170"/>
      <c r="BV379" s="1"/>
      <c r="BW379" s="61">
        <f t="shared" si="189"/>
        <v>370</v>
      </c>
    </row>
    <row r="380" spans="2:75" x14ac:dyDescent="0.3">
      <c r="B380" s="158">
        <f t="shared" si="163"/>
        <v>44280</v>
      </c>
      <c r="C380" s="61"/>
      <c r="D380" s="17">
        <v>67046</v>
      </c>
      <c r="E380" s="16"/>
      <c r="F380" s="16"/>
      <c r="G380" s="16"/>
      <c r="H380" s="16">
        <f t="shared" si="308"/>
        <v>30541572</v>
      </c>
      <c r="I380" s="16"/>
      <c r="J380" s="436">
        <f t="shared" si="309"/>
        <v>2.2000670330360513E-3</v>
      </c>
      <c r="K380" s="16"/>
      <c r="L380" s="16"/>
      <c r="M380" s="16"/>
      <c r="N380" s="16">
        <f t="shared" si="327"/>
        <v>399863</v>
      </c>
      <c r="O380" s="16">
        <f t="shared" si="310"/>
        <v>82322.296495956878</v>
      </c>
      <c r="P380" s="41"/>
      <c r="Q380" s="17">
        <f t="shared" si="328"/>
        <v>399863</v>
      </c>
      <c r="R380" s="16"/>
      <c r="S380" s="60">
        <f t="shared" si="329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30"/>
        <v>5389</v>
      </c>
      <c r="AA380" s="33">
        <f t="shared" si="311"/>
        <v>551180</v>
      </c>
      <c r="AB380" s="33"/>
      <c r="AC380" s="46">
        <f t="shared" si="312"/>
        <v>1.8046877220334302E-2</v>
      </c>
      <c r="AD380" s="33"/>
      <c r="AE380" s="33">
        <f t="shared" si="313"/>
        <v>1485.6603773584907</v>
      </c>
      <c r="AF380" s="50"/>
      <c r="AG380" s="33">
        <f t="shared" si="314"/>
        <v>6639</v>
      </c>
      <c r="AH380" s="33">
        <f t="shared" si="315"/>
        <v>1162985942.060914</v>
      </c>
      <c r="AI380" s="213">
        <f t="shared" si="316"/>
        <v>-0.19556524900036351</v>
      </c>
      <c r="AJ380" s="50"/>
      <c r="AK380" s="111"/>
      <c r="AL380" s="23">
        <f t="shared" si="307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7"/>
        <v>2.7376618362115672E-3</v>
      </c>
      <c r="AS380" s="25"/>
      <c r="AT380" s="25"/>
      <c r="AU380" s="24"/>
      <c r="AV380" s="298">
        <f t="shared" si="318"/>
        <v>0.75949623680143252</v>
      </c>
      <c r="AW380" s="298"/>
      <c r="AX380" s="24">
        <f t="shared" si="319"/>
        <v>62523.474393530996</v>
      </c>
      <c r="AY380" s="308"/>
      <c r="AZ380" s="111"/>
      <c r="BA380" s="65">
        <f t="shared" si="320"/>
        <v>1489752</v>
      </c>
      <c r="BB380" s="66"/>
      <c r="BC380" s="66">
        <v>395353300</v>
      </c>
      <c r="BD380" s="66"/>
      <c r="BE380" s="66">
        <f t="shared" si="321"/>
        <v>67046</v>
      </c>
      <c r="BF380" s="66"/>
      <c r="BG380" s="144">
        <f t="shared" si="322"/>
        <v>4.5004806169080494E-2</v>
      </c>
      <c r="BH380" s="66"/>
      <c r="BI380" s="170"/>
      <c r="BJ380" s="66"/>
      <c r="BK380" s="66">
        <f t="shared" si="323"/>
        <v>9682859</v>
      </c>
      <c r="BL380" s="66"/>
      <c r="BM380" s="144">
        <f t="shared" si="324"/>
        <v>4.1295964342762816E-2</v>
      </c>
      <c r="BN380" s="65">
        <f t="shared" si="325"/>
        <v>1065642.3180592991</v>
      </c>
      <c r="BO380" s="66"/>
      <c r="BP380" s="66">
        <f t="shared" si="326"/>
        <v>29634594</v>
      </c>
      <c r="BQ380" s="66"/>
      <c r="BR380" s="435">
        <f t="shared" si="331"/>
        <v>7.4957244570868636E-2</v>
      </c>
      <c r="BS380" s="66"/>
      <c r="BT380" s="75"/>
      <c r="BU380" s="170"/>
      <c r="BV380" s="1"/>
      <c r="BW380" s="61">
        <f t="shared" si="189"/>
        <v>371</v>
      </c>
    </row>
    <row r="381" spans="2:75" x14ac:dyDescent="0.3">
      <c r="B381" s="158">
        <f t="shared" si="163"/>
        <v>44281</v>
      </c>
      <c r="C381" s="61"/>
      <c r="D381" s="17">
        <v>76976</v>
      </c>
      <c r="E381" s="16"/>
      <c r="F381" s="16"/>
      <c r="G381" s="16"/>
      <c r="H381" s="16">
        <f t="shared" si="308"/>
        <v>30618548</v>
      </c>
      <c r="I381" s="16"/>
      <c r="J381" s="436">
        <f t="shared" si="309"/>
        <v>2.5203679758199742E-3</v>
      </c>
      <c r="K381" s="16"/>
      <c r="L381" s="16"/>
      <c r="M381" s="16"/>
      <c r="N381" s="16">
        <f t="shared" si="327"/>
        <v>410426</v>
      </c>
      <c r="O381" s="16">
        <f t="shared" si="310"/>
        <v>82307.924731182793</v>
      </c>
      <c r="P381" s="41"/>
      <c r="Q381" s="17">
        <f t="shared" si="328"/>
        <v>410426</v>
      </c>
      <c r="R381" s="16"/>
      <c r="S381" s="60">
        <f t="shared" si="329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30"/>
        <v>5886</v>
      </c>
      <c r="AA381" s="33">
        <f t="shared" si="311"/>
        <v>552469</v>
      </c>
      <c r="AB381" s="33"/>
      <c r="AC381" s="46">
        <f t="shared" si="312"/>
        <v>1.804360546424344E-2</v>
      </c>
      <c r="AD381" s="33"/>
      <c r="AE381" s="33">
        <f t="shared" si="313"/>
        <v>1485.1317204301076</v>
      </c>
      <c r="AF381" s="50"/>
      <c r="AG381" s="33">
        <f t="shared" si="314"/>
        <v>6678</v>
      </c>
      <c r="AH381" s="33">
        <f t="shared" si="315"/>
        <v>1162910643.060914</v>
      </c>
      <c r="AI381" s="213">
        <f t="shared" si="316"/>
        <v>-0.16504126031507876</v>
      </c>
      <c r="AJ381" s="50"/>
      <c r="AK381" s="111"/>
      <c r="AL381" s="23">
        <f t="shared" si="307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7"/>
        <v>3.4082724465881471E-3</v>
      </c>
      <c r="AS381" s="25"/>
      <c r="AT381" s="25"/>
      <c r="AU381" s="24"/>
      <c r="AV381" s="298">
        <f t="shared" si="318"/>
        <v>0.76016890154294714</v>
      </c>
      <c r="AW381" s="298"/>
      <c r="AX381" s="24">
        <f t="shared" si="319"/>
        <v>62567.924731182793</v>
      </c>
      <c r="AY381" s="308"/>
      <c r="AZ381" s="111"/>
      <c r="BA381" s="65">
        <f t="shared" si="320"/>
        <v>1540866</v>
      </c>
      <c r="BB381" s="66"/>
      <c r="BC381" s="66">
        <v>396894166</v>
      </c>
      <c r="BD381" s="66"/>
      <c r="BE381" s="66">
        <f t="shared" si="321"/>
        <v>76976</v>
      </c>
      <c r="BF381" s="66"/>
      <c r="BG381" s="144">
        <f t="shared" si="322"/>
        <v>4.9956323262373238E-2</v>
      </c>
      <c r="BH381" s="66"/>
      <c r="BI381" s="170"/>
      <c r="BJ381" s="66"/>
      <c r="BK381" s="66">
        <f t="shared" si="323"/>
        <v>10044166</v>
      </c>
      <c r="BL381" s="66"/>
      <c r="BM381" s="144">
        <f t="shared" si="324"/>
        <v>4.0862128324044025E-2</v>
      </c>
      <c r="BN381" s="65">
        <f t="shared" si="325"/>
        <v>1066919.8010752688</v>
      </c>
      <c r="BO381" s="66"/>
      <c r="BP381" s="66">
        <f t="shared" si="326"/>
        <v>29711570</v>
      </c>
      <c r="BQ381" s="66"/>
      <c r="BR381" s="435">
        <f t="shared" si="331"/>
        <v>7.4860183256006838E-2</v>
      </c>
      <c r="BS381" s="66"/>
      <c r="BT381" s="75"/>
      <c r="BU381" s="170"/>
      <c r="BV381" s="1"/>
      <c r="BW381" s="61">
        <f t="shared" si="189"/>
        <v>372</v>
      </c>
    </row>
    <row r="382" spans="2:75" x14ac:dyDescent="0.3">
      <c r="B382" s="158">
        <f t="shared" si="163"/>
        <v>44282</v>
      </c>
      <c r="C382" s="61"/>
      <c r="D382" s="17">
        <v>63659</v>
      </c>
      <c r="E382" s="16"/>
      <c r="F382" s="16"/>
      <c r="G382" s="16"/>
      <c r="H382" s="16">
        <f t="shared" si="308"/>
        <v>30682207</v>
      </c>
      <c r="I382" s="16"/>
      <c r="J382" s="436">
        <f t="shared" si="309"/>
        <v>2.0790992440268561E-3</v>
      </c>
      <c r="K382" s="16"/>
      <c r="L382" s="16"/>
      <c r="M382" s="16"/>
      <c r="N382" s="16">
        <f t="shared" si="327"/>
        <v>418177</v>
      </c>
      <c r="O382" s="16">
        <f t="shared" si="310"/>
        <v>82257.927613941021</v>
      </c>
      <c r="P382" s="41"/>
      <c r="Q382" s="17">
        <f t="shared" si="328"/>
        <v>418177</v>
      </c>
      <c r="R382" s="16"/>
      <c r="S382" s="60">
        <f t="shared" si="329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30"/>
        <v>6219</v>
      </c>
      <c r="AA382" s="33">
        <f t="shared" si="311"/>
        <v>553257</v>
      </c>
      <c r="AB382" s="33"/>
      <c r="AC382" s="46">
        <f t="shared" si="312"/>
        <v>1.8031851489692382E-2</v>
      </c>
      <c r="AD382" s="33"/>
      <c r="AE382" s="33">
        <f t="shared" si="313"/>
        <v>1483.2627345844503</v>
      </c>
      <c r="AF382" s="50"/>
      <c r="AG382" s="33">
        <f t="shared" si="314"/>
        <v>6674</v>
      </c>
      <c r="AH382" s="33">
        <f t="shared" si="315"/>
        <v>1162833266.060914</v>
      </c>
      <c r="AI382" s="213">
        <f t="shared" si="316"/>
        <v>-0.13950489943269725</v>
      </c>
      <c r="AJ382" s="50"/>
      <c r="AK382" s="111"/>
      <c r="AL382" s="23">
        <f t="shared" si="307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7"/>
        <v>3.1467736483206123E-3</v>
      </c>
      <c r="AS382" s="25"/>
      <c r="AT382" s="25"/>
      <c r="AU382" s="24"/>
      <c r="AV382" s="298">
        <f t="shared" si="318"/>
        <v>0.76097883049938353</v>
      </c>
      <c r="AW382" s="298"/>
      <c r="AX382" s="24">
        <f t="shared" si="319"/>
        <v>62596.541554959782</v>
      </c>
      <c r="AY382" s="308"/>
      <c r="AZ382" s="111"/>
      <c r="BA382" s="65">
        <f t="shared" si="320"/>
        <v>1387550</v>
      </c>
      <c r="BB382" s="66"/>
      <c r="BC382" s="66">
        <v>398281716</v>
      </c>
      <c r="BD382" s="66"/>
      <c r="BE382" s="66">
        <f t="shared" si="321"/>
        <v>63659</v>
      </c>
      <c r="BF382" s="66"/>
      <c r="BG382" s="144">
        <f t="shared" si="322"/>
        <v>4.587870707361897E-2</v>
      </c>
      <c r="BH382" s="66"/>
      <c r="BI382" s="170"/>
      <c r="BJ382" s="66"/>
      <c r="BK382" s="66">
        <f t="shared" si="323"/>
        <v>9582517</v>
      </c>
      <c r="BL382" s="66"/>
      <c r="BM382" s="144">
        <f t="shared" si="324"/>
        <v>4.36395782026789E-2</v>
      </c>
      <c r="BN382" s="65">
        <f t="shared" si="325"/>
        <v>1067779.399463807</v>
      </c>
      <c r="BO382" s="66"/>
      <c r="BP382" s="66">
        <f t="shared" si="326"/>
        <v>29775229</v>
      </c>
      <c r="BQ382" s="66"/>
      <c r="BR382" s="435">
        <f t="shared" si="331"/>
        <v>7.4759216413539803E-2</v>
      </c>
      <c r="BS382" s="66"/>
      <c r="BT382" s="75"/>
      <c r="BU382" s="170"/>
      <c r="BV382" s="1"/>
      <c r="BW382" s="61">
        <f t="shared" si="189"/>
        <v>373</v>
      </c>
    </row>
    <row r="383" spans="2:75" x14ac:dyDescent="0.3">
      <c r="B383" s="347">
        <f t="shared" si="163"/>
        <v>44283</v>
      </c>
      <c r="C383" s="61"/>
      <c r="D383" s="17">
        <v>44096</v>
      </c>
      <c r="E383" s="16"/>
      <c r="F383" s="16"/>
      <c r="G383" s="16"/>
      <c r="H383" s="16">
        <f t="shared" si="308"/>
        <v>30726303</v>
      </c>
      <c r="I383" s="16"/>
      <c r="J383" s="436">
        <f t="shared" si="309"/>
        <v>1.4371847501061445E-3</v>
      </c>
      <c r="K383" s="16"/>
      <c r="L383" s="16"/>
      <c r="M383" s="16"/>
      <c r="N383" s="16">
        <f t="shared" si="327"/>
        <v>422768</v>
      </c>
      <c r="O383" s="16">
        <f t="shared" si="310"/>
        <v>82155.890374331546</v>
      </c>
      <c r="P383" s="41"/>
      <c r="Q383" s="17">
        <f t="shared" si="328"/>
        <v>422768</v>
      </c>
      <c r="R383" s="16"/>
      <c r="S383" s="60">
        <f t="shared" si="329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30"/>
        <v>6093</v>
      </c>
      <c r="AA383" s="33">
        <f t="shared" si="311"/>
        <v>553767</v>
      </c>
      <c r="AB383" s="33"/>
      <c r="AC383" s="46">
        <f t="shared" si="312"/>
        <v>1.8022571736013928E-2</v>
      </c>
      <c r="AD383" s="33"/>
      <c r="AE383" s="33">
        <f t="shared" si="313"/>
        <v>1480.6604278074867</v>
      </c>
      <c r="AF383" s="50"/>
      <c r="AG383" s="33">
        <f t="shared" si="314"/>
        <v>6729</v>
      </c>
      <c r="AH383" s="33">
        <f t="shared" si="315"/>
        <v>1162752641.060914</v>
      </c>
      <c r="AI383" s="213">
        <f t="shared" si="316"/>
        <v>-0.11250329728303878</v>
      </c>
      <c r="AJ383" s="50"/>
      <c r="AK383" s="111"/>
      <c r="AL383" s="23">
        <f t="shared" si="307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7"/>
        <v>2.6714338516676227E-3</v>
      </c>
      <c r="AS383" s="25"/>
      <c r="AT383" s="25"/>
      <c r="AU383" s="24"/>
      <c r="AV383" s="298">
        <f t="shared" si="318"/>
        <v>0.76191672001672317</v>
      </c>
      <c r="AW383" s="298"/>
      <c r="AX383" s="24">
        <f t="shared" si="319"/>
        <v>62595.946524064173</v>
      </c>
      <c r="AY383" s="308"/>
      <c r="AZ383" s="111"/>
      <c r="BA383" s="65">
        <f t="shared" si="320"/>
        <v>1060302</v>
      </c>
      <c r="BB383" s="66"/>
      <c r="BC383" s="66">
        <v>399342018</v>
      </c>
      <c r="BD383" s="66"/>
      <c r="BE383" s="66">
        <f t="shared" si="321"/>
        <v>44096</v>
      </c>
      <c r="BF383" s="66"/>
      <c r="BG383" s="144">
        <f t="shared" si="322"/>
        <v>4.1588151300289915E-2</v>
      </c>
      <c r="BH383" s="66"/>
      <c r="BI383" s="170"/>
      <c r="BJ383" s="66"/>
      <c r="BK383" s="66">
        <f t="shared" si="323"/>
        <v>9555904</v>
      </c>
      <c r="BL383" s="66"/>
      <c r="BM383" s="144">
        <f t="shared" si="324"/>
        <v>4.4241549517450157E-2</v>
      </c>
      <c r="BN383" s="65">
        <f t="shared" si="325"/>
        <v>1067759.4064171123</v>
      </c>
      <c r="BO383" s="66"/>
      <c r="BP383" s="66">
        <f t="shared" si="326"/>
        <v>29819325</v>
      </c>
      <c r="BQ383" s="66"/>
      <c r="BR383" s="435">
        <f t="shared" si="331"/>
        <v>7.4671143170313717E-2</v>
      </c>
      <c r="BS383" s="66"/>
      <c r="BT383" s="75"/>
      <c r="BU383" s="170"/>
      <c r="BV383" s="1"/>
      <c r="BW383" s="61">
        <f t="shared" si="189"/>
        <v>374</v>
      </c>
    </row>
    <row r="384" spans="2:75" x14ac:dyDescent="0.3">
      <c r="B384" s="158">
        <f t="shared" si="163"/>
        <v>44284</v>
      </c>
      <c r="C384" s="61"/>
      <c r="D384" s="17">
        <v>60198</v>
      </c>
      <c r="E384" s="16"/>
      <c r="F384" s="16"/>
      <c r="G384" s="16"/>
      <c r="H384" s="16">
        <f t="shared" ref="H384:H418" si="332">+H383+D384</f>
        <v>30786501</v>
      </c>
      <c r="I384" s="16"/>
      <c r="J384" s="436">
        <f t="shared" ref="J384:J418" si="333">+D384/H383</f>
        <v>1.9591683386055263E-3</v>
      </c>
      <c r="K384" s="16"/>
      <c r="L384" s="16"/>
      <c r="M384" s="16"/>
      <c r="N384" s="16">
        <f t="shared" ref="N384:N418" si="334">SUM(D378:D384)</f>
        <v>437218</v>
      </c>
      <c r="O384" s="16">
        <f t="shared" ref="O384:O418" si="335">+H384/BW384</f>
        <v>82097.335999999996</v>
      </c>
      <c r="P384" s="41"/>
      <c r="Q384" s="17">
        <f t="shared" ref="Q384:Q418" si="336">SUM(D378:D384)</f>
        <v>437218</v>
      </c>
      <c r="R384" s="16"/>
      <c r="S384" s="60">
        <f t="shared" ref="S384:S418" si="337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8">SUM(W379:W384)</f>
        <v>5818</v>
      </c>
      <c r="AA384" s="33">
        <f t="shared" ref="AA384:AA418" si="339">+AA383+W384</f>
        <v>554428</v>
      </c>
      <c r="AB384" s="33"/>
      <c r="AC384" s="46">
        <f t="shared" ref="AC384:AC418" si="340">+AA384/H384</f>
        <v>1.8008801974605689E-2</v>
      </c>
      <c r="AD384" s="33"/>
      <c r="AE384" s="33">
        <f t="shared" ref="AE384:AE418" si="341">+AA384/BW384</f>
        <v>1478.4746666666667</v>
      </c>
      <c r="AF384" s="50"/>
      <c r="AG384" s="33">
        <f t="shared" ref="AG384:AG418" si="342">SUM(W378:W384)</f>
        <v>6754</v>
      </c>
      <c r="AH384" s="33">
        <f t="shared" si="315"/>
        <v>1162688321.060914</v>
      </c>
      <c r="AI384" s="213">
        <f t="shared" ref="AI384:AI418" si="343">+(AG384-AG377)/AG377</f>
        <v>-8.4575765790187038E-2</v>
      </c>
      <c r="AJ384" s="50"/>
      <c r="AK384" s="111"/>
      <c r="AL384" s="23">
        <f t="shared" ref="AL384:AL418" si="344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45">+AL384/AP383</f>
        <v>4.2096658972809401E-3</v>
      </c>
      <c r="AS384" s="25"/>
      <c r="AT384" s="25"/>
      <c r="AU384" s="24"/>
      <c r="AV384" s="298">
        <f t="shared" ref="AV384:AV418" si="346">+AP384/H384</f>
        <v>0.76362805893401142</v>
      </c>
      <c r="AW384" s="298"/>
      <c r="AX384" s="24">
        <f t="shared" ref="AX384:AX418" si="347">+AP384/BW384</f>
        <v>62691.829333333335</v>
      </c>
      <c r="AY384" s="308"/>
      <c r="AZ384" s="111"/>
      <c r="BA384" s="65">
        <f t="shared" ref="BA384:BA418" si="348">+BC384-BC383</f>
        <v>1535224</v>
      </c>
      <c r="BB384" s="66"/>
      <c r="BC384" s="66">
        <v>400877242</v>
      </c>
      <c r="BD384" s="66"/>
      <c r="BE384" s="66">
        <f t="shared" ref="BE384:BE418" si="349">+D384</f>
        <v>60198</v>
      </c>
      <c r="BF384" s="66"/>
      <c r="BG384" s="144">
        <f t="shared" ref="BG384:BG418" si="350">+BE384/BA384</f>
        <v>3.9211216083125326E-2</v>
      </c>
      <c r="BH384" s="66"/>
      <c r="BI384" s="170"/>
      <c r="BJ384" s="66"/>
      <c r="BK384" s="66">
        <f t="shared" ref="BK384:BK418" si="351">SUM(BA378:BA384)</f>
        <v>9764743</v>
      </c>
      <c r="BL384" s="66"/>
      <c r="BM384" s="144">
        <f t="shared" ref="BM384:BM418" si="352">+Q384/BK384</f>
        <v>4.4775167149816435E-2</v>
      </c>
      <c r="BN384" s="65">
        <f t="shared" ref="BN384:BN418" si="353">+BC384/BW384</f>
        <v>1069005.9786666667</v>
      </c>
      <c r="BO384" s="66"/>
      <c r="BP384" s="66">
        <f t="shared" ref="BP384:BP418" si="354">+BP383+BE384</f>
        <v>29879523</v>
      </c>
      <c r="BQ384" s="66"/>
      <c r="BR384" s="435">
        <f t="shared" ref="BR384:BR418" si="355">+BP384/BC384</f>
        <v>7.4535343665131287E-2</v>
      </c>
      <c r="BS384" s="66"/>
      <c r="BT384" s="75"/>
      <c r="BU384" s="170"/>
      <c r="BV384" s="1"/>
      <c r="BW384" s="61">
        <f t="shared" si="189"/>
        <v>375</v>
      </c>
    </row>
    <row r="385" spans="2:75" x14ac:dyDescent="0.3">
      <c r="B385" s="158">
        <f t="shared" si="163"/>
        <v>44285</v>
      </c>
      <c r="C385" s="61"/>
      <c r="D385" s="17">
        <v>62459</v>
      </c>
      <c r="E385" s="16"/>
      <c r="F385" s="16"/>
      <c r="G385" s="16"/>
      <c r="H385" s="16">
        <f t="shared" si="332"/>
        <v>30848960</v>
      </c>
      <c r="I385" s="16"/>
      <c r="J385" s="436">
        <f t="shared" si="333"/>
        <v>2.028778781973307E-3</v>
      </c>
      <c r="K385" s="16"/>
      <c r="L385" s="16"/>
      <c r="M385" s="16"/>
      <c r="N385" s="16">
        <f t="shared" si="334"/>
        <v>440972</v>
      </c>
      <c r="O385" s="16">
        <f t="shared" si="335"/>
        <v>82045.106382978716</v>
      </c>
      <c r="P385" s="41"/>
      <c r="Q385" s="17">
        <f t="shared" si="336"/>
        <v>440972</v>
      </c>
      <c r="R385" s="16"/>
      <c r="S385" s="60">
        <f t="shared" si="337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8"/>
        <v>5286</v>
      </c>
      <c r="AA385" s="33">
        <f t="shared" si="339"/>
        <v>555301</v>
      </c>
      <c r="AB385" s="33"/>
      <c r="AC385" s="46">
        <f t="shared" si="340"/>
        <v>1.8000639243592003E-2</v>
      </c>
      <c r="AD385" s="33"/>
      <c r="AE385" s="33">
        <f t="shared" si="341"/>
        <v>1476.8643617021276</v>
      </c>
      <c r="AF385" s="50"/>
      <c r="AG385" s="33">
        <f t="shared" si="342"/>
        <v>6691</v>
      </c>
      <c r="AH385" s="33">
        <f t="shared" si="315"/>
        <v>1162638909.060914</v>
      </c>
      <c r="AI385" s="213">
        <f t="shared" si="343"/>
        <v>-5.3071044438154545E-2</v>
      </c>
      <c r="AJ385" s="50"/>
      <c r="AK385" s="111"/>
      <c r="AL385" s="23">
        <f t="shared" si="344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45"/>
        <v>3.2905936152615484E-3</v>
      </c>
      <c r="AS385" s="25"/>
      <c r="AT385" s="25"/>
      <c r="AU385" s="24"/>
      <c r="AV385" s="298">
        <f t="shared" si="346"/>
        <v>0.76458966525937988</v>
      </c>
      <c r="AW385" s="298"/>
      <c r="AX385" s="24">
        <f t="shared" si="347"/>
        <v>62730.840425531918</v>
      </c>
      <c r="AY385" s="308"/>
      <c r="AZ385" s="111"/>
      <c r="BA385" s="65">
        <f t="shared" si="348"/>
        <v>1180075</v>
      </c>
      <c r="BB385" s="66"/>
      <c r="BC385" s="66">
        <v>402057317</v>
      </c>
      <c r="BD385" s="66"/>
      <c r="BE385" s="66">
        <f t="shared" si="349"/>
        <v>62459</v>
      </c>
      <c r="BF385" s="66"/>
      <c r="BG385" s="144">
        <f t="shared" si="350"/>
        <v>5.2927991864923842E-2</v>
      </c>
      <c r="BH385" s="66"/>
      <c r="BI385" s="170"/>
      <c r="BJ385" s="66"/>
      <c r="BK385" s="66">
        <f t="shared" si="351"/>
        <v>9892148</v>
      </c>
      <c r="BL385" s="66"/>
      <c r="BM385" s="144">
        <f t="shared" si="352"/>
        <v>4.4577982456388644E-2</v>
      </c>
      <c r="BN385" s="65">
        <f t="shared" si="353"/>
        <v>1069301.375</v>
      </c>
      <c r="BO385" s="66"/>
      <c r="BP385" s="66">
        <f t="shared" si="354"/>
        <v>29941982</v>
      </c>
      <c r="BQ385" s="66"/>
      <c r="BR385" s="435">
        <f t="shared" si="355"/>
        <v>7.4471924111257998E-2</v>
      </c>
      <c r="BS385" s="66"/>
      <c r="BT385" s="75"/>
      <c r="BU385" s="170"/>
      <c r="BV385" s="1"/>
      <c r="BW385" s="61">
        <f t="shared" si="189"/>
        <v>376</v>
      </c>
    </row>
    <row r="386" spans="2:75" x14ac:dyDescent="0.3">
      <c r="B386" s="158">
        <f t="shared" si="163"/>
        <v>44286</v>
      </c>
      <c r="C386" s="61"/>
      <c r="D386" s="17">
        <v>68756</v>
      </c>
      <c r="E386" s="16"/>
      <c r="F386" s="16"/>
      <c r="G386" s="16"/>
      <c r="H386" s="16">
        <f t="shared" si="332"/>
        <v>30917716</v>
      </c>
      <c r="I386" s="16"/>
      <c r="J386" s="436">
        <f t="shared" si="333"/>
        <v>2.2287947470514403E-3</v>
      </c>
      <c r="K386" s="16"/>
      <c r="L386" s="16"/>
      <c r="M386" s="16"/>
      <c r="N386" s="16">
        <f t="shared" si="334"/>
        <v>443190</v>
      </c>
      <c r="O386" s="16">
        <f t="shared" si="335"/>
        <v>82009.856763925723</v>
      </c>
      <c r="P386" s="41"/>
      <c r="Q386" s="17">
        <f t="shared" si="336"/>
        <v>443190</v>
      </c>
      <c r="R386" s="16"/>
      <c r="S386" s="60">
        <f t="shared" si="337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8"/>
        <v>5236</v>
      </c>
      <c r="AA386" s="33">
        <f t="shared" si="339"/>
        <v>556416</v>
      </c>
      <c r="AB386" s="33"/>
      <c r="AC386" s="46">
        <f t="shared" si="340"/>
        <v>1.7996672199201261E-2</v>
      </c>
      <c r="AD386" s="33"/>
      <c r="AE386" s="33">
        <f t="shared" si="341"/>
        <v>1475.9045092838196</v>
      </c>
      <c r="AF386" s="50"/>
      <c r="AG386" s="33">
        <f t="shared" si="342"/>
        <v>6401</v>
      </c>
      <c r="AH386" s="33">
        <f t="shared" si="315"/>
        <v>1162583728.060914</v>
      </c>
      <c r="AI386" s="213">
        <f t="shared" si="343"/>
        <v>-0.1083716395041092</v>
      </c>
      <c r="AJ386" s="50"/>
      <c r="AK386" s="111"/>
      <c r="AL386" s="23">
        <f t="shared" si="344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45"/>
        <v>3.6743438998666882E-3</v>
      </c>
      <c r="AS386" s="25"/>
      <c r="AT386" s="25"/>
      <c r="AU386" s="24"/>
      <c r="AV386" s="298">
        <f t="shared" si="346"/>
        <v>0.76569245930068053</v>
      </c>
      <c r="AW386" s="298"/>
      <c r="AX386" s="24">
        <f t="shared" si="347"/>
        <v>62794.328912466844</v>
      </c>
      <c r="AY386" s="308"/>
      <c r="AZ386" s="111"/>
      <c r="BA386" s="65">
        <f t="shared" si="348"/>
        <v>1269567</v>
      </c>
      <c r="BB386" s="66"/>
      <c r="BC386" s="66">
        <v>403326884</v>
      </c>
      <c r="BD386" s="66"/>
      <c r="BE386" s="66">
        <f t="shared" si="349"/>
        <v>68756</v>
      </c>
      <c r="BF386" s="66"/>
      <c r="BG386" s="144">
        <f t="shared" si="350"/>
        <v>5.4157047245241882E-2</v>
      </c>
      <c r="BH386" s="66"/>
      <c r="BI386" s="170"/>
      <c r="BJ386" s="66"/>
      <c r="BK386" s="66">
        <f t="shared" si="351"/>
        <v>9463336</v>
      </c>
      <c r="BL386" s="66"/>
      <c r="BM386" s="144">
        <f t="shared" si="352"/>
        <v>4.6832322132491125E-2</v>
      </c>
      <c r="BN386" s="65">
        <f t="shared" si="353"/>
        <v>1069832.5835543766</v>
      </c>
      <c r="BO386" s="66"/>
      <c r="BP386" s="66">
        <f t="shared" si="354"/>
        <v>30010738</v>
      </c>
      <c r="BQ386" s="66"/>
      <c r="BR386" s="435">
        <f t="shared" si="355"/>
        <v>7.4407978219473217E-2</v>
      </c>
      <c r="BS386" s="66"/>
      <c r="BT386" s="75"/>
      <c r="BU386" s="170"/>
      <c r="BV386" s="1"/>
      <c r="BW386" s="61">
        <f t="shared" si="189"/>
        <v>377</v>
      </c>
    </row>
    <row r="387" spans="2:75" x14ac:dyDescent="0.3">
      <c r="B387" s="158">
        <f t="shared" si="163"/>
        <v>44287</v>
      </c>
      <c r="C387" s="61"/>
      <c r="D387" s="17">
        <v>44251</v>
      </c>
      <c r="E387" s="16"/>
      <c r="F387" s="16"/>
      <c r="G387" s="16"/>
      <c r="H387" s="16">
        <f t="shared" si="332"/>
        <v>30961967</v>
      </c>
      <c r="I387" s="16"/>
      <c r="J387" s="436">
        <f t="shared" si="333"/>
        <v>1.4312506137258004E-3</v>
      </c>
      <c r="K387" s="16"/>
      <c r="L387" s="16"/>
      <c r="M387" s="16"/>
      <c r="N387" s="16">
        <f t="shared" si="334"/>
        <v>420395</v>
      </c>
      <c r="O387" s="16">
        <f t="shared" si="335"/>
        <v>81909.965608465602</v>
      </c>
      <c r="P387" s="41"/>
      <c r="Q387" s="17">
        <f t="shared" si="336"/>
        <v>420395</v>
      </c>
      <c r="R387" s="16"/>
      <c r="S387" s="60">
        <f t="shared" si="337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8"/>
        <v>4915</v>
      </c>
      <c r="AA387" s="33">
        <f t="shared" si="339"/>
        <v>557384</v>
      </c>
      <c r="AB387" s="33"/>
      <c r="AC387" s="46">
        <f t="shared" si="340"/>
        <v>1.8002215427721371E-2</v>
      </c>
      <c r="AD387" s="33"/>
      <c r="AE387" s="33">
        <f t="shared" si="341"/>
        <v>1474.5608465608466</v>
      </c>
      <c r="AF387" s="50"/>
      <c r="AG387" s="33">
        <f t="shared" si="342"/>
        <v>6204</v>
      </c>
      <c r="AH387" s="33">
        <f t="shared" si="315"/>
        <v>1162526838.060914</v>
      </c>
      <c r="AI387" s="213">
        <f t="shared" si="343"/>
        <v>-6.5521915951197468E-2</v>
      </c>
      <c r="AJ387" s="50"/>
      <c r="AK387" s="111" t="s">
        <v>26</v>
      </c>
      <c r="AL387" s="23">
        <f t="shared" si="344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45"/>
        <v>3.6554856235222377E-3</v>
      </c>
      <c r="AS387" s="25"/>
      <c r="AT387" s="25"/>
      <c r="AU387" s="24"/>
      <c r="AV387" s="298">
        <f t="shared" si="346"/>
        <v>0.76739310522487159</v>
      </c>
      <c r="AW387" s="298"/>
      <c r="AX387" s="24">
        <f t="shared" si="347"/>
        <v>62857.142857142855</v>
      </c>
      <c r="AY387" s="308"/>
      <c r="AZ387" s="111"/>
      <c r="BA387" s="65">
        <f t="shared" si="348"/>
        <v>2573116</v>
      </c>
      <c r="BB387" s="66"/>
      <c r="BC387" s="66">
        <v>405900000</v>
      </c>
      <c r="BD387" s="66"/>
      <c r="BE387" s="66">
        <f t="shared" si="349"/>
        <v>44251</v>
      </c>
      <c r="BF387" s="66"/>
      <c r="BG387" s="144">
        <f t="shared" si="350"/>
        <v>1.7197436881975007E-2</v>
      </c>
      <c r="BH387" s="66"/>
      <c r="BI387" s="170"/>
      <c r="BJ387" s="66"/>
      <c r="BK387" s="66">
        <f t="shared" si="351"/>
        <v>10546700</v>
      </c>
      <c r="BL387" s="66"/>
      <c r="BM387" s="144">
        <f t="shared" si="352"/>
        <v>3.9860335460380973E-2</v>
      </c>
      <c r="BN387" s="65">
        <f t="shared" si="353"/>
        <v>1073809.5238095238</v>
      </c>
      <c r="BO387" s="66"/>
      <c r="BP387" s="66">
        <f t="shared" si="354"/>
        <v>30054989</v>
      </c>
      <c r="BQ387" s="66"/>
      <c r="BR387" s="435">
        <f t="shared" si="355"/>
        <v>7.4045304262133529E-2</v>
      </c>
      <c r="BS387" s="66"/>
      <c r="BT387" s="75"/>
      <c r="BU387" s="170"/>
      <c r="BV387" s="1"/>
      <c r="BW387" s="61">
        <f t="shared" si="189"/>
        <v>378</v>
      </c>
    </row>
    <row r="388" spans="2:75" x14ac:dyDescent="0.3">
      <c r="B388" s="158">
        <f t="shared" si="163"/>
        <v>44288</v>
      </c>
      <c r="C388" s="61"/>
      <c r="D388" s="17">
        <v>70024</v>
      </c>
      <c r="E388" s="16"/>
      <c r="F388" s="16"/>
      <c r="G388" s="16"/>
      <c r="H388" s="16">
        <f t="shared" si="332"/>
        <v>31031991</v>
      </c>
      <c r="I388" s="16"/>
      <c r="J388" s="436">
        <f t="shared" si="333"/>
        <v>2.26161341751963E-3</v>
      </c>
      <c r="K388" s="16"/>
      <c r="L388" s="16"/>
      <c r="M388" s="16"/>
      <c r="N388" s="16">
        <f t="shared" si="334"/>
        <v>413443</v>
      </c>
      <c r="O388" s="16">
        <f t="shared" si="335"/>
        <v>81878.604221635891</v>
      </c>
      <c r="P388" s="41"/>
      <c r="Q388" s="17">
        <f t="shared" si="336"/>
        <v>413443</v>
      </c>
      <c r="R388" s="16"/>
      <c r="S388" s="60">
        <f t="shared" si="337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8"/>
        <v>5128</v>
      </c>
      <c r="AA388" s="33">
        <f t="shared" si="339"/>
        <v>558385</v>
      </c>
      <c r="AB388" s="33"/>
      <c r="AC388" s="46">
        <f t="shared" si="340"/>
        <v>1.799385028179468E-2</v>
      </c>
      <c r="AD388" s="33"/>
      <c r="AE388" s="33">
        <f t="shared" si="341"/>
        <v>1473.311345646438</v>
      </c>
      <c r="AF388" s="50"/>
      <c r="AG388" s="33">
        <f t="shared" si="342"/>
        <v>5916</v>
      </c>
      <c r="AH388" s="33">
        <f t="shared" si="315"/>
        <v>1162459613.060914</v>
      </c>
      <c r="AI388" s="213">
        <f t="shared" si="343"/>
        <v>-0.11410601976639713</v>
      </c>
      <c r="AJ388" s="50"/>
      <c r="AK388" s="111"/>
      <c r="AL388" s="23">
        <f t="shared" si="344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45"/>
        <v>2.7734006734006734E-3</v>
      </c>
      <c r="AS388" s="25"/>
      <c r="AT388" s="25"/>
      <c r="AU388" s="24"/>
      <c r="AV388" s="298">
        <f t="shared" si="346"/>
        <v>0.7677849610100751</v>
      </c>
      <c r="AW388" s="298"/>
      <c r="AX388" s="24">
        <f t="shared" si="347"/>
        <v>62865.160949868077</v>
      </c>
      <c r="AY388" s="308"/>
      <c r="AZ388" s="111"/>
      <c r="BA388" s="65">
        <f t="shared" si="348"/>
        <v>776337</v>
      </c>
      <c r="BB388" s="66"/>
      <c r="BC388" s="66">
        <v>406676337</v>
      </c>
      <c r="BD388" s="66"/>
      <c r="BE388" s="66">
        <f t="shared" si="349"/>
        <v>70024</v>
      </c>
      <c r="BF388" s="66"/>
      <c r="BG388" s="144">
        <f t="shared" si="350"/>
        <v>9.019794238842152E-2</v>
      </c>
      <c r="BH388" s="66"/>
      <c r="BI388" s="170"/>
      <c r="BJ388" s="66"/>
      <c r="BK388" s="66">
        <f t="shared" si="351"/>
        <v>9782171</v>
      </c>
      <c r="BL388" s="66"/>
      <c r="BM388" s="144">
        <f t="shared" si="352"/>
        <v>4.2264953250152754E-2</v>
      </c>
      <c r="BN388" s="65">
        <f t="shared" si="353"/>
        <v>1073024.635883905</v>
      </c>
      <c r="BO388" s="66"/>
      <c r="BP388" s="66">
        <f t="shared" si="354"/>
        <v>30125013</v>
      </c>
      <c r="BQ388" s="66"/>
      <c r="BR388" s="435">
        <f t="shared" si="355"/>
        <v>7.4076139325509854E-2</v>
      </c>
      <c r="BS388" s="66"/>
      <c r="BT388" s="75"/>
      <c r="BU388" s="170"/>
      <c r="BV388" s="1"/>
      <c r="BW388" s="61">
        <f t="shared" si="189"/>
        <v>379</v>
      </c>
    </row>
    <row r="389" spans="2:75" x14ac:dyDescent="0.3">
      <c r="B389" s="158">
        <f t="shared" si="163"/>
        <v>44289</v>
      </c>
      <c r="C389" s="61"/>
      <c r="D389" s="17">
        <v>66154</v>
      </c>
      <c r="E389" s="16"/>
      <c r="F389" s="16"/>
      <c r="G389" s="16"/>
      <c r="H389" s="16">
        <f t="shared" si="332"/>
        <v>31098145</v>
      </c>
      <c r="I389" s="16"/>
      <c r="J389" s="436">
        <f t="shared" si="333"/>
        <v>2.131800051114993E-3</v>
      </c>
      <c r="K389" s="16"/>
      <c r="L389" s="16"/>
      <c r="M389" s="16"/>
      <c r="N389" s="16">
        <f t="shared" si="334"/>
        <v>415938</v>
      </c>
      <c r="O389" s="16">
        <f t="shared" si="335"/>
        <v>81837.223684210519</v>
      </c>
      <c r="P389" s="41"/>
      <c r="Q389" s="17">
        <f t="shared" si="336"/>
        <v>415938</v>
      </c>
      <c r="R389" s="16"/>
      <c r="S389" s="60">
        <f t="shared" si="337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8"/>
        <v>5425</v>
      </c>
      <c r="AA389" s="33">
        <f t="shared" si="339"/>
        <v>559192</v>
      </c>
      <c r="AB389" s="33"/>
      <c r="AC389" s="46">
        <f t="shared" si="340"/>
        <v>1.7981522692109127E-2</v>
      </c>
      <c r="AD389" s="33"/>
      <c r="AE389" s="33">
        <f t="shared" si="341"/>
        <v>1471.5578947368422</v>
      </c>
      <c r="AF389" s="50"/>
      <c r="AG389" s="33">
        <f t="shared" si="342"/>
        <v>5935</v>
      </c>
      <c r="AH389" s="33">
        <f t="shared" si="315"/>
        <v>1162391292.060914</v>
      </c>
      <c r="AI389" s="213">
        <f t="shared" si="343"/>
        <v>-0.11072819898112077</v>
      </c>
      <c r="AJ389" s="50"/>
      <c r="AK389" s="111"/>
      <c r="AL389" s="23">
        <f t="shared" si="344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45"/>
        <v>2.8849282310306401E-3</v>
      </c>
      <c r="AS389" s="25"/>
      <c r="AT389" s="25"/>
      <c r="AU389" s="24"/>
      <c r="AV389" s="298">
        <f t="shared" si="346"/>
        <v>0.76836197142948559</v>
      </c>
      <c r="AW389" s="298"/>
      <c r="AX389" s="24">
        <f t="shared" si="347"/>
        <v>62880.610526315788</v>
      </c>
      <c r="AY389" s="308"/>
      <c r="AZ389" s="111"/>
      <c r="BA389" s="65">
        <f t="shared" si="348"/>
        <v>1581551</v>
      </c>
      <c r="BB389" s="66"/>
      <c r="BC389" s="66">
        <v>408257888</v>
      </c>
      <c r="BD389" s="66"/>
      <c r="BE389" s="66">
        <f t="shared" si="349"/>
        <v>66154</v>
      </c>
      <c r="BF389" s="66"/>
      <c r="BG389" s="144">
        <f t="shared" si="350"/>
        <v>4.1828559433113442E-2</v>
      </c>
      <c r="BH389" s="66"/>
      <c r="BI389" s="170"/>
      <c r="BJ389" s="66"/>
      <c r="BK389" s="66">
        <f t="shared" si="351"/>
        <v>9976172</v>
      </c>
      <c r="BL389" s="66"/>
      <c r="BM389" s="144">
        <f t="shared" si="352"/>
        <v>4.1693146429311767E-2</v>
      </c>
      <c r="BN389" s="65">
        <f t="shared" si="353"/>
        <v>1074362.8631578947</v>
      </c>
      <c r="BO389" s="66"/>
      <c r="BP389" s="66">
        <f t="shared" si="354"/>
        <v>30191167</v>
      </c>
      <c r="BQ389" s="66"/>
      <c r="BR389" s="435">
        <f t="shared" si="355"/>
        <v>7.3951215365127249E-2</v>
      </c>
      <c r="BS389" s="66"/>
      <c r="BT389" s="75"/>
      <c r="BU389" s="170"/>
      <c r="BV389" s="1"/>
      <c r="BW389" s="61">
        <f t="shared" si="189"/>
        <v>380</v>
      </c>
    </row>
    <row r="390" spans="2:75" x14ac:dyDescent="0.3">
      <c r="B390" s="347">
        <f t="shared" si="163"/>
        <v>44290</v>
      </c>
      <c r="C390" s="61"/>
      <c r="D390" s="17">
        <v>36983</v>
      </c>
      <c r="E390" s="16"/>
      <c r="F390" s="16"/>
      <c r="G390" s="16"/>
      <c r="H390" s="16">
        <f t="shared" si="332"/>
        <v>31135128</v>
      </c>
      <c r="I390" s="16"/>
      <c r="J390" s="436">
        <f t="shared" si="333"/>
        <v>1.1892349206037852E-3</v>
      </c>
      <c r="K390" s="16"/>
      <c r="L390" s="16"/>
      <c r="M390" s="16"/>
      <c r="N390" s="16">
        <f t="shared" si="334"/>
        <v>408825</v>
      </c>
      <c r="O390" s="16">
        <f t="shared" si="335"/>
        <v>81719.496062992126</v>
      </c>
      <c r="P390" s="41"/>
      <c r="Q390" s="17">
        <f t="shared" si="336"/>
        <v>408825</v>
      </c>
      <c r="R390" s="16"/>
      <c r="S390" s="60">
        <f t="shared" si="337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8"/>
        <v>5034</v>
      </c>
      <c r="AA390" s="33">
        <f t="shared" si="339"/>
        <v>559462</v>
      </c>
      <c r="AB390" s="33"/>
      <c r="AC390" s="46">
        <f t="shared" si="340"/>
        <v>1.7968835715080407E-2</v>
      </c>
      <c r="AD390" s="33"/>
      <c r="AE390" s="33">
        <f t="shared" si="341"/>
        <v>1468.4041994750655</v>
      </c>
      <c r="AF390" s="50"/>
      <c r="AG390" s="33">
        <f t="shared" si="342"/>
        <v>5695</v>
      </c>
      <c r="AH390" s="33">
        <f t="shared" si="315"/>
        <v>1162322052.060914</v>
      </c>
      <c r="AI390" s="213">
        <f t="shared" si="343"/>
        <v>-0.15366324862535294</v>
      </c>
      <c r="AJ390" s="50"/>
      <c r="AK390" s="111"/>
      <c r="AL390" s="23">
        <f t="shared" si="344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45"/>
        <v>2.1791923809498302E-3</v>
      </c>
      <c r="AS390" s="25"/>
      <c r="AT390" s="25"/>
      <c r="AU390" s="24"/>
      <c r="AV390" s="298">
        <f t="shared" si="346"/>
        <v>0.76912171358344827</v>
      </c>
      <c r="AW390" s="298"/>
      <c r="AX390" s="24">
        <f t="shared" si="347"/>
        <v>62852.238845144355</v>
      </c>
      <c r="AY390" s="308"/>
      <c r="AZ390" s="111"/>
      <c r="BA390" s="65">
        <f t="shared" si="348"/>
        <v>1143292</v>
      </c>
      <c r="BB390" s="66"/>
      <c r="BC390" s="66">
        <v>409401180</v>
      </c>
      <c r="BD390" s="66"/>
      <c r="BE390" s="66">
        <f t="shared" si="349"/>
        <v>36983</v>
      </c>
      <c r="BF390" s="66"/>
      <c r="BG390" s="144">
        <f t="shared" si="350"/>
        <v>3.234781665576248E-2</v>
      </c>
      <c r="BH390" s="66"/>
      <c r="BI390" s="170"/>
      <c r="BJ390" s="66"/>
      <c r="BK390" s="66">
        <f t="shared" si="351"/>
        <v>10059162</v>
      </c>
      <c r="BL390" s="66"/>
      <c r="BM390" s="144">
        <f t="shared" si="352"/>
        <v>4.0642053483182797E-2</v>
      </c>
      <c r="BN390" s="65">
        <f t="shared" si="353"/>
        <v>1074543.7795275589</v>
      </c>
      <c r="BO390" s="66"/>
      <c r="BP390" s="66">
        <f t="shared" si="354"/>
        <v>30228150</v>
      </c>
      <c r="BQ390" s="66"/>
      <c r="BR390" s="435">
        <f t="shared" si="355"/>
        <v>7.3835033890229634E-2</v>
      </c>
      <c r="BS390" s="66"/>
      <c r="BT390" s="75"/>
      <c r="BU390" s="170"/>
      <c r="BV390" s="1"/>
      <c r="BW390" s="61">
        <f t="shared" si="189"/>
        <v>381</v>
      </c>
    </row>
    <row r="391" spans="2:75" x14ac:dyDescent="0.3">
      <c r="B391" s="158">
        <f t="shared" si="163"/>
        <v>44291</v>
      </c>
      <c r="C391" s="61"/>
      <c r="D391" s="17">
        <v>57644</v>
      </c>
      <c r="E391" s="16"/>
      <c r="F391" s="16"/>
      <c r="G391" s="16"/>
      <c r="H391" s="16">
        <f t="shared" si="332"/>
        <v>31192772</v>
      </c>
      <c r="I391" s="16"/>
      <c r="J391" s="436">
        <f t="shared" si="333"/>
        <v>1.8514136187267321E-3</v>
      </c>
      <c r="K391" s="16"/>
      <c r="L391" s="16"/>
      <c r="M391" s="16"/>
      <c r="N391" s="16">
        <f t="shared" si="334"/>
        <v>406271</v>
      </c>
      <c r="O391" s="16">
        <f t="shared" si="335"/>
        <v>81656.471204188478</v>
      </c>
      <c r="P391" s="41"/>
      <c r="Q391" s="17">
        <f t="shared" si="336"/>
        <v>406271</v>
      </c>
      <c r="R391" s="16"/>
      <c r="S391" s="60">
        <f t="shared" si="337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8"/>
        <v>4685</v>
      </c>
      <c r="AA391" s="33">
        <f t="shared" si="339"/>
        <v>559986</v>
      </c>
      <c r="AB391" s="33"/>
      <c r="AC391" s="46">
        <f t="shared" si="340"/>
        <v>1.7952428209971207E-2</v>
      </c>
      <c r="AD391" s="33"/>
      <c r="AE391" s="33">
        <f t="shared" si="341"/>
        <v>1465.931937172775</v>
      </c>
      <c r="AF391" s="50"/>
      <c r="AG391" s="33">
        <f t="shared" si="342"/>
        <v>5558</v>
      </c>
      <c r="AH391" s="33">
        <f t="shared" si="315"/>
        <v>1162263824.060914</v>
      </c>
      <c r="AI391" s="213">
        <f t="shared" si="343"/>
        <v>-0.17708024874148653</v>
      </c>
      <c r="AJ391" s="50"/>
      <c r="AK391" s="111"/>
      <c r="AL391" s="23">
        <f t="shared" si="344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45"/>
        <v>3.9394567176951247E-3</v>
      </c>
      <c r="AS391" s="25"/>
      <c r="AT391" s="25"/>
      <c r="AU391" s="24"/>
      <c r="AV391" s="298">
        <f t="shared" si="346"/>
        <v>0.77072470506949498</v>
      </c>
      <c r="AW391" s="298"/>
      <c r="AX391" s="24">
        <f t="shared" si="347"/>
        <v>62934.659685863873</v>
      </c>
      <c r="AY391" s="308"/>
      <c r="AZ391" s="111"/>
      <c r="BA391" s="65">
        <f t="shared" si="348"/>
        <v>1578516</v>
      </c>
      <c r="BB391" s="66"/>
      <c r="BC391" s="66">
        <v>410979696</v>
      </c>
      <c r="BD391" s="66"/>
      <c r="BE391" s="66">
        <f t="shared" si="349"/>
        <v>57644</v>
      </c>
      <c r="BF391" s="66"/>
      <c r="BG391" s="144">
        <f t="shared" si="350"/>
        <v>3.6517843341467557E-2</v>
      </c>
      <c r="BH391" s="66"/>
      <c r="BI391" s="170"/>
      <c r="BJ391" s="66"/>
      <c r="BK391" s="66">
        <f t="shared" si="351"/>
        <v>10102454</v>
      </c>
      <c r="BL391" s="66"/>
      <c r="BM391" s="144">
        <f t="shared" si="352"/>
        <v>4.0215080415114984E-2</v>
      </c>
      <c r="BN391" s="65">
        <f t="shared" si="353"/>
        <v>1075863.0785340315</v>
      </c>
      <c r="BO391" s="66"/>
      <c r="BP391" s="66">
        <f t="shared" si="354"/>
        <v>30285794</v>
      </c>
      <c r="BQ391" s="66"/>
      <c r="BR391" s="435">
        <f t="shared" si="355"/>
        <v>7.3691703738084424E-2</v>
      </c>
      <c r="BS391" s="66"/>
      <c r="BT391" s="75"/>
      <c r="BU391" s="170"/>
      <c r="BV391" s="1"/>
      <c r="BW391" s="61">
        <f t="shared" si="189"/>
        <v>382</v>
      </c>
    </row>
    <row r="392" spans="2:75" x14ac:dyDescent="0.3">
      <c r="B392" s="158">
        <f t="shared" si="163"/>
        <v>44292</v>
      </c>
      <c r="C392" s="61"/>
      <c r="D392" s="17">
        <v>62283</v>
      </c>
      <c r="E392" s="16"/>
      <c r="F392" s="16"/>
      <c r="G392" s="16"/>
      <c r="H392" s="16">
        <f t="shared" si="332"/>
        <v>31255055</v>
      </c>
      <c r="I392" s="16"/>
      <c r="J392" s="436">
        <f t="shared" si="333"/>
        <v>1.9967125717457877E-3</v>
      </c>
      <c r="K392" s="16"/>
      <c r="L392" s="16"/>
      <c r="M392" s="16"/>
      <c r="N392" s="16">
        <f t="shared" si="334"/>
        <v>406095</v>
      </c>
      <c r="O392" s="16">
        <f t="shared" si="335"/>
        <v>81605.887728459536</v>
      </c>
      <c r="P392" s="41"/>
      <c r="Q392" s="17">
        <f t="shared" si="336"/>
        <v>406095</v>
      </c>
      <c r="R392" s="16"/>
      <c r="S392" s="60">
        <f t="shared" si="337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8"/>
        <v>4476</v>
      </c>
      <c r="AA392" s="33">
        <f t="shared" si="339"/>
        <v>560892</v>
      </c>
      <c r="AB392" s="33"/>
      <c r="AC392" s="46">
        <f t="shared" si="340"/>
        <v>1.7945641113093547E-2</v>
      </c>
      <c r="AD392" s="33"/>
      <c r="AE392" s="33">
        <f t="shared" si="341"/>
        <v>1464.4699738903394</v>
      </c>
      <c r="AF392" s="50"/>
      <c r="AG392" s="33">
        <f t="shared" si="342"/>
        <v>5591</v>
      </c>
      <c r="AH392" s="33">
        <f t="shared" si="315"/>
        <v>1162221857.060914</v>
      </c>
      <c r="AI392" s="213">
        <f t="shared" si="343"/>
        <v>-0.16439994021820356</v>
      </c>
      <c r="AJ392" s="50"/>
      <c r="AK392" s="111"/>
      <c r="AL392" s="23">
        <f t="shared" si="344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45"/>
        <v>3.3767673944222047E-3</v>
      </c>
      <c r="AS392" s="25"/>
      <c r="AT392" s="25"/>
      <c r="AU392" s="24"/>
      <c r="AV392" s="298">
        <f t="shared" si="346"/>
        <v>0.77178622785978135</v>
      </c>
      <c r="AW392" s="298"/>
      <c r="AX392" s="24">
        <f t="shared" si="347"/>
        <v>62982.300261096607</v>
      </c>
      <c r="AY392" s="308"/>
      <c r="AZ392" s="111"/>
      <c r="BA392" s="65">
        <f t="shared" si="348"/>
        <v>1231087</v>
      </c>
      <c r="BB392" s="66"/>
      <c r="BC392" s="66">
        <v>412210783</v>
      </c>
      <c r="BD392" s="66"/>
      <c r="BE392" s="66">
        <f t="shared" si="349"/>
        <v>62283</v>
      </c>
      <c r="BF392" s="66"/>
      <c r="BG392" s="144">
        <f t="shared" si="350"/>
        <v>5.0591875310193352E-2</v>
      </c>
      <c r="BH392" s="66"/>
      <c r="BI392" s="170"/>
      <c r="BJ392" s="66"/>
      <c r="BK392" s="66">
        <f t="shared" si="351"/>
        <v>10153466</v>
      </c>
      <c r="BL392" s="66"/>
      <c r="BM392" s="144">
        <f t="shared" si="352"/>
        <v>3.9995701960296122E-2</v>
      </c>
      <c r="BN392" s="65">
        <f t="shared" si="353"/>
        <v>1076268.362924282</v>
      </c>
      <c r="BO392" s="66"/>
      <c r="BP392" s="66">
        <f t="shared" si="354"/>
        <v>30348077</v>
      </c>
      <c r="BQ392" s="66"/>
      <c r="BR392" s="435">
        <f t="shared" si="355"/>
        <v>7.3622715007918657E-2</v>
      </c>
      <c r="BS392" s="66"/>
      <c r="BT392" s="75"/>
      <c r="BU392" s="170"/>
      <c r="BV392" s="1"/>
      <c r="BW392" s="61">
        <f t="shared" si="189"/>
        <v>383</v>
      </c>
    </row>
    <row r="393" spans="2:75" x14ac:dyDescent="0.3">
      <c r="B393" s="158">
        <f t="shared" si="163"/>
        <v>44293</v>
      </c>
      <c r="C393" s="61"/>
      <c r="D393" s="17">
        <v>75183</v>
      </c>
      <c r="E393" s="16"/>
      <c r="F393" s="16"/>
      <c r="G393" s="16"/>
      <c r="H393" s="16">
        <f t="shared" si="332"/>
        <v>31330238</v>
      </c>
      <c r="I393" s="16"/>
      <c r="J393" s="436">
        <f t="shared" si="333"/>
        <v>2.4054668916756025E-3</v>
      </c>
      <c r="K393" s="16"/>
      <c r="L393" s="16"/>
      <c r="M393" s="16"/>
      <c r="N393" s="16">
        <f t="shared" si="334"/>
        <v>412522</v>
      </c>
      <c r="O393" s="16">
        <f t="shared" si="335"/>
        <v>81589.161458333328</v>
      </c>
      <c r="P393" s="41"/>
      <c r="Q393" s="17">
        <f t="shared" si="336"/>
        <v>412522</v>
      </c>
      <c r="R393" s="16"/>
      <c r="S393" s="60">
        <f t="shared" si="337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8"/>
        <v>4381</v>
      </c>
      <c r="AA393" s="33">
        <f t="shared" si="339"/>
        <v>561765</v>
      </c>
      <c r="AB393" s="33"/>
      <c r="AC393" s="46">
        <f t="shared" si="340"/>
        <v>1.7930441511488038E-2</v>
      </c>
      <c r="AD393" s="33"/>
      <c r="AE393" s="33">
        <f t="shared" si="341"/>
        <v>1462.9296875</v>
      </c>
      <c r="AF393" s="50"/>
      <c r="AG393" s="33">
        <f t="shared" si="342"/>
        <v>5349</v>
      </c>
      <c r="AH393" s="33">
        <f t="shared" si="315"/>
        <v>1162176489.060914</v>
      </c>
      <c r="AI393" s="213">
        <f t="shared" si="343"/>
        <v>-0.16434932041868458</v>
      </c>
      <c r="AJ393" s="50"/>
      <c r="AK393" s="111"/>
      <c r="AL393" s="23">
        <f t="shared" si="344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45"/>
        <v>3.495449278903464E-3</v>
      </c>
      <c r="AS393" s="25"/>
      <c r="AT393" s="25"/>
      <c r="AU393" s="24"/>
      <c r="AV393" s="298">
        <f t="shared" si="346"/>
        <v>0.77262544255169718</v>
      </c>
      <c r="AW393" s="298"/>
      <c r="AX393" s="24">
        <f t="shared" si="347"/>
        <v>63037.861979166664</v>
      </c>
      <c r="AY393" s="308"/>
      <c r="AZ393" s="111"/>
      <c r="BA393" s="65">
        <f t="shared" si="348"/>
        <v>1267891</v>
      </c>
      <c r="BB393" s="66"/>
      <c r="BC393" s="66">
        <v>413478674</v>
      </c>
      <c r="BD393" s="66"/>
      <c r="BE393" s="66">
        <f t="shared" si="349"/>
        <v>75183</v>
      </c>
      <c r="BF393" s="66"/>
      <c r="BG393" s="144">
        <f t="shared" si="350"/>
        <v>5.929768410691455E-2</v>
      </c>
      <c r="BH393" s="66"/>
      <c r="BI393" s="170"/>
      <c r="BJ393" s="66"/>
      <c r="BK393" s="66">
        <f t="shared" si="351"/>
        <v>10151790</v>
      </c>
      <c r="BL393" s="66"/>
      <c r="BM393" s="144">
        <f t="shared" si="352"/>
        <v>4.0635395334221849E-2</v>
      </c>
      <c r="BN393" s="65">
        <f t="shared" si="353"/>
        <v>1076767.3802083333</v>
      </c>
      <c r="BO393" s="66"/>
      <c r="BP393" s="66">
        <f t="shared" si="354"/>
        <v>30423260</v>
      </c>
      <c r="BQ393" s="66"/>
      <c r="BR393" s="435">
        <f t="shared" si="355"/>
        <v>7.3578788733370079E-2</v>
      </c>
      <c r="BS393" s="66"/>
      <c r="BT393" s="75"/>
      <c r="BU393" s="170"/>
      <c r="BV393" s="1"/>
      <c r="BW393" s="61">
        <f t="shared" si="189"/>
        <v>384</v>
      </c>
    </row>
    <row r="394" spans="2:75" x14ac:dyDescent="0.3">
      <c r="B394" s="158">
        <f t="shared" si="163"/>
        <v>44294</v>
      </c>
      <c r="C394" s="61"/>
      <c r="D394" s="17">
        <v>80161</v>
      </c>
      <c r="E394" s="16"/>
      <c r="F394" s="16"/>
      <c r="G394" s="16"/>
      <c r="H394" s="16">
        <f t="shared" si="332"/>
        <v>31410399</v>
      </c>
      <c r="I394" s="16"/>
      <c r="J394" s="436">
        <f t="shared" si="333"/>
        <v>2.5585825425264884E-3</v>
      </c>
      <c r="K394" s="16"/>
      <c r="L394" s="16"/>
      <c r="M394" s="16"/>
      <c r="N394" s="16">
        <f t="shared" si="334"/>
        <v>448432</v>
      </c>
      <c r="O394" s="16">
        <f t="shared" si="335"/>
        <v>81585.451948051952</v>
      </c>
      <c r="P394" s="41"/>
      <c r="Q394" s="17">
        <f t="shared" si="336"/>
        <v>448432</v>
      </c>
      <c r="R394" s="16"/>
      <c r="S394" s="60">
        <f t="shared" si="337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8"/>
        <v>4389</v>
      </c>
      <c r="AA394" s="33">
        <f t="shared" si="339"/>
        <v>562774</v>
      </c>
      <c r="AB394" s="33"/>
      <c r="AC394" s="46">
        <f t="shared" si="340"/>
        <v>1.7916805195629638E-2</v>
      </c>
      <c r="AD394" s="33"/>
      <c r="AE394" s="33">
        <f t="shared" si="341"/>
        <v>1461.7506493506494</v>
      </c>
      <c r="AF394" s="50"/>
      <c r="AG394" s="33">
        <f t="shared" si="342"/>
        <v>5390</v>
      </c>
      <c r="AH394" s="33">
        <f t="shared" si="315"/>
        <v>1162120806.060914</v>
      </c>
      <c r="AI394" s="213">
        <f t="shared" si="343"/>
        <v>-0.13120567375886524</v>
      </c>
      <c r="AJ394" s="50"/>
      <c r="AK394" s="111"/>
      <c r="AL394" s="23">
        <f t="shared" si="344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45"/>
        <v>2.7401686792151493E-3</v>
      </c>
      <c r="AS394" s="25"/>
      <c r="AT394" s="25"/>
      <c r="AU394" s="24"/>
      <c r="AV394" s="298">
        <f t="shared" si="346"/>
        <v>0.77276538257282246</v>
      </c>
      <c r="AW394" s="298"/>
      <c r="AX394" s="24">
        <f t="shared" si="347"/>
        <v>63046.412987012984</v>
      </c>
      <c r="AY394" s="308"/>
      <c r="AZ394" s="111"/>
      <c r="BA394" s="65">
        <f t="shared" si="348"/>
        <v>1688479</v>
      </c>
      <c r="BB394" s="66"/>
      <c r="BC394" s="66">
        <v>415167153</v>
      </c>
      <c r="BD394" s="66"/>
      <c r="BE394" s="66">
        <f t="shared" si="349"/>
        <v>80161</v>
      </c>
      <c r="BF394" s="66"/>
      <c r="BG394" s="144">
        <f t="shared" si="350"/>
        <v>4.7475272123609476E-2</v>
      </c>
      <c r="BH394" s="66"/>
      <c r="BI394" s="170"/>
      <c r="BJ394" s="66"/>
      <c r="BK394" s="66">
        <f t="shared" si="351"/>
        <v>9267153</v>
      </c>
      <c r="BL394" s="66"/>
      <c r="BM394" s="144">
        <f t="shared" si="352"/>
        <v>4.838940287270535E-2</v>
      </c>
      <c r="BN394" s="65">
        <f t="shared" si="353"/>
        <v>1078356.2415584417</v>
      </c>
      <c r="BO394" s="66"/>
      <c r="BP394" s="66">
        <f t="shared" si="354"/>
        <v>30503421</v>
      </c>
      <c r="BQ394" s="66"/>
      <c r="BR394" s="435">
        <f t="shared" si="355"/>
        <v>7.347262609669894E-2</v>
      </c>
      <c r="BS394" s="66"/>
      <c r="BT394" s="75"/>
      <c r="BU394" s="170"/>
      <c r="BV394" s="1"/>
      <c r="BW394" s="61">
        <f t="shared" si="189"/>
        <v>385</v>
      </c>
    </row>
    <row r="395" spans="2:75" x14ac:dyDescent="0.3">
      <c r="B395" s="158">
        <f t="shared" si="163"/>
        <v>44295</v>
      </c>
      <c r="C395" s="61"/>
      <c r="D395" s="17">
        <v>85368</v>
      </c>
      <c r="E395" s="16"/>
      <c r="F395" s="16"/>
      <c r="G395" s="16"/>
      <c r="H395" s="16">
        <f t="shared" si="332"/>
        <v>31495767</v>
      </c>
      <c r="I395" s="16"/>
      <c r="J395" s="436">
        <f t="shared" si="333"/>
        <v>2.7178260295260817E-3</v>
      </c>
      <c r="K395" s="16"/>
      <c r="L395" s="16"/>
      <c r="M395" s="16"/>
      <c r="N395" s="16">
        <f t="shared" si="334"/>
        <v>463776</v>
      </c>
      <c r="O395" s="16">
        <f t="shared" si="335"/>
        <v>81595.251295336784</v>
      </c>
      <c r="P395" s="41"/>
      <c r="Q395" s="17">
        <f t="shared" si="336"/>
        <v>463776</v>
      </c>
      <c r="R395" s="16"/>
      <c r="S395" s="60">
        <f t="shared" si="337"/>
        <v>0.12174108643755004</v>
      </c>
      <c r="T395" s="16"/>
      <c r="U395" s="41"/>
      <c r="V395" s="10">
        <f t="shared" ref="V395:V649" si="356">+V394+1</f>
        <v>287</v>
      </c>
      <c r="W395" s="34">
        <v>929</v>
      </c>
      <c r="X395" s="33">
        <v>4256</v>
      </c>
      <c r="Y395" s="33"/>
      <c r="Z395" s="33">
        <f t="shared" si="338"/>
        <v>4511</v>
      </c>
      <c r="AA395" s="33">
        <f t="shared" si="339"/>
        <v>563703</v>
      </c>
      <c r="AB395" s="33"/>
      <c r="AC395" s="46">
        <f t="shared" si="340"/>
        <v>1.7897738448471503E-2</v>
      </c>
      <c r="AD395" s="33"/>
      <c r="AE395" s="33">
        <f t="shared" si="341"/>
        <v>1460.3704663212436</v>
      </c>
      <c r="AF395" s="50"/>
      <c r="AG395" s="33">
        <f t="shared" si="342"/>
        <v>5318</v>
      </c>
      <c r="AH395" s="33">
        <f t="shared" si="315"/>
        <v>1162059446.060914</v>
      </c>
      <c r="AI395" s="213">
        <f t="shared" si="343"/>
        <v>-0.1010818120351589</v>
      </c>
      <c r="AJ395" s="50"/>
      <c r="AK395" s="111"/>
      <c r="AL395" s="23">
        <f t="shared" si="344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45"/>
        <v>3.0444279166175208E-3</v>
      </c>
      <c r="AS395" s="25"/>
      <c r="AT395" s="25"/>
      <c r="AU395" s="24"/>
      <c r="AV395" s="298">
        <f t="shared" si="346"/>
        <v>0.77301708512131173</v>
      </c>
      <c r="AW395" s="298"/>
      <c r="AX395" s="24">
        <f t="shared" si="347"/>
        <v>63074.523316062179</v>
      </c>
      <c r="AY395" s="308"/>
      <c r="AZ395" s="111"/>
      <c r="BA395" s="65">
        <f t="shared" si="348"/>
        <v>1622177</v>
      </c>
      <c r="BB395" s="66"/>
      <c r="BC395" s="66">
        <v>416789330</v>
      </c>
      <c r="BD395" s="66"/>
      <c r="BE395" s="66">
        <f t="shared" si="349"/>
        <v>85368</v>
      </c>
      <c r="BF395" s="66"/>
      <c r="BG395" s="144">
        <f t="shared" si="350"/>
        <v>5.2625576617101585E-2</v>
      </c>
      <c r="BH395" s="66"/>
      <c r="BI395" s="170"/>
      <c r="BJ395" s="66"/>
      <c r="BK395" s="66">
        <f t="shared" si="351"/>
        <v>10112993</v>
      </c>
      <c r="BL395" s="66"/>
      <c r="BM395" s="144">
        <f t="shared" si="352"/>
        <v>4.5859420648269013E-2</v>
      </c>
      <c r="BN395" s="65">
        <f t="shared" si="353"/>
        <v>1079765.103626943</v>
      </c>
      <c r="BO395" s="66"/>
      <c r="BP395" s="66">
        <f t="shared" si="354"/>
        <v>30588789</v>
      </c>
      <c r="BQ395" s="66"/>
      <c r="BR395" s="435">
        <f t="shared" si="355"/>
        <v>7.339148773314326E-2</v>
      </c>
      <c r="BS395" s="66"/>
      <c r="BT395" s="75"/>
      <c r="BU395" s="170"/>
      <c r="BV395" s="1"/>
      <c r="BW395" s="61">
        <f t="shared" si="189"/>
        <v>386</v>
      </c>
    </row>
    <row r="396" spans="2:75" x14ac:dyDescent="0.3">
      <c r="B396" s="158">
        <f t="shared" si="163"/>
        <v>44296</v>
      </c>
      <c r="C396" s="61"/>
      <c r="D396" s="17">
        <v>66780</v>
      </c>
      <c r="E396" s="16"/>
      <c r="F396" s="16"/>
      <c r="G396" s="16"/>
      <c r="H396" s="16">
        <f t="shared" si="332"/>
        <v>31562547</v>
      </c>
      <c r="I396" s="16"/>
      <c r="J396" s="436">
        <f t="shared" si="333"/>
        <v>2.1202849259076627E-3</v>
      </c>
      <c r="K396" s="16"/>
      <c r="L396" s="16"/>
      <c r="M396" s="16"/>
      <c r="N396" s="16">
        <f t="shared" si="334"/>
        <v>464402</v>
      </c>
      <c r="O396" s="16">
        <f t="shared" si="335"/>
        <v>81556.968992248061</v>
      </c>
      <c r="P396" s="41"/>
      <c r="Q396" s="17">
        <f t="shared" si="336"/>
        <v>464402</v>
      </c>
      <c r="R396" s="16"/>
      <c r="S396" s="60">
        <f t="shared" si="337"/>
        <v>0.11651736556890691</v>
      </c>
      <c r="T396" s="16"/>
      <c r="U396" s="41"/>
      <c r="V396" s="10">
        <f t="shared" si="356"/>
        <v>288</v>
      </c>
      <c r="W396" s="34">
        <v>742</v>
      </c>
      <c r="X396" s="33">
        <v>4256</v>
      </c>
      <c r="Y396" s="33"/>
      <c r="Z396" s="33">
        <f t="shared" si="338"/>
        <v>4983</v>
      </c>
      <c r="AA396" s="33">
        <f t="shared" si="339"/>
        <v>564445</v>
      </c>
      <c r="AB396" s="33"/>
      <c r="AC396" s="46">
        <f t="shared" si="340"/>
        <v>1.7883379310294573E-2</v>
      </c>
      <c r="AD396" s="33"/>
      <c r="AE396" s="33">
        <f t="shared" si="341"/>
        <v>1458.514211886305</v>
      </c>
      <c r="AF396" s="50"/>
      <c r="AG396" s="33">
        <f t="shared" si="342"/>
        <v>5253</v>
      </c>
      <c r="AH396" s="33">
        <f t="shared" si="315"/>
        <v>1161996673.060914</v>
      </c>
      <c r="AI396" s="213">
        <f t="shared" si="343"/>
        <v>-0.11491154170176916</v>
      </c>
      <c r="AJ396" s="50"/>
      <c r="AK396" s="111"/>
      <c r="AL396" s="23">
        <f t="shared" si="344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45"/>
        <v>3.1553677396004053E-3</v>
      </c>
      <c r="AS396" s="25"/>
      <c r="AT396" s="25"/>
      <c r="AU396" s="24"/>
      <c r="AV396" s="298">
        <f t="shared" si="346"/>
        <v>0.77381552889251937</v>
      </c>
      <c r="AW396" s="298"/>
      <c r="AX396" s="24">
        <f t="shared" si="347"/>
        <v>63110.049095607232</v>
      </c>
      <c r="AY396" s="308"/>
      <c r="AZ396" s="111"/>
      <c r="BA396" s="65">
        <f t="shared" si="348"/>
        <v>1441301</v>
      </c>
      <c r="BB396" s="66"/>
      <c r="BC396" s="66">
        <v>418230631</v>
      </c>
      <c r="BD396" s="66"/>
      <c r="BE396" s="66">
        <f t="shared" si="349"/>
        <v>66780</v>
      </c>
      <c r="BF396" s="66"/>
      <c r="BG396" s="144">
        <f t="shared" si="350"/>
        <v>4.6333139295678005E-2</v>
      </c>
      <c r="BH396" s="66"/>
      <c r="BI396" s="170"/>
      <c r="BJ396" s="66"/>
      <c r="BK396" s="66">
        <f t="shared" si="351"/>
        <v>9972743</v>
      </c>
      <c r="BL396" s="66"/>
      <c r="BM396" s="144">
        <f t="shared" si="352"/>
        <v>4.6567128020846421E-2</v>
      </c>
      <c r="BN396" s="65">
        <f t="shared" si="353"/>
        <v>1080699.3049095608</v>
      </c>
      <c r="BO396" s="66"/>
      <c r="BP396" s="66">
        <f t="shared" si="354"/>
        <v>30655569</v>
      </c>
      <c r="BQ396" s="66"/>
      <c r="BR396" s="435">
        <f t="shared" si="355"/>
        <v>7.3298239602158644E-2</v>
      </c>
      <c r="BS396" s="66"/>
      <c r="BT396" s="75"/>
      <c r="BU396" s="170"/>
      <c r="BV396" s="1"/>
      <c r="BW396" s="61">
        <f t="shared" si="189"/>
        <v>387</v>
      </c>
    </row>
    <row r="397" spans="2:75" x14ac:dyDescent="0.3">
      <c r="B397" s="347">
        <f t="shared" si="163"/>
        <v>44297</v>
      </c>
      <c r="C397" s="61"/>
      <c r="D397" s="17">
        <v>47874</v>
      </c>
      <c r="E397" s="16"/>
      <c r="F397" s="16"/>
      <c r="G397" s="16"/>
      <c r="H397" s="16">
        <f t="shared" si="332"/>
        <v>31610421</v>
      </c>
      <c r="I397" s="16"/>
      <c r="J397" s="436">
        <f t="shared" si="333"/>
        <v>1.5167977413229673E-3</v>
      </c>
      <c r="K397" s="16"/>
      <c r="L397" s="16"/>
      <c r="M397" s="16"/>
      <c r="N397" s="16">
        <f t="shared" si="334"/>
        <v>475293</v>
      </c>
      <c r="O397" s="16">
        <f t="shared" si="335"/>
        <v>81470.157216494845</v>
      </c>
      <c r="P397" s="41"/>
      <c r="Q397" s="17">
        <f t="shared" si="336"/>
        <v>475293</v>
      </c>
      <c r="R397" s="16"/>
      <c r="S397" s="60">
        <f t="shared" si="337"/>
        <v>0.16258301229132269</v>
      </c>
      <c r="T397" s="16"/>
      <c r="U397" s="41"/>
      <c r="V397" s="10">
        <f t="shared" si="356"/>
        <v>289</v>
      </c>
      <c r="W397" s="34">
        <v>276</v>
      </c>
      <c r="X397" s="33">
        <v>4256</v>
      </c>
      <c r="Y397" s="33"/>
      <c r="Z397" s="33">
        <f t="shared" si="338"/>
        <v>4735</v>
      </c>
      <c r="AA397" s="33">
        <f t="shared" si="339"/>
        <v>564721</v>
      </c>
      <c r="AB397" s="33"/>
      <c r="AC397" s="46">
        <f t="shared" si="340"/>
        <v>1.7865026220308802E-2</v>
      </c>
      <c r="AD397" s="33"/>
      <c r="AE397" s="33">
        <f t="shared" si="341"/>
        <v>1455.4664948453608</v>
      </c>
      <c r="AF397" s="50"/>
      <c r="AG397" s="33">
        <f t="shared" si="342"/>
        <v>5259</v>
      </c>
      <c r="AH397" s="33">
        <f t="shared" si="315"/>
        <v>1161929888.060914</v>
      </c>
      <c r="AI397" s="213">
        <f t="shared" si="343"/>
        <v>-7.6558384547848995E-2</v>
      </c>
      <c r="AJ397" s="50"/>
      <c r="AK397" s="111"/>
      <c r="AL397" s="23">
        <f t="shared" si="344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45"/>
        <v>2.3310660853325038E-3</v>
      </c>
      <c r="AS397" s="25"/>
      <c r="AT397" s="25"/>
      <c r="AU397" s="24"/>
      <c r="AV397" s="298">
        <f t="shared" si="346"/>
        <v>0.77444466810486323</v>
      </c>
      <c r="AW397" s="298"/>
      <c r="AX397" s="24">
        <f t="shared" si="347"/>
        <v>63094.128865979379</v>
      </c>
      <c r="AY397" s="308"/>
      <c r="AZ397" s="111"/>
      <c r="BA397" s="65">
        <f t="shared" si="348"/>
        <v>1156873</v>
      </c>
      <c r="BB397" s="66"/>
      <c r="BC397" s="66">
        <v>419387504</v>
      </c>
      <c r="BD397" s="66"/>
      <c r="BE397" s="66">
        <f t="shared" si="349"/>
        <v>47874</v>
      </c>
      <c r="BF397" s="66"/>
      <c r="BG397" s="144">
        <f t="shared" si="350"/>
        <v>4.1382243340453102E-2</v>
      </c>
      <c r="BH397" s="66"/>
      <c r="BI397" s="170"/>
      <c r="BJ397" s="66"/>
      <c r="BK397" s="66">
        <f t="shared" si="351"/>
        <v>9986324</v>
      </c>
      <c r="BL397" s="66"/>
      <c r="BM397" s="144">
        <f t="shared" si="352"/>
        <v>4.7594390087884193E-2</v>
      </c>
      <c r="BN397" s="65">
        <f t="shared" si="353"/>
        <v>1080895.6288659794</v>
      </c>
      <c r="BO397" s="66"/>
      <c r="BP397" s="66">
        <f t="shared" si="354"/>
        <v>30703443</v>
      </c>
      <c r="BQ397" s="66"/>
      <c r="BR397" s="435">
        <f t="shared" si="355"/>
        <v>7.3210199891888053E-2</v>
      </c>
      <c r="BS397" s="66"/>
      <c r="BT397" s="75"/>
      <c r="BU397" s="170"/>
      <c r="BV397" s="1"/>
      <c r="BW397" s="61">
        <f t="shared" si="189"/>
        <v>388</v>
      </c>
    </row>
    <row r="398" spans="2:75" x14ac:dyDescent="0.3">
      <c r="B398" s="158">
        <f t="shared" si="163"/>
        <v>44298</v>
      </c>
      <c r="C398" s="61"/>
      <c r="D398" s="17">
        <v>56522</v>
      </c>
      <c r="E398" s="16"/>
      <c r="F398" s="16"/>
      <c r="G398" s="16"/>
      <c r="H398" s="16">
        <f t="shared" si="332"/>
        <v>31666943</v>
      </c>
      <c r="I398" s="16"/>
      <c r="J398" s="436">
        <f t="shared" si="333"/>
        <v>1.7880812153688178E-3</v>
      </c>
      <c r="K398" s="16"/>
      <c r="L398" s="16"/>
      <c r="M398" s="16"/>
      <c r="N398" s="16">
        <f t="shared" si="334"/>
        <v>474171</v>
      </c>
      <c r="O398" s="16">
        <f t="shared" si="335"/>
        <v>81406.023136246789</v>
      </c>
      <c r="P398" s="41"/>
      <c r="Q398" s="17">
        <f t="shared" si="336"/>
        <v>474171</v>
      </c>
      <c r="R398" s="16"/>
      <c r="S398" s="60">
        <f t="shared" si="337"/>
        <v>0.16712982221226719</v>
      </c>
      <c r="T398" s="16"/>
      <c r="U398" s="41"/>
      <c r="V398" s="10">
        <f t="shared" si="356"/>
        <v>290</v>
      </c>
      <c r="W398" s="34">
        <v>460</v>
      </c>
      <c r="X398" s="33">
        <v>4256</v>
      </c>
      <c r="Y398" s="33"/>
      <c r="Z398" s="33">
        <f t="shared" si="338"/>
        <v>4289</v>
      </c>
      <c r="AA398" s="33">
        <f t="shared" si="339"/>
        <v>565181</v>
      </c>
      <c r="AB398" s="33"/>
      <c r="AC398" s="46">
        <f t="shared" si="340"/>
        <v>1.7847665308267993E-2</v>
      </c>
      <c r="AD398" s="33"/>
      <c r="AE398" s="33">
        <f t="shared" si="341"/>
        <v>1452.9074550128535</v>
      </c>
      <c r="AF398" s="50"/>
      <c r="AG398" s="33">
        <f t="shared" si="342"/>
        <v>5195</v>
      </c>
      <c r="AH398" s="33">
        <f t="shared" si="315"/>
        <v>1161880170.060914</v>
      </c>
      <c r="AI398" s="213">
        <f t="shared" si="343"/>
        <v>-6.531126304426052E-2</v>
      </c>
      <c r="AJ398" s="50"/>
      <c r="AK398" s="111"/>
      <c r="AL398" s="23">
        <f t="shared" si="344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45"/>
        <v>3.2815476728805049E-3</v>
      </c>
      <c r="AS398" s="25"/>
      <c r="AT398" s="25"/>
      <c r="AU398" s="24"/>
      <c r="AV398" s="298">
        <f t="shared" si="346"/>
        <v>0.77559921082372874</v>
      </c>
      <c r="AW398" s="298"/>
      <c r="AX398" s="24">
        <f t="shared" si="347"/>
        <v>63138.447300771208</v>
      </c>
      <c r="AY398" s="308"/>
      <c r="AZ398" s="111"/>
      <c r="BA398" s="65">
        <f t="shared" si="348"/>
        <v>1435195</v>
      </c>
      <c r="BB398" s="66"/>
      <c r="BC398" s="66">
        <v>420822699</v>
      </c>
      <c r="BD398" s="66"/>
      <c r="BE398" s="66">
        <f t="shared" si="349"/>
        <v>56522</v>
      </c>
      <c r="BF398" s="66"/>
      <c r="BG398" s="144">
        <f t="shared" si="350"/>
        <v>3.9382801640195232E-2</v>
      </c>
      <c r="BH398" s="66"/>
      <c r="BI398" s="170"/>
      <c r="BJ398" s="66"/>
      <c r="BK398" s="66">
        <f t="shared" si="351"/>
        <v>9843003</v>
      </c>
      <c r="BL398" s="66"/>
      <c r="BM398" s="144">
        <f t="shared" si="352"/>
        <v>4.8173408054432168E-2</v>
      </c>
      <c r="BN398" s="65">
        <f t="shared" si="353"/>
        <v>1081806.4241645245</v>
      </c>
      <c r="BO398" s="66"/>
      <c r="BP398" s="66">
        <f t="shared" si="354"/>
        <v>30759965</v>
      </c>
      <c r="BQ398" s="66"/>
      <c r="BR398" s="435">
        <f t="shared" si="355"/>
        <v>7.3094833223338082E-2</v>
      </c>
      <c r="BS398" s="66"/>
      <c r="BT398" s="75"/>
      <c r="BU398" s="170"/>
      <c r="BV398" s="1"/>
      <c r="BW398" s="61">
        <f t="shared" si="189"/>
        <v>389</v>
      </c>
    </row>
    <row r="399" spans="2:75" x14ac:dyDescent="0.3">
      <c r="B399" s="158">
        <f t="shared" si="163"/>
        <v>44299</v>
      </c>
      <c r="C399" s="61"/>
      <c r="D399" s="17">
        <v>77720</v>
      </c>
      <c r="E399" s="16"/>
      <c r="F399" s="16"/>
      <c r="G399" s="16"/>
      <c r="H399" s="16">
        <f t="shared" si="332"/>
        <v>31744663</v>
      </c>
      <c r="I399" s="16"/>
      <c r="J399" s="436">
        <f t="shared" si="333"/>
        <v>2.4542943725259494E-3</v>
      </c>
      <c r="K399" s="16"/>
      <c r="L399" s="16"/>
      <c r="M399" s="16"/>
      <c r="N399" s="16">
        <f t="shared" si="334"/>
        <v>489608</v>
      </c>
      <c r="O399" s="16">
        <f t="shared" si="335"/>
        <v>81396.571794871794</v>
      </c>
      <c r="P399" s="41"/>
      <c r="Q399" s="17">
        <f t="shared" si="336"/>
        <v>489608</v>
      </c>
      <c r="R399" s="16"/>
      <c r="S399" s="60">
        <f t="shared" si="337"/>
        <v>0.20564892451273717</v>
      </c>
      <c r="T399" s="16"/>
      <c r="U399" s="41"/>
      <c r="V399" s="10">
        <f t="shared" si="356"/>
        <v>291</v>
      </c>
      <c r="W399" s="34">
        <v>819</v>
      </c>
      <c r="X399" s="33">
        <v>4256</v>
      </c>
      <c r="Y399" s="33"/>
      <c r="Z399" s="33">
        <f t="shared" si="338"/>
        <v>4235</v>
      </c>
      <c r="AA399" s="33">
        <f t="shared" si="339"/>
        <v>566000</v>
      </c>
      <c r="AB399" s="33"/>
      <c r="AC399" s="46">
        <f t="shared" si="340"/>
        <v>1.7829768739394083E-2</v>
      </c>
      <c r="AD399" s="33"/>
      <c r="AE399" s="33">
        <f t="shared" si="341"/>
        <v>1451.2820512820513</v>
      </c>
      <c r="AF399" s="50"/>
      <c r="AG399" s="33">
        <f t="shared" si="342"/>
        <v>5108</v>
      </c>
      <c r="AH399" s="33">
        <f t="shared" si="315"/>
        <v>1161843274.060914</v>
      </c>
      <c r="AI399" s="213">
        <f t="shared" si="343"/>
        <v>-8.6388839205866569E-2</v>
      </c>
      <c r="AJ399" s="50"/>
      <c r="AK399" s="111"/>
      <c r="AL399" s="23">
        <f t="shared" si="344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45"/>
        <v>2.6690437825131175E-3</v>
      </c>
      <c r="AS399" s="25"/>
      <c r="AT399" s="25"/>
      <c r="AU399" s="24"/>
      <c r="AV399" s="298">
        <f t="shared" si="346"/>
        <v>0.77576536251148731</v>
      </c>
      <c r="AW399" s="298"/>
      <c r="AX399" s="24">
        <f t="shared" si="347"/>
        <v>63144.641025641024</v>
      </c>
      <c r="AY399" s="308"/>
      <c r="AZ399" s="111"/>
      <c r="BA399" s="65">
        <f t="shared" si="348"/>
        <v>1304062</v>
      </c>
      <c r="BB399" s="66"/>
      <c r="BC399" s="66">
        <v>422126761</v>
      </c>
      <c r="BD399" s="66"/>
      <c r="BE399" s="66">
        <f t="shared" si="349"/>
        <v>77720</v>
      </c>
      <c r="BF399" s="66"/>
      <c r="BG399" s="144">
        <f t="shared" si="350"/>
        <v>5.959839332792459E-2</v>
      </c>
      <c r="BH399" s="66"/>
      <c r="BI399" s="170"/>
      <c r="BJ399" s="66"/>
      <c r="BK399" s="66">
        <f t="shared" si="351"/>
        <v>9915978</v>
      </c>
      <c r="BL399" s="66"/>
      <c r="BM399" s="144">
        <f t="shared" si="352"/>
        <v>4.9375664205789885E-2</v>
      </c>
      <c r="BN399" s="65">
        <f t="shared" si="353"/>
        <v>1082376.3102564102</v>
      </c>
      <c r="BO399" s="66"/>
      <c r="BP399" s="66">
        <f t="shared" si="354"/>
        <v>30837685</v>
      </c>
      <c r="BQ399" s="66"/>
      <c r="BR399" s="435">
        <f t="shared" si="355"/>
        <v>7.3053139125666564E-2</v>
      </c>
      <c r="BS399" s="66"/>
      <c r="BT399" s="75"/>
      <c r="BU399" s="170"/>
      <c r="BV399" s="1"/>
      <c r="BW399" s="61">
        <f t="shared" si="189"/>
        <v>390</v>
      </c>
    </row>
    <row r="400" spans="2:75" x14ac:dyDescent="0.3">
      <c r="B400" s="158">
        <f t="shared" si="163"/>
        <v>44300</v>
      </c>
      <c r="C400" s="61"/>
      <c r="D400" s="17">
        <v>78439</v>
      </c>
      <c r="E400" s="16"/>
      <c r="F400" s="16"/>
      <c r="G400" s="16"/>
      <c r="H400" s="16">
        <f t="shared" si="332"/>
        <v>31823102</v>
      </c>
      <c r="I400" s="16"/>
      <c r="J400" s="436">
        <f t="shared" si="333"/>
        <v>2.4709350355995273E-3</v>
      </c>
      <c r="K400" s="16"/>
      <c r="L400" s="16"/>
      <c r="M400" s="16"/>
      <c r="N400" s="16">
        <f t="shared" si="334"/>
        <v>492864</v>
      </c>
      <c r="O400" s="16">
        <f t="shared" si="335"/>
        <v>81389.007672634267</v>
      </c>
      <c r="P400" s="41"/>
      <c r="Q400" s="17">
        <f t="shared" si="336"/>
        <v>492864</v>
      </c>
      <c r="R400" s="16"/>
      <c r="S400" s="60">
        <f t="shared" si="337"/>
        <v>0.19475809774993819</v>
      </c>
      <c r="T400" s="16"/>
      <c r="U400" s="41"/>
      <c r="V400" s="10">
        <f t="shared" si="356"/>
        <v>292</v>
      </c>
      <c r="W400" s="34">
        <v>915</v>
      </c>
      <c r="X400" s="33">
        <v>4256</v>
      </c>
      <c r="Y400" s="33"/>
      <c r="Z400" s="33">
        <f t="shared" si="338"/>
        <v>4141</v>
      </c>
      <c r="AA400" s="33">
        <f t="shared" si="339"/>
        <v>566915</v>
      </c>
      <c r="AB400" s="33"/>
      <c r="AC400" s="46">
        <f t="shared" si="340"/>
        <v>1.7814573827529448E-2</v>
      </c>
      <c r="AD400" s="33"/>
      <c r="AE400" s="33">
        <f t="shared" si="341"/>
        <v>1449.9104859335039</v>
      </c>
      <c r="AF400" s="50"/>
      <c r="AG400" s="33">
        <f t="shared" si="342"/>
        <v>5150</v>
      </c>
      <c r="AH400" s="33">
        <f t="shared" si="315"/>
        <v>1161796507.060914</v>
      </c>
      <c r="AI400" s="213">
        <f t="shared" si="343"/>
        <v>-3.7203215554309214E-2</v>
      </c>
      <c r="AJ400" s="50"/>
      <c r="AK400" s="111"/>
      <c r="AL400" s="23">
        <f t="shared" si="344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45"/>
        <v>2.8323657406824623E-3</v>
      </c>
      <c r="AS400" s="25"/>
      <c r="AT400" s="25"/>
      <c r="AU400" s="24"/>
      <c r="AV400" s="298">
        <f t="shared" si="346"/>
        <v>0.77604505682695546</v>
      </c>
      <c r="AW400" s="298"/>
      <c r="AX400" s="24">
        <f t="shared" si="347"/>
        <v>63161.53708439898</v>
      </c>
      <c r="AY400" s="308"/>
      <c r="AZ400" s="111"/>
      <c r="BA400" s="65">
        <f t="shared" si="348"/>
        <v>1312618</v>
      </c>
      <c r="BB400" s="66"/>
      <c r="BC400" s="66">
        <v>423439379</v>
      </c>
      <c r="BD400" s="66"/>
      <c r="BE400" s="66">
        <f t="shared" si="349"/>
        <v>78439</v>
      </c>
      <c r="BF400" s="66"/>
      <c r="BG400" s="144">
        <f t="shared" si="350"/>
        <v>5.9757675119494022E-2</v>
      </c>
      <c r="BH400" s="66"/>
      <c r="BI400" s="170"/>
      <c r="BJ400" s="66"/>
      <c r="BK400" s="66">
        <f t="shared" si="351"/>
        <v>9960705</v>
      </c>
      <c r="BL400" s="66"/>
      <c r="BM400" s="144">
        <f t="shared" si="352"/>
        <v>4.9480834940900269E-2</v>
      </c>
      <c r="BN400" s="65">
        <f t="shared" si="353"/>
        <v>1082965.1636828645</v>
      </c>
      <c r="BO400" s="66"/>
      <c r="BP400" s="66">
        <f t="shared" si="354"/>
        <v>30916124</v>
      </c>
      <c r="BQ400" s="66"/>
      <c r="BR400" s="435">
        <f t="shared" si="355"/>
        <v>7.301192457114386E-2</v>
      </c>
      <c r="BS400" s="66"/>
      <c r="BT400" s="75"/>
      <c r="BU400" s="170"/>
      <c r="BV400" s="1"/>
      <c r="BW400" s="61">
        <f t="shared" si="189"/>
        <v>391</v>
      </c>
    </row>
    <row r="401" spans="2:75" x14ac:dyDescent="0.3">
      <c r="B401" s="158">
        <f t="shared" si="163"/>
        <v>44301</v>
      </c>
      <c r="C401" s="61"/>
      <c r="D401" s="17">
        <v>74479</v>
      </c>
      <c r="E401" s="16"/>
      <c r="F401" s="16"/>
      <c r="G401" s="16"/>
      <c r="H401" s="16">
        <f t="shared" si="332"/>
        <v>31897581</v>
      </c>
      <c r="I401" s="16"/>
      <c r="J401" s="436">
        <f t="shared" si="333"/>
        <v>2.3404066643157541E-3</v>
      </c>
      <c r="K401" s="16"/>
      <c r="L401" s="16"/>
      <c r="M401" s="16"/>
      <c r="N401" s="16">
        <f t="shared" si="334"/>
        <v>487182</v>
      </c>
      <c r="O401" s="16">
        <f t="shared" si="335"/>
        <v>81371.380102040814</v>
      </c>
      <c r="P401" s="41"/>
      <c r="Q401" s="17">
        <f t="shared" si="336"/>
        <v>487182</v>
      </c>
      <c r="R401" s="16"/>
      <c r="S401" s="60">
        <f t="shared" si="337"/>
        <v>8.6412209654975564E-2</v>
      </c>
      <c r="T401" s="16"/>
      <c r="U401" s="41"/>
      <c r="V401" s="10">
        <f t="shared" si="356"/>
        <v>293</v>
      </c>
      <c r="W401" s="34">
        <v>895</v>
      </c>
      <c r="X401" s="33">
        <v>4256</v>
      </c>
      <c r="Y401" s="33"/>
      <c r="Z401" s="33">
        <f t="shared" si="338"/>
        <v>4107</v>
      </c>
      <c r="AA401" s="33">
        <f t="shared" si="339"/>
        <v>567810</v>
      </c>
      <c r="AB401" s="33"/>
      <c r="AC401" s="46">
        <f t="shared" si="340"/>
        <v>1.7801036385799912E-2</v>
      </c>
      <c r="AD401" s="33"/>
      <c r="AE401" s="33">
        <f t="shared" si="341"/>
        <v>1448.4948979591836</v>
      </c>
      <c r="AF401" s="50"/>
      <c r="AG401" s="33">
        <f t="shared" si="342"/>
        <v>5036</v>
      </c>
      <c r="AH401" s="33">
        <f t="shared" si="315"/>
        <v>1161743276.060914</v>
      </c>
      <c r="AI401" s="213">
        <f t="shared" si="343"/>
        <v>-6.5677179962894253E-2</v>
      </c>
      <c r="AJ401" s="50"/>
      <c r="AK401" s="111"/>
      <c r="AL401" s="23">
        <f t="shared" si="344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45"/>
        <v>3.0295801845477118E-3</v>
      </c>
      <c r="AS401" s="25"/>
      <c r="AT401" s="25"/>
      <c r="AU401" s="24"/>
      <c r="AV401" s="298">
        <f t="shared" si="346"/>
        <v>0.77657863773431601</v>
      </c>
      <c r="AW401" s="298"/>
      <c r="AX401" s="24">
        <f t="shared" si="347"/>
        <v>63191.275510204083</v>
      </c>
      <c r="AY401" s="308"/>
      <c r="AZ401" s="111"/>
      <c r="BA401" s="65">
        <f t="shared" si="348"/>
        <v>1463953</v>
      </c>
      <c r="BB401" s="66"/>
      <c r="BC401" s="66">
        <v>424903332</v>
      </c>
      <c r="BD401" s="66"/>
      <c r="BE401" s="66">
        <f t="shared" si="349"/>
        <v>74479</v>
      </c>
      <c r="BF401" s="66"/>
      <c r="BG401" s="144">
        <f t="shared" si="350"/>
        <v>5.0875267170462438E-2</v>
      </c>
      <c r="BH401" s="66"/>
      <c r="BI401" s="170"/>
      <c r="BJ401" s="66"/>
      <c r="BK401" s="66">
        <f t="shared" si="351"/>
        <v>9736179</v>
      </c>
      <c r="BL401" s="66"/>
      <c r="BM401" s="144">
        <f t="shared" si="352"/>
        <v>5.0038315852656362E-2</v>
      </c>
      <c r="BN401" s="65">
        <f t="shared" si="353"/>
        <v>1083937.0714285714</v>
      </c>
      <c r="BO401" s="66"/>
      <c r="BP401" s="66">
        <f t="shared" si="354"/>
        <v>30990603</v>
      </c>
      <c r="BQ401" s="66"/>
      <c r="BR401" s="435">
        <f t="shared" si="355"/>
        <v>7.2935655397496385E-2</v>
      </c>
      <c r="BS401" s="66"/>
      <c r="BT401" s="75"/>
      <c r="BU401" s="170"/>
      <c r="BV401" s="1"/>
      <c r="BW401" s="61">
        <f t="shared" si="189"/>
        <v>392</v>
      </c>
    </row>
    <row r="402" spans="2:75" x14ac:dyDescent="0.3">
      <c r="B402" s="158">
        <f t="shared" si="163"/>
        <v>44302</v>
      </c>
      <c r="C402" s="61"/>
      <c r="D402" s="17">
        <v>81773</v>
      </c>
      <c r="E402" s="16"/>
      <c r="F402" s="16"/>
      <c r="G402" s="16"/>
      <c r="H402" s="16">
        <f t="shared" si="332"/>
        <v>31979354</v>
      </c>
      <c r="I402" s="16"/>
      <c r="J402" s="436">
        <f t="shared" si="333"/>
        <v>2.5636113283950906E-3</v>
      </c>
      <c r="K402" s="16"/>
      <c r="L402" s="16"/>
      <c r="M402" s="16"/>
      <c r="N402" s="16">
        <f t="shared" si="334"/>
        <v>483587</v>
      </c>
      <c r="O402" s="16">
        <f t="shared" si="335"/>
        <v>81372.40203562341</v>
      </c>
      <c r="P402" s="41"/>
      <c r="Q402" s="17">
        <f t="shared" si="336"/>
        <v>483587</v>
      </c>
      <c r="R402" s="16"/>
      <c r="S402" s="60">
        <f t="shared" si="337"/>
        <v>4.2716742565376387E-2</v>
      </c>
      <c r="T402" s="16"/>
      <c r="U402" s="41"/>
      <c r="V402" s="10">
        <f t="shared" si="356"/>
        <v>294</v>
      </c>
      <c r="W402" s="34">
        <v>887</v>
      </c>
      <c r="X402" s="33">
        <v>4256</v>
      </c>
      <c r="Y402" s="33"/>
      <c r="Z402" s="33">
        <f t="shared" si="338"/>
        <v>4252</v>
      </c>
      <c r="AA402" s="33">
        <f t="shared" si="339"/>
        <v>568697</v>
      </c>
      <c r="AB402" s="33"/>
      <c r="AC402" s="46">
        <f t="shared" si="340"/>
        <v>1.7783254783695756E-2</v>
      </c>
      <c r="AD402" s="33"/>
      <c r="AE402" s="33">
        <f t="shared" si="341"/>
        <v>1447.0661577608143</v>
      </c>
      <c r="AF402" s="50"/>
      <c r="AG402" s="33">
        <f t="shared" si="342"/>
        <v>4994</v>
      </c>
      <c r="AH402" s="33">
        <f t="shared" si="315"/>
        <v>1161679781.060914</v>
      </c>
      <c r="AI402" s="213">
        <f t="shared" si="343"/>
        <v>-6.0925159834524255E-2</v>
      </c>
      <c r="AJ402" s="50"/>
      <c r="AK402" s="111"/>
      <c r="AL402" s="23">
        <f t="shared" si="344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45"/>
        <v>2.6323948426747752E-3</v>
      </c>
      <c r="AS402" s="25"/>
      <c r="AT402" s="25"/>
      <c r="AU402" s="24"/>
      <c r="AV402" s="298">
        <f t="shared" si="346"/>
        <v>0.7766319169549204</v>
      </c>
      <c r="AW402" s="298"/>
      <c r="AX402" s="24">
        <f t="shared" si="347"/>
        <v>63196.404580152674</v>
      </c>
      <c r="AY402" s="308"/>
      <c r="AZ402" s="111"/>
      <c r="BA402" s="65">
        <f t="shared" si="348"/>
        <v>1659274</v>
      </c>
      <c r="BB402" s="66"/>
      <c r="BC402" s="66">
        <v>426562606</v>
      </c>
      <c r="BD402" s="66"/>
      <c r="BE402" s="66">
        <f t="shared" si="349"/>
        <v>81773</v>
      </c>
      <c r="BF402" s="66"/>
      <c r="BG402" s="144">
        <f t="shared" si="350"/>
        <v>4.9282397000133794E-2</v>
      </c>
      <c r="BH402" s="66"/>
      <c r="BI402" s="170"/>
      <c r="BJ402" s="66"/>
      <c r="BK402" s="66">
        <f t="shared" si="351"/>
        <v>9773276</v>
      </c>
      <c r="BL402" s="66"/>
      <c r="BM402" s="144">
        <f t="shared" si="352"/>
        <v>4.9480542655297978E-2</v>
      </c>
      <c r="BN402" s="65">
        <f t="shared" si="353"/>
        <v>1085401.0330788805</v>
      </c>
      <c r="BO402" s="66"/>
      <c r="BP402" s="66">
        <f t="shared" si="354"/>
        <v>31072376</v>
      </c>
      <c r="BQ402" s="66"/>
      <c r="BR402" s="435">
        <f t="shared" si="355"/>
        <v>7.2843647246472423E-2</v>
      </c>
      <c r="BS402" s="66"/>
      <c r="BT402" s="75"/>
      <c r="BU402" s="170"/>
      <c r="BV402" s="1"/>
      <c r="BW402" s="61">
        <f t="shared" si="189"/>
        <v>393</v>
      </c>
    </row>
    <row r="403" spans="2:75" x14ac:dyDescent="0.3">
      <c r="B403" s="158">
        <f t="shared" si="163"/>
        <v>44303</v>
      </c>
      <c r="C403" s="61"/>
      <c r="D403" s="17">
        <v>63581</v>
      </c>
      <c r="E403" s="16"/>
      <c r="F403" s="16"/>
      <c r="G403" s="16"/>
      <c r="H403" s="16">
        <f t="shared" si="332"/>
        <v>32042935</v>
      </c>
      <c r="I403" s="16"/>
      <c r="J403" s="436">
        <f t="shared" si="333"/>
        <v>1.9881890046934657E-3</v>
      </c>
      <c r="K403" s="16"/>
      <c r="L403" s="16"/>
      <c r="M403" s="16"/>
      <c r="N403" s="16">
        <f t="shared" si="334"/>
        <v>480388</v>
      </c>
      <c r="O403" s="16">
        <f t="shared" si="335"/>
        <v>81327.246192893406</v>
      </c>
      <c r="P403" s="41"/>
      <c r="Q403" s="17">
        <f t="shared" si="336"/>
        <v>480388</v>
      </c>
      <c r="R403" s="16"/>
      <c r="S403" s="60">
        <f t="shared" si="337"/>
        <v>3.442276303719622E-2</v>
      </c>
      <c r="T403" s="16"/>
      <c r="U403" s="41"/>
      <c r="V403" s="10">
        <f t="shared" si="356"/>
        <v>295</v>
      </c>
      <c r="W403" s="34">
        <v>738</v>
      </c>
      <c r="X403" s="33">
        <v>4256</v>
      </c>
      <c r="Y403" s="33"/>
      <c r="Z403" s="33">
        <f t="shared" si="338"/>
        <v>4714</v>
      </c>
      <c r="AA403" s="33">
        <f t="shared" si="339"/>
        <v>569435</v>
      </c>
      <c r="AB403" s="33"/>
      <c r="AC403" s="46">
        <f t="shared" si="340"/>
        <v>1.7771000066005189E-2</v>
      </c>
      <c r="AD403" s="33"/>
      <c r="AE403" s="33">
        <f t="shared" si="341"/>
        <v>1445.266497461929</v>
      </c>
      <c r="AF403" s="50"/>
      <c r="AG403" s="33">
        <f t="shared" si="342"/>
        <v>4990</v>
      </c>
      <c r="AH403" s="33">
        <f t="shared" si="315"/>
        <v>1161617152.060914</v>
      </c>
      <c r="AI403" s="213">
        <f t="shared" si="343"/>
        <v>-5.0066628593184843E-2</v>
      </c>
      <c r="AJ403" s="50"/>
      <c r="AK403" s="111"/>
      <c r="AL403" s="23">
        <f t="shared" si="344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45"/>
        <v>2.7840424941235949E-3</v>
      </c>
      <c r="AS403" s="25"/>
      <c r="AT403" s="25"/>
      <c r="AU403" s="24"/>
      <c r="AV403" s="298">
        <f t="shared" si="346"/>
        <v>0.77724877574416951</v>
      </c>
      <c r="AW403" s="298"/>
      <c r="AX403" s="24">
        <f t="shared" si="347"/>
        <v>63211.502538071065</v>
      </c>
      <c r="AY403" s="308"/>
      <c r="AZ403" s="111"/>
      <c r="BA403" s="65">
        <f t="shared" si="348"/>
        <v>1569235</v>
      </c>
      <c r="BB403" s="66"/>
      <c r="BC403" s="66">
        <v>428131841</v>
      </c>
      <c r="BD403" s="66"/>
      <c r="BE403" s="66">
        <f t="shared" si="349"/>
        <v>63581</v>
      </c>
      <c r="BF403" s="66"/>
      <c r="BG403" s="144">
        <f t="shared" si="350"/>
        <v>4.051719468403394E-2</v>
      </c>
      <c r="BH403" s="66"/>
      <c r="BI403" s="170"/>
      <c r="BJ403" s="66"/>
      <c r="BK403" s="66">
        <f t="shared" si="351"/>
        <v>9901210</v>
      </c>
      <c r="BL403" s="66"/>
      <c r="BM403" s="144">
        <f t="shared" si="352"/>
        <v>4.8518110412767733E-2</v>
      </c>
      <c r="BN403" s="65">
        <f t="shared" si="353"/>
        <v>1086629.0380710659</v>
      </c>
      <c r="BO403" s="66"/>
      <c r="BP403" s="66">
        <f t="shared" si="354"/>
        <v>31135957</v>
      </c>
      <c r="BQ403" s="66"/>
      <c r="BR403" s="435">
        <f t="shared" si="355"/>
        <v>7.27251608459554E-2</v>
      </c>
      <c r="BS403" s="66"/>
      <c r="BT403" s="75"/>
      <c r="BU403" s="170"/>
      <c r="BV403" s="1"/>
      <c r="BW403" s="61">
        <f t="shared" si="189"/>
        <v>394</v>
      </c>
    </row>
    <row r="404" spans="2:75" x14ac:dyDescent="0.3">
      <c r="B404" s="347">
        <f t="shared" si="163"/>
        <v>44304</v>
      </c>
      <c r="C404" s="61"/>
      <c r="D404" s="17">
        <v>43181</v>
      </c>
      <c r="E404" s="16"/>
      <c r="F404" s="16"/>
      <c r="G404" s="16"/>
      <c r="H404" s="16">
        <f t="shared" si="332"/>
        <v>32086116</v>
      </c>
      <c r="I404" s="16"/>
      <c r="J404" s="436">
        <f t="shared" si="333"/>
        <v>1.3475981522916051E-3</v>
      </c>
      <c r="K404" s="16"/>
      <c r="L404" s="16"/>
      <c r="M404" s="16"/>
      <c r="N404" s="577">
        <f t="shared" si="334"/>
        <v>475695</v>
      </c>
      <c r="O404" s="16">
        <f t="shared" si="335"/>
        <v>81230.673417721526</v>
      </c>
      <c r="P404" s="41"/>
      <c r="Q404" s="17">
        <f t="shared" si="336"/>
        <v>475695</v>
      </c>
      <c r="R404" s="16"/>
      <c r="S404" s="60">
        <f t="shared" si="337"/>
        <v>8.4579406808011053E-4</v>
      </c>
      <c r="T404" s="16"/>
      <c r="U404" s="41"/>
      <c r="V404" s="10">
        <f t="shared" si="356"/>
        <v>296</v>
      </c>
      <c r="W404" s="34">
        <v>310</v>
      </c>
      <c r="X404" s="33">
        <v>4256</v>
      </c>
      <c r="Y404" s="33"/>
      <c r="Z404" s="33">
        <f t="shared" si="338"/>
        <v>4564</v>
      </c>
      <c r="AA404" s="33">
        <f t="shared" si="339"/>
        <v>569745</v>
      </c>
      <c r="AB404" s="33"/>
      <c r="AC404" s="46">
        <f t="shared" si="340"/>
        <v>1.7756745627922059E-2</v>
      </c>
      <c r="AD404" s="33"/>
      <c r="AE404" s="33">
        <f t="shared" si="341"/>
        <v>1442.3924050632911</v>
      </c>
      <c r="AF404" s="50"/>
      <c r="AG404" s="33">
        <f t="shared" si="342"/>
        <v>5024</v>
      </c>
      <c r="AH404" s="33">
        <f t="shared" si="315"/>
        <v>1161550739.060914</v>
      </c>
      <c r="AI404" s="213">
        <f t="shared" si="343"/>
        <v>-4.4685301388096593E-2</v>
      </c>
      <c r="AJ404" s="50"/>
      <c r="AK404" s="111"/>
      <c r="AL404" s="23">
        <f t="shared" si="344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45"/>
        <v>2.2443788342191144E-3</v>
      </c>
      <c r="AS404" s="25"/>
      <c r="AT404" s="25"/>
      <c r="AU404" s="24"/>
      <c r="AV404" s="298">
        <f t="shared" si="346"/>
        <v>0.77794485939027336</v>
      </c>
      <c r="AW404" s="298"/>
      <c r="AX404" s="24">
        <f t="shared" si="347"/>
        <v>63192.984810126582</v>
      </c>
      <c r="AY404" s="308"/>
      <c r="AZ404" s="111"/>
      <c r="BA404" s="65">
        <f t="shared" si="348"/>
        <v>1088878</v>
      </c>
      <c r="BB404" s="66"/>
      <c r="BC404" s="66">
        <v>429220719</v>
      </c>
      <c r="BD404" s="66"/>
      <c r="BE404" s="66">
        <f t="shared" si="349"/>
        <v>43181</v>
      </c>
      <c r="BF404" s="66"/>
      <c r="BG404" s="144">
        <f t="shared" si="350"/>
        <v>3.9656416972332992E-2</v>
      </c>
      <c r="BH404" s="66"/>
      <c r="BI404" s="170"/>
      <c r="BJ404" s="66"/>
      <c r="BK404" s="66">
        <f t="shared" si="351"/>
        <v>9833215</v>
      </c>
      <c r="BL404" s="66"/>
      <c r="BM404" s="144">
        <f t="shared" si="352"/>
        <v>4.8376344867878916E-2</v>
      </c>
      <c r="BN404" s="65">
        <f t="shared" si="353"/>
        <v>1086634.7316455697</v>
      </c>
      <c r="BO404" s="66"/>
      <c r="BP404" s="66">
        <f t="shared" si="354"/>
        <v>31179138</v>
      </c>
      <c r="BQ404" s="66"/>
      <c r="BR404" s="435">
        <f t="shared" si="355"/>
        <v>7.2641269677384795E-2</v>
      </c>
      <c r="BS404" s="66"/>
      <c r="BT404" s="75"/>
      <c r="BU404" s="170"/>
      <c r="BV404" s="1"/>
      <c r="BW404" s="61">
        <f t="shared" si="189"/>
        <v>395</v>
      </c>
    </row>
    <row r="405" spans="2:75" x14ac:dyDescent="0.3">
      <c r="B405" s="158">
        <f t="shared" si="163"/>
        <v>44305</v>
      </c>
      <c r="C405" s="61"/>
      <c r="D405" s="17">
        <v>51650</v>
      </c>
      <c r="E405" s="16"/>
      <c r="F405" s="16"/>
      <c r="G405" s="16"/>
      <c r="H405" s="16">
        <f t="shared" si="332"/>
        <v>32137766</v>
      </c>
      <c r="I405" s="16"/>
      <c r="J405" s="436">
        <f t="shared" si="333"/>
        <v>1.6097305139705909E-3</v>
      </c>
      <c r="K405" s="16"/>
      <c r="L405" s="16"/>
      <c r="M405" s="16"/>
      <c r="N405" s="16">
        <f t="shared" si="334"/>
        <v>470823</v>
      </c>
      <c r="O405" s="16">
        <f t="shared" si="335"/>
        <v>81155.974747474742</v>
      </c>
      <c r="P405" s="41"/>
      <c r="Q405" s="17">
        <f t="shared" si="336"/>
        <v>470823</v>
      </c>
      <c r="R405" s="16"/>
      <c r="S405" s="60">
        <f t="shared" si="337"/>
        <v>-7.0607439088430125E-3</v>
      </c>
      <c r="T405" s="16"/>
      <c r="U405" s="41"/>
      <c r="V405" s="10">
        <f t="shared" si="356"/>
        <v>297</v>
      </c>
      <c r="W405" s="34">
        <v>488</v>
      </c>
      <c r="X405" s="33">
        <v>4256</v>
      </c>
      <c r="Y405" s="33"/>
      <c r="Z405" s="33">
        <f t="shared" si="338"/>
        <v>4233</v>
      </c>
      <c r="AA405" s="33">
        <f t="shared" si="339"/>
        <v>570233</v>
      </c>
      <c r="AB405" s="33"/>
      <c r="AC405" s="46">
        <f t="shared" si="340"/>
        <v>1.7743392617893851E-2</v>
      </c>
      <c r="AD405" s="33"/>
      <c r="AE405" s="33">
        <f t="shared" si="341"/>
        <v>1439.9823232323233</v>
      </c>
      <c r="AF405" s="50"/>
      <c r="AG405" s="33">
        <f t="shared" si="342"/>
        <v>5052</v>
      </c>
      <c r="AH405" s="33">
        <f t="shared" si="315"/>
        <v>1161494831.060914</v>
      </c>
      <c r="AI405" s="213">
        <f t="shared" si="343"/>
        <v>-2.7526467757459094E-2</v>
      </c>
      <c r="AJ405" s="50"/>
      <c r="AK405" s="111"/>
      <c r="AL405" s="23">
        <f t="shared" si="344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45"/>
        <v>3.2944691946057625E-3</v>
      </c>
      <c r="AS405" s="25"/>
      <c r="AT405" s="25"/>
      <c r="AU405" s="24"/>
      <c r="AV405" s="298">
        <f t="shared" si="346"/>
        <v>0.77925338680977385</v>
      </c>
      <c r="AW405" s="298"/>
      <c r="AX405" s="24">
        <f t="shared" si="347"/>
        <v>63241.068181818184</v>
      </c>
      <c r="AY405" s="308"/>
      <c r="AZ405" s="111"/>
      <c r="BA405" s="65">
        <f t="shared" si="348"/>
        <v>1665900</v>
      </c>
      <c r="BB405" s="66"/>
      <c r="BC405" s="66">
        <v>430886619</v>
      </c>
      <c r="BD405" s="66"/>
      <c r="BE405" s="66">
        <f t="shared" si="349"/>
        <v>51650</v>
      </c>
      <c r="BF405" s="66"/>
      <c r="BG405" s="144">
        <f t="shared" si="350"/>
        <v>3.1004261960501833E-2</v>
      </c>
      <c r="BH405" s="66"/>
      <c r="BI405" s="170"/>
      <c r="BJ405" s="66"/>
      <c r="BK405" s="66">
        <f t="shared" si="351"/>
        <v>10063920</v>
      </c>
      <c r="BL405" s="66"/>
      <c r="BM405" s="144">
        <f t="shared" si="352"/>
        <v>4.6783261393174826E-2</v>
      </c>
      <c r="BN405" s="65">
        <f t="shared" si="353"/>
        <v>1088097.5227272727</v>
      </c>
      <c r="BO405" s="66"/>
      <c r="BP405" s="66">
        <f t="shared" si="354"/>
        <v>31230788</v>
      </c>
      <c r="BQ405" s="66"/>
      <c r="BR405" s="435">
        <f t="shared" si="355"/>
        <v>7.2480292083519082E-2</v>
      </c>
      <c r="BS405" s="66"/>
      <c r="BT405" s="75"/>
      <c r="BU405" s="170"/>
      <c r="BV405" s="1"/>
      <c r="BW405" s="61">
        <f t="shared" si="189"/>
        <v>396</v>
      </c>
    </row>
    <row r="406" spans="2:75" x14ac:dyDescent="0.3">
      <c r="B406" s="158">
        <f t="shared" si="163"/>
        <v>44306</v>
      </c>
      <c r="C406" s="61"/>
      <c r="D406" s="17">
        <v>60317</v>
      </c>
      <c r="E406" s="16"/>
      <c r="F406" s="16"/>
      <c r="G406" s="16"/>
      <c r="H406" s="16">
        <f t="shared" si="332"/>
        <v>32198083</v>
      </c>
      <c r="I406" s="16"/>
      <c r="J406" s="436">
        <f t="shared" si="333"/>
        <v>1.8768261614699666E-3</v>
      </c>
      <c r="K406" s="16"/>
      <c r="L406" s="16"/>
      <c r="M406" s="16"/>
      <c r="N406" s="16">
        <f t="shared" si="334"/>
        <v>453420</v>
      </c>
      <c r="O406" s="16">
        <f t="shared" si="335"/>
        <v>81103.483627204027</v>
      </c>
      <c r="P406" s="41"/>
      <c r="Q406" s="17">
        <f t="shared" si="336"/>
        <v>453420</v>
      </c>
      <c r="R406" s="16"/>
      <c r="S406" s="60">
        <f t="shared" si="337"/>
        <v>-7.3912190977271613E-2</v>
      </c>
      <c r="T406" s="16"/>
      <c r="U406" s="41"/>
      <c r="V406" s="10">
        <f t="shared" si="356"/>
        <v>298</v>
      </c>
      <c r="W406" s="34">
        <v>883</v>
      </c>
      <c r="X406" s="33">
        <v>4256</v>
      </c>
      <c r="Y406" s="33"/>
      <c r="Z406" s="33">
        <f t="shared" si="338"/>
        <v>4201</v>
      </c>
      <c r="AA406" s="33">
        <f t="shared" si="339"/>
        <v>571116</v>
      </c>
      <c r="AB406" s="33"/>
      <c r="AC406" s="46">
        <f t="shared" si="340"/>
        <v>1.7737577730947522E-2</v>
      </c>
      <c r="AD406" s="33"/>
      <c r="AE406" s="33">
        <f t="shared" si="341"/>
        <v>1438.5793450881613</v>
      </c>
      <c r="AF406" s="50"/>
      <c r="AG406" s="33">
        <f t="shared" si="342"/>
        <v>5116</v>
      </c>
      <c r="AH406" s="33">
        <f t="shared" si="315"/>
        <v>1161455326.060914</v>
      </c>
      <c r="AI406" s="213">
        <f t="shared" si="343"/>
        <v>1.5661707126076742E-3</v>
      </c>
      <c r="AJ406" s="50"/>
      <c r="AK406" s="111"/>
      <c r="AL406" s="23">
        <f t="shared" si="344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45"/>
        <v>2.4785709548236202E-3</v>
      </c>
      <c r="AS406" s="25"/>
      <c r="AT406" s="25"/>
      <c r="AU406" s="24"/>
      <c r="AV406" s="298">
        <f t="shared" si="346"/>
        <v>0.7797214200609397</v>
      </c>
      <c r="AW406" s="298"/>
      <c r="AX406" s="24">
        <f t="shared" si="347"/>
        <v>63238.123425692698</v>
      </c>
      <c r="AY406" s="308"/>
      <c r="AZ406" s="111"/>
      <c r="BA406" s="65">
        <f t="shared" si="348"/>
        <v>1055104</v>
      </c>
      <c r="BB406" s="66"/>
      <c r="BC406" s="66">
        <v>431941723</v>
      </c>
      <c r="BD406" s="66"/>
      <c r="BE406" s="66">
        <f t="shared" si="349"/>
        <v>60317</v>
      </c>
      <c r="BF406" s="66"/>
      <c r="BG406" s="144">
        <f t="shared" si="350"/>
        <v>5.7166876440616278E-2</v>
      </c>
      <c r="BH406" s="66"/>
      <c r="BI406" s="170"/>
      <c r="BJ406" s="66"/>
      <c r="BK406" s="66">
        <f t="shared" si="351"/>
        <v>9814962</v>
      </c>
      <c r="BL406" s="66"/>
      <c r="BM406" s="144">
        <f t="shared" si="352"/>
        <v>4.6196816656040036E-2</v>
      </c>
      <c r="BN406" s="65">
        <f t="shared" si="353"/>
        <v>1088014.4156171284</v>
      </c>
      <c r="BO406" s="66"/>
      <c r="BP406" s="66">
        <f t="shared" si="354"/>
        <v>31291105</v>
      </c>
      <c r="BQ406" s="66"/>
      <c r="BR406" s="435">
        <f t="shared" si="355"/>
        <v>7.244288600478635E-2</v>
      </c>
      <c r="BS406" s="66"/>
      <c r="BT406" s="75"/>
      <c r="BU406" s="170"/>
      <c r="BV406" s="1"/>
      <c r="BW406" s="61">
        <f t="shared" si="189"/>
        <v>397</v>
      </c>
    </row>
    <row r="407" spans="2:75" x14ac:dyDescent="0.3">
      <c r="B407" s="158">
        <f t="shared" si="163"/>
        <v>44307</v>
      </c>
      <c r="C407" s="61"/>
      <c r="D407" s="17">
        <v>65057</v>
      </c>
      <c r="E407" s="16"/>
      <c r="F407" s="16"/>
      <c r="G407" s="16"/>
      <c r="H407" s="16">
        <f t="shared" si="332"/>
        <v>32263140</v>
      </c>
      <c r="I407" s="16"/>
      <c r="J407" s="436">
        <f t="shared" si="333"/>
        <v>2.020524016911193E-3</v>
      </c>
      <c r="K407" s="16"/>
      <c r="L407" s="16"/>
      <c r="M407" s="16"/>
      <c r="N407" s="16">
        <f t="shared" si="334"/>
        <v>440038</v>
      </c>
      <c r="O407" s="16">
        <f t="shared" si="335"/>
        <v>81063.165829145728</v>
      </c>
      <c r="P407" s="41"/>
      <c r="Q407" s="17">
        <f t="shared" si="336"/>
        <v>440038</v>
      </c>
      <c r="R407" s="16"/>
      <c r="S407" s="60">
        <f t="shared" si="337"/>
        <v>-0.10718169718218414</v>
      </c>
      <c r="T407" s="16"/>
      <c r="U407" s="41"/>
      <c r="V407" s="10">
        <f t="shared" si="356"/>
        <v>299</v>
      </c>
      <c r="W407" s="34">
        <v>876</v>
      </c>
      <c r="X407" s="33">
        <v>4256</v>
      </c>
      <c r="Y407" s="33"/>
      <c r="Z407" s="33">
        <f t="shared" si="338"/>
        <v>4182</v>
      </c>
      <c r="AA407" s="33">
        <f t="shared" si="339"/>
        <v>571992</v>
      </c>
      <c r="AB407" s="33"/>
      <c r="AC407" s="46">
        <f t="shared" si="340"/>
        <v>1.772896252503631E-2</v>
      </c>
      <c r="AD407" s="33"/>
      <c r="AE407" s="33">
        <f t="shared" si="341"/>
        <v>1437.1658291457286</v>
      </c>
      <c r="AF407" s="50"/>
      <c r="AG407" s="33">
        <f t="shared" si="342"/>
        <v>5077</v>
      </c>
      <c r="AH407" s="33">
        <f t="shared" si="315"/>
        <v>1161409578.060914</v>
      </c>
      <c r="AI407" s="213">
        <f t="shared" si="343"/>
        <v>-1.4174757281553398E-2</v>
      </c>
      <c r="AJ407" s="50"/>
      <c r="AK407" s="111"/>
      <c r="AL407" s="23">
        <f t="shared" si="344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45"/>
        <v>2.8638704572517574E-3</v>
      </c>
      <c r="AS407" s="25"/>
      <c r="AT407" s="25"/>
      <c r="AU407" s="24"/>
      <c r="AV407" s="298">
        <f t="shared" si="346"/>
        <v>0.78037766937750019</v>
      </c>
      <c r="AW407" s="298"/>
      <c r="AX407" s="24">
        <f t="shared" si="347"/>
        <v>63259.884422110554</v>
      </c>
      <c r="AY407" s="308"/>
      <c r="AZ407" s="111"/>
      <c r="BA407" s="65">
        <f t="shared" si="348"/>
        <v>1497923</v>
      </c>
      <c r="BB407" s="66"/>
      <c r="BC407" s="66">
        <v>433439646</v>
      </c>
      <c r="BD407" s="66"/>
      <c r="BE407" s="66">
        <f t="shared" si="349"/>
        <v>65057</v>
      </c>
      <c r="BF407" s="66"/>
      <c r="BG407" s="144">
        <f t="shared" si="350"/>
        <v>4.3431471444126298E-2</v>
      </c>
      <c r="BH407" s="66"/>
      <c r="BI407" s="170"/>
      <c r="BJ407" s="66"/>
      <c r="BK407" s="66">
        <f t="shared" si="351"/>
        <v>10000267</v>
      </c>
      <c r="BL407" s="66"/>
      <c r="BM407" s="144">
        <f t="shared" si="352"/>
        <v>4.4002625129909032E-2</v>
      </c>
      <c r="BN407" s="65">
        <f t="shared" si="353"/>
        <v>1089044.336683417</v>
      </c>
      <c r="BO407" s="66"/>
      <c r="BP407" s="66">
        <f t="shared" si="354"/>
        <v>31356162</v>
      </c>
      <c r="BQ407" s="66"/>
      <c r="BR407" s="435">
        <f t="shared" si="355"/>
        <v>7.2342625528999255E-2</v>
      </c>
      <c r="BS407" s="66"/>
      <c r="BT407" s="75"/>
      <c r="BU407" s="170"/>
      <c r="BV407" s="1"/>
      <c r="BW407" s="61">
        <f t="shared" si="189"/>
        <v>398</v>
      </c>
    </row>
    <row r="408" spans="2:75" x14ac:dyDescent="0.3">
      <c r="B408" s="158">
        <f t="shared" si="163"/>
        <v>44308</v>
      </c>
      <c r="C408" s="61"/>
      <c r="D408" s="17">
        <v>67070</v>
      </c>
      <c r="E408" s="16"/>
      <c r="F408" s="16"/>
      <c r="G408" s="16"/>
      <c r="H408" s="16">
        <f t="shared" si="332"/>
        <v>32330210</v>
      </c>
      <c r="I408" s="16"/>
      <c r="J408" s="436">
        <f t="shared" si="333"/>
        <v>2.0788429148557767E-3</v>
      </c>
      <c r="K408" s="16"/>
      <c r="L408" s="16"/>
      <c r="M408" s="16"/>
      <c r="N408" s="16">
        <f t="shared" si="334"/>
        <v>432629</v>
      </c>
      <c r="O408" s="16">
        <f t="shared" si="335"/>
        <v>81028.095238095237</v>
      </c>
      <c r="P408" s="41"/>
      <c r="Q408" s="17">
        <f t="shared" si="336"/>
        <v>432629</v>
      </c>
      <c r="R408" s="16"/>
      <c r="S408" s="60">
        <f t="shared" si="337"/>
        <v>-0.11197663296262998</v>
      </c>
      <c r="T408" s="16"/>
      <c r="U408" s="41"/>
      <c r="V408" s="10">
        <f t="shared" si="356"/>
        <v>300</v>
      </c>
      <c r="W408" s="34">
        <v>896</v>
      </c>
      <c r="X408" s="33">
        <v>4256</v>
      </c>
      <c r="Y408" s="33"/>
      <c r="Z408" s="33">
        <f t="shared" si="338"/>
        <v>4191</v>
      </c>
      <c r="AA408" s="33">
        <f t="shared" si="339"/>
        <v>572888</v>
      </c>
      <c r="AB408" s="33"/>
      <c r="AC408" s="46">
        <f t="shared" si="340"/>
        <v>1.7719897272550966E-2</v>
      </c>
      <c r="AD408" s="33"/>
      <c r="AE408" s="33">
        <f t="shared" si="341"/>
        <v>1435.8095238095239</v>
      </c>
      <c r="AF408" s="50"/>
      <c r="AG408" s="33">
        <f t="shared" si="342"/>
        <v>5078</v>
      </c>
      <c r="AH408" s="33">
        <f t="shared" si="315"/>
        <v>1161350873.060914</v>
      </c>
      <c r="AI408" s="213">
        <f t="shared" si="343"/>
        <v>8.339952343129467E-3</v>
      </c>
      <c r="AJ408" s="50"/>
      <c r="AK408" s="111"/>
      <c r="AL408" s="23">
        <f t="shared" si="344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45"/>
        <v>2.3522651275741601E-3</v>
      </c>
      <c r="AS408" s="25"/>
      <c r="AT408" s="25"/>
      <c r="AU408" s="24"/>
      <c r="AV408" s="298">
        <f t="shared" si="346"/>
        <v>0.78059059931871766</v>
      </c>
      <c r="AW408" s="298"/>
      <c r="AX408" s="24">
        <f t="shared" si="347"/>
        <v>63249.769423558901</v>
      </c>
      <c r="AY408" s="308"/>
      <c r="AZ408" s="111"/>
      <c r="BA408" s="65">
        <f t="shared" si="348"/>
        <v>1998966</v>
      </c>
      <c r="BB408" s="66"/>
      <c r="BC408" s="66">
        <v>435438612</v>
      </c>
      <c r="BD408" s="66"/>
      <c r="BE408" s="66">
        <f t="shared" si="349"/>
        <v>67070</v>
      </c>
      <c r="BF408" s="66"/>
      <c r="BG408" s="144">
        <f t="shared" si="350"/>
        <v>3.3552346563173158E-2</v>
      </c>
      <c r="BH408" s="66"/>
      <c r="BI408" s="170"/>
      <c r="BJ408" s="66"/>
      <c r="BK408" s="66">
        <f t="shared" si="351"/>
        <v>10535280</v>
      </c>
      <c r="BL408" s="66"/>
      <c r="BM408" s="144">
        <f t="shared" si="352"/>
        <v>4.1064784229749948E-2</v>
      </c>
      <c r="BN408" s="65">
        <f t="shared" si="353"/>
        <v>1091324.8421052631</v>
      </c>
      <c r="BO408" s="66"/>
      <c r="BP408" s="66">
        <f t="shared" si="354"/>
        <v>31423232</v>
      </c>
      <c r="BQ408" s="66"/>
      <c r="BR408" s="435">
        <f t="shared" si="355"/>
        <v>7.2164551176733954E-2</v>
      </c>
      <c r="BS408" s="66"/>
      <c r="BT408" s="75"/>
      <c r="BU408" s="170"/>
      <c r="BV408" s="1"/>
      <c r="BW408" s="61">
        <f t="shared" si="189"/>
        <v>399</v>
      </c>
    </row>
    <row r="409" spans="2:75" x14ac:dyDescent="0.3">
      <c r="B409" s="158">
        <f t="shared" si="163"/>
        <v>44309</v>
      </c>
      <c r="C409" s="61"/>
      <c r="D409" s="17">
        <v>66515</v>
      </c>
      <c r="E409" s="16"/>
      <c r="F409" s="16"/>
      <c r="G409" s="16"/>
      <c r="H409" s="16">
        <f t="shared" si="332"/>
        <v>32396725</v>
      </c>
      <c r="I409" s="16"/>
      <c r="J409" s="436">
        <f t="shared" si="333"/>
        <v>2.0573636855436448E-3</v>
      </c>
      <c r="K409" s="16"/>
      <c r="L409" s="16"/>
      <c r="M409" s="16"/>
      <c r="N409" s="16">
        <f t="shared" si="334"/>
        <v>417371</v>
      </c>
      <c r="O409" s="16">
        <f t="shared" si="335"/>
        <v>80991.8125</v>
      </c>
      <c r="P409" s="41"/>
      <c r="Q409" s="17">
        <f t="shared" si="336"/>
        <v>417371</v>
      </c>
      <c r="R409" s="16"/>
      <c r="S409" s="60">
        <f t="shared" si="337"/>
        <v>-0.13692675774989815</v>
      </c>
      <c r="T409" s="16"/>
      <c r="U409" s="41"/>
      <c r="V409" s="10">
        <f t="shared" si="356"/>
        <v>301</v>
      </c>
      <c r="W409" s="34">
        <v>790</v>
      </c>
      <c r="X409" s="33">
        <v>4256</v>
      </c>
      <c r="Y409" s="33"/>
      <c r="Z409" s="33">
        <f t="shared" si="338"/>
        <v>4243</v>
      </c>
      <c r="AA409" s="33">
        <f t="shared" si="339"/>
        <v>573678</v>
      </c>
      <c r="AB409" s="33"/>
      <c r="AC409" s="46">
        <f t="shared" si="340"/>
        <v>1.7707901030119558E-2</v>
      </c>
      <c r="AD409" s="33"/>
      <c r="AE409" s="33">
        <f t="shared" si="341"/>
        <v>1434.1949999999999</v>
      </c>
      <c r="AF409" s="50"/>
      <c r="AG409" s="33">
        <f t="shared" si="342"/>
        <v>4981</v>
      </c>
      <c r="AH409" s="33">
        <f t="shared" si="315"/>
        <v>1161284335.060914</v>
      </c>
      <c r="AI409" s="213">
        <f t="shared" si="343"/>
        <v>-2.603123748498198E-3</v>
      </c>
      <c r="AJ409" s="50"/>
      <c r="AK409" s="111"/>
      <c r="AL409" s="23">
        <f t="shared" si="344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45"/>
        <v>2.3532830694143417E-3</v>
      </c>
      <c r="AS409" s="25"/>
      <c r="AT409" s="25"/>
      <c r="AU409" s="24"/>
      <c r="AV409" s="298">
        <f t="shared" si="346"/>
        <v>0.78082111694932121</v>
      </c>
      <c r="AW409" s="298"/>
      <c r="AX409" s="24">
        <f t="shared" si="347"/>
        <v>63240.1175</v>
      </c>
      <c r="AY409" s="308"/>
      <c r="AZ409" s="111"/>
      <c r="BA409" s="65">
        <f t="shared" si="348"/>
        <v>1629469</v>
      </c>
      <c r="BB409" s="66"/>
      <c r="BC409" s="66">
        <v>437068081</v>
      </c>
      <c r="BD409" s="66"/>
      <c r="BE409" s="66">
        <f t="shared" si="349"/>
        <v>66515</v>
      </c>
      <c r="BF409" s="66"/>
      <c r="BG409" s="144">
        <f t="shared" si="350"/>
        <v>4.0820046285016773E-2</v>
      </c>
      <c r="BH409" s="66"/>
      <c r="BI409" s="170"/>
      <c r="BJ409" s="66"/>
      <c r="BK409" s="66">
        <f t="shared" si="351"/>
        <v>10505475</v>
      </c>
      <c r="BL409" s="66"/>
      <c r="BM409" s="144">
        <f t="shared" si="352"/>
        <v>3.9728903262346536E-2</v>
      </c>
      <c r="BN409" s="65">
        <f t="shared" si="353"/>
        <v>1092670.2024999999</v>
      </c>
      <c r="BO409" s="66"/>
      <c r="BP409" s="66">
        <f t="shared" si="354"/>
        <v>31489747</v>
      </c>
      <c r="BQ409" s="66"/>
      <c r="BR409" s="435">
        <f t="shared" si="355"/>
        <v>7.204769318306728E-2</v>
      </c>
      <c r="BS409" s="66"/>
      <c r="BT409" s="75"/>
      <c r="BU409" s="170"/>
      <c r="BV409" s="1"/>
      <c r="BW409" s="61">
        <f t="shared" si="189"/>
        <v>400</v>
      </c>
    </row>
    <row r="410" spans="2:75" x14ac:dyDescent="0.3">
      <c r="B410" s="158">
        <f t="shared" si="163"/>
        <v>44310</v>
      </c>
      <c r="C410" s="61"/>
      <c r="D410" s="17">
        <v>53280</v>
      </c>
      <c r="E410" s="16"/>
      <c r="F410" s="16"/>
      <c r="G410" s="16"/>
      <c r="H410" s="16">
        <f t="shared" si="332"/>
        <v>32450005</v>
      </c>
      <c r="I410" s="16"/>
      <c r="J410" s="436">
        <f t="shared" si="333"/>
        <v>1.6446106820982678E-3</v>
      </c>
      <c r="K410" s="16"/>
      <c r="L410" s="16"/>
      <c r="M410" s="16"/>
      <c r="N410" s="16">
        <f t="shared" si="334"/>
        <v>407070</v>
      </c>
      <c r="O410" s="16">
        <f t="shared" si="335"/>
        <v>80922.705735660842</v>
      </c>
      <c r="P410" s="41"/>
      <c r="Q410" s="17">
        <f t="shared" si="336"/>
        <v>407070</v>
      </c>
      <c r="R410" s="16"/>
      <c r="S410" s="60">
        <f t="shared" si="337"/>
        <v>-0.15262246350866382</v>
      </c>
      <c r="T410" s="16"/>
      <c r="U410" s="41"/>
      <c r="V410" s="10">
        <f t="shared" si="356"/>
        <v>302</v>
      </c>
      <c r="W410" s="34">
        <v>742</v>
      </c>
      <c r="X410" s="33">
        <v>4256</v>
      </c>
      <c r="Y410" s="33"/>
      <c r="Z410" s="33">
        <f t="shared" si="338"/>
        <v>4675</v>
      </c>
      <c r="AA410" s="33">
        <f t="shared" si="339"/>
        <v>574420</v>
      </c>
      <c r="AB410" s="33"/>
      <c r="AC410" s="46">
        <f t="shared" si="340"/>
        <v>1.7701692187720771E-2</v>
      </c>
      <c r="AD410" s="33"/>
      <c r="AE410" s="33">
        <f t="shared" si="341"/>
        <v>1432.4688279301745</v>
      </c>
      <c r="AF410" s="50"/>
      <c r="AG410" s="33">
        <f t="shared" si="342"/>
        <v>4985</v>
      </c>
      <c r="AH410" s="33">
        <f t="shared" si="315"/>
        <v>1161217289.060914</v>
      </c>
      <c r="AI410" s="213">
        <f t="shared" si="343"/>
        <v>-1.002004008016032E-3</v>
      </c>
      <c r="AJ410" s="50"/>
      <c r="AK410" s="111"/>
      <c r="AL410" s="23">
        <f t="shared" si="344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45"/>
        <v>1.7325631945576318E-3</v>
      </c>
      <c r="AS410" s="25"/>
      <c r="AT410" s="25"/>
      <c r="AU410" s="24"/>
      <c r="AV410" s="298">
        <f t="shared" si="346"/>
        <v>0.7808896793698491</v>
      </c>
      <c r="AW410" s="298"/>
      <c r="AX410" s="24">
        <f t="shared" si="347"/>
        <v>63191.705735660849</v>
      </c>
      <c r="AY410" s="308"/>
      <c r="AZ410" s="111"/>
      <c r="BA410" s="65">
        <f t="shared" si="348"/>
        <v>1523347</v>
      </c>
      <c r="BB410" s="66"/>
      <c r="BC410" s="66">
        <v>438591428</v>
      </c>
      <c r="BD410" s="66"/>
      <c r="BE410" s="66">
        <f t="shared" si="349"/>
        <v>53280</v>
      </c>
      <c r="BF410" s="66"/>
      <c r="BG410" s="144">
        <f t="shared" si="350"/>
        <v>3.4975616192502432E-2</v>
      </c>
      <c r="BH410" s="66"/>
      <c r="BI410" s="170"/>
      <c r="BJ410" s="66"/>
      <c r="BK410" s="66">
        <f t="shared" si="351"/>
        <v>10459587</v>
      </c>
      <c r="BL410" s="66"/>
      <c r="BM410" s="144">
        <f t="shared" si="352"/>
        <v>3.8918362646632225E-2</v>
      </c>
      <c r="BN410" s="65">
        <f t="shared" si="353"/>
        <v>1093744.2094763091</v>
      </c>
      <c r="BO410" s="66"/>
      <c r="BP410" s="66">
        <f t="shared" si="354"/>
        <v>31543027</v>
      </c>
      <c r="BQ410" s="66"/>
      <c r="BR410" s="435">
        <f t="shared" si="355"/>
        <v>7.1918931803655772E-2</v>
      </c>
      <c r="BS410" s="66"/>
      <c r="BT410" s="75"/>
      <c r="BU410" s="170"/>
      <c r="BV410" s="1"/>
      <c r="BW410" s="61">
        <f t="shared" si="189"/>
        <v>401</v>
      </c>
    </row>
    <row r="411" spans="2:75" x14ac:dyDescent="0.3">
      <c r="B411" s="347">
        <f t="shared" si="163"/>
        <v>44311</v>
      </c>
      <c r="C411" s="61"/>
      <c r="D411" s="17">
        <v>34736</v>
      </c>
      <c r="E411" s="16"/>
      <c r="F411" s="16"/>
      <c r="G411" s="16"/>
      <c r="H411" s="16">
        <f t="shared" si="332"/>
        <v>32484741</v>
      </c>
      <c r="I411" s="16"/>
      <c r="J411" s="436">
        <f t="shared" si="333"/>
        <v>1.0704466763564442E-3</v>
      </c>
      <c r="K411" s="16"/>
      <c r="L411" s="16"/>
      <c r="M411" s="16"/>
      <c r="N411" s="577">
        <f t="shared" si="334"/>
        <v>398625</v>
      </c>
      <c r="O411" s="16">
        <f t="shared" si="335"/>
        <v>80807.813432835814</v>
      </c>
      <c r="P411" s="41"/>
      <c r="Q411" s="17">
        <f t="shared" si="336"/>
        <v>398625</v>
      </c>
      <c r="R411" s="16"/>
      <c r="S411" s="60">
        <f t="shared" si="337"/>
        <v>-0.16201557720808502</v>
      </c>
      <c r="T411" s="16"/>
      <c r="U411" s="41"/>
      <c r="V411" s="10">
        <f t="shared" si="356"/>
        <v>303</v>
      </c>
      <c r="W411" s="34">
        <v>273</v>
      </c>
      <c r="X411" s="33">
        <v>4256</v>
      </c>
      <c r="Y411" s="33"/>
      <c r="Z411" s="33">
        <f t="shared" si="338"/>
        <v>4460</v>
      </c>
      <c r="AA411" s="33">
        <f t="shared" si="339"/>
        <v>574693</v>
      </c>
      <c r="AB411" s="33"/>
      <c r="AC411" s="46">
        <f t="shared" si="340"/>
        <v>1.7691167677772159E-2</v>
      </c>
      <c r="AD411" s="33"/>
      <c r="AE411" s="33">
        <f t="shared" si="341"/>
        <v>1429.5845771144279</v>
      </c>
      <c r="AF411" s="50"/>
      <c r="AG411" s="33">
        <f t="shared" si="342"/>
        <v>4948</v>
      </c>
      <c r="AH411" s="33">
        <f t="shared" si="315"/>
        <v>1161140313.060914</v>
      </c>
      <c r="AI411" s="213">
        <f t="shared" si="343"/>
        <v>-1.5127388535031847E-2</v>
      </c>
      <c r="AJ411" s="50"/>
      <c r="AK411" s="111"/>
      <c r="AL411" s="23">
        <f t="shared" si="344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45"/>
        <v>1.5768428840648536E-3</v>
      </c>
      <c r="AS411" s="25"/>
      <c r="AT411" s="25"/>
      <c r="AU411" s="24"/>
      <c r="AV411" s="298">
        <f t="shared" si="346"/>
        <v>0.78128469609777706</v>
      </c>
      <c r="AW411" s="298"/>
      <c r="AX411" s="24">
        <f t="shared" si="347"/>
        <v>63133.907960199002</v>
      </c>
      <c r="AY411" s="308"/>
      <c r="AZ411" s="111"/>
      <c r="BA411" s="65">
        <f t="shared" si="348"/>
        <v>1052064</v>
      </c>
      <c r="BB411" s="66"/>
      <c r="BC411" s="66">
        <v>439643492</v>
      </c>
      <c r="BD411" s="66"/>
      <c r="BE411" s="66">
        <f t="shared" si="349"/>
        <v>34736</v>
      </c>
      <c r="BF411" s="66"/>
      <c r="BG411" s="144">
        <f t="shared" si="350"/>
        <v>3.3017002767892448E-2</v>
      </c>
      <c r="BH411" s="66"/>
      <c r="BI411" s="170"/>
      <c r="BJ411" s="66"/>
      <c r="BK411" s="66">
        <f t="shared" si="351"/>
        <v>10422773</v>
      </c>
      <c r="BL411" s="66"/>
      <c r="BM411" s="144">
        <f t="shared" si="352"/>
        <v>3.8245580134960246E-2</v>
      </c>
      <c r="BN411" s="65">
        <f t="shared" si="353"/>
        <v>1093640.5273631841</v>
      </c>
      <c r="BO411" s="66"/>
      <c r="BP411" s="66">
        <f t="shared" si="354"/>
        <v>31577763</v>
      </c>
      <c r="BQ411" s="66"/>
      <c r="BR411" s="435">
        <f t="shared" si="355"/>
        <v>7.1825839741988043E-2</v>
      </c>
      <c r="BS411" s="66"/>
      <c r="BT411" s="75"/>
      <c r="BU411" s="170"/>
      <c r="BV411" s="1"/>
      <c r="BW411" s="61">
        <f t="shared" si="189"/>
        <v>402</v>
      </c>
    </row>
    <row r="412" spans="2:75" x14ac:dyDescent="0.3">
      <c r="B412" s="158">
        <f t="shared" si="163"/>
        <v>44312</v>
      </c>
      <c r="C412" s="61"/>
      <c r="D412" s="17">
        <v>47456</v>
      </c>
      <c r="E412" s="16"/>
      <c r="F412" s="16"/>
      <c r="G412" s="16"/>
      <c r="H412" s="16">
        <f t="shared" si="332"/>
        <v>32532197</v>
      </c>
      <c r="I412" s="16"/>
      <c r="J412" s="436">
        <f t="shared" si="333"/>
        <v>1.4608705053243305E-3</v>
      </c>
      <c r="K412" s="16"/>
      <c r="L412" s="16"/>
      <c r="M412" s="16"/>
      <c r="N412" s="16">
        <f t="shared" si="334"/>
        <v>394431</v>
      </c>
      <c r="O412" s="16">
        <f t="shared" si="335"/>
        <v>80725.054590570726</v>
      </c>
      <c r="P412" s="41"/>
      <c r="Q412" s="17">
        <f t="shared" si="336"/>
        <v>394431</v>
      </c>
      <c r="R412" s="16"/>
      <c r="S412" s="60">
        <f t="shared" si="337"/>
        <v>-0.16225205650531091</v>
      </c>
      <c r="T412" s="16"/>
      <c r="U412" s="41"/>
      <c r="V412" s="10">
        <f t="shared" si="356"/>
        <v>304</v>
      </c>
      <c r="W412" s="34">
        <v>455</v>
      </c>
      <c r="X412" s="33">
        <v>4256</v>
      </c>
      <c r="Y412" s="33"/>
      <c r="Z412" s="33">
        <f t="shared" si="338"/>
        <v>4032</v>
      </c>
      <c r="AA412" s="33">
        <f t="shared" si="339"/>
        <v>575148</v>
      </c>
      <c r="AB412" s="33"/>
      <c r="AC412" s="46">
        <f t="shared" si="340"/>
        <v>1.7679347017356375E-2</v>
      </c>
      <c r="AD412" s="33"/>
      <c r="AE412" s="33">
        <f t="shared" si="341"/>
        <v>1427.1662531017371</v>
      </c>
      <c r="AF412" s="50"/>
      <c r="AG412" s="33">
        <f t="shared" si="342"/>
        <v>4915</v>
      </c>
      <c r="AH412" s="33">
        <f t="shared" si="315"/>
        <v>1161076654.060914</v>
      </c>
      <c r="AI412" s="213">
        <f t="shared" si="343"/>
        <v>-2.7117973079968331E-2</v>
      </c>
      <c r="AJ412" s="50"/>
      <c r="AK412" s="111"/>
      <c r="AL412" s="23">
        <f t="shared" si="344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45"/>
        <v>3.7808762398772473E-3</v>
      </c>
      <c r="AS412" s="25"/>
      <c r="AT412" s="25"/>
      <c r="AU412" s="24"/>
      <c r="AV412" s="298">
        <f t="shared" si="346"/>
        <v>0.78309463698378567</v>
      </c>
      <c r="AW412" s="298"/>
      <c r="AX412" s="24">
        <f t="shared" si="347"/>
        <v>63215.357320099254</v>
      </c>
      <c r="AY412" s="308"/>
      <c r="AZ412" s="111"/>
      <c r="BA412" s="65">
        <f t="shared" si="348"/>
        <v>1545353</v>
      </c>
      <c r="BB412" s="66"/>
      <c r="BC412" s="66">
        <v>441188845</v>
      </c>
      <c r="BD412" s="66"/>
      <c r="BE412" s="66">
        <f t="shared" si="349"/>
        <v>47456</v>
      </c>
      <c r="BF412" s="66"/>
      <c r="BG412" s="144">
        <f t="shared" si="350"/>
        <v>3.0708841280924163E-2</v>
      </c>
      <c r="BH412" s="66"/>
      <c r="BI412" s="170"/>
      <c r="BJ412" s="66"/>
      <c r="BK412" s="66">
        <f t="shared" si="351"/>
        <v>10302226</v>
      </c>
      <c r="BL412" s="66"/>
      <c r="BM412" s="144">
        <f t="shared" si="352"/>
        <v>3.8285997608672143E-2</v>
      </c>
      <c r="BN412" s="65">
        <f t="shared" si="353"/>
        <v>1094761.4019851116</v>
      </c>
      <c r="BO412" s="66"/>
      <c r="BP412" s="66">
        <f t="shared" si="354"/>
        <v>31625219</v>
      </c>
      <c r="BQ412" s="66"/>
      <c r="BR412" s="435">
        <f t="shared" si="355"/>
        <v>7.1681819153881832E-2</v>
      </c>
      <c r="BS412" s="66"/>
      <c r="BT412" s="75"/>
      <c r="BU412" s="170"/>
      <c r="BV412" s="1"/>
      <c r="BW412" s="61">
        <f t="shared" si="189"/>
        <v>403</v>
      </c>
    </row>
    <row r="413" spans="2:75" x14ac:dyDescent="0.3">
      <c r="B413" s="158">
        <f t="shared" si="163"/>
        <v>44313</v>
      </c>
      <c r="C413" s="61"/>
      <c r="D413" s="17">
        <v>52046</v>
      </c>
      <c r="E413" s="16"/>
      <c r="F413" s="16"/>
      <c r="G413" s="16"/>
      <c r="H413" s="16">
        <f t="shared" si="332"/>
        <v>32584243</v>
      </c>
      <c r="I413" s="16"/>
      <c r="J413" s="436">
        <f t="shared" si="333"/>
        <v>1.5998304694884271E-3</v>
      </c>
      <c r="K413" s="16"/>
      <c r="L413" s="16"/>
      <c r="M413" s="16"/>
      <c r="N413" s="16">
        <f t="shared" si="334"/>
        <v>386160</v>
      </c>
      <c r="O413" s="16">
        <f t="shared" si="335"/>
        <v>80654.066831683172</v>
      </c>
      <c r="P413" s="41"/>
      <c r="Q413" s="17">
        <f t="shared" si="336"/>
        <v>386160</v>
      </c>
      <c r="R413" s="16"/>
      <c r="S413" s="60">
        <f t="shared" si="337"/>
        <v>-0.14833928807727934</v>
      </c>
      <c r="T413" s="16"/>
      <c r="U413" s="41"/>
      <c r="V413" s="10">
        <f t="shared" si="356"/>
        <v>305</v>
      </c>
      <c r="W413" s="34">
        <v>885</v>
      </c>
      <c r="X413" s="33">
        <v>4256</v>
      </c>
      <c r="Y413" s="33"/>
      <c r="Z413" s="33">
        <f t="shared" si="338"/>
        <v>4041</v>
      </c>
      <c r="AA413" s="33">
        <f t="shared" si="339"/>
        <v>576033</v>
      </c>
      <c r="AB413" s="33"/>
      <c r="AC413" s="46">
        <f t="shared" si="340"/>
        <v>1.7678268603631517E-2</v>
      </c>
      <c r="AD413" s="33"/>
      <c r="AE413" s="33">
        <f t="shared" si="341"/>
        <v>1425.8242574257426</v>
      </c>
      <c r="AF413" s="50"/>
      <c r="AG413" s="33">
        <f t="shared" si="342"/>
        <v>4917</v>
      </c>
      <c r="AH413" s="33">
        <f t="shared" si="315"/>
        <v>1161032558.060914</v>
      </c>
      <c r="AI413" s="213">
        <f t="shared" si="343"/>
        <v>-3.8897576231430808E-2</v>
      </c>
      <c r="AJ413" s="50"/>
      <c r="AK413" s="111"/>
      <c r="AL413" s="23">
        <f t="shared" si="344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45"/>
        <v>1.8105032978566434E-3</v>
      </c>
      <c r="AS413" s="25"/>
      <c r="AT413" s="25"/>
      <c r="AU413" s="24"/>
      <c r="AV413" s="298">
        <f t="shared" si="346"/>
        <v>0.78325935023256488</v>
      </c>
      <c r="AW413" s="298"/>
      <c r="AX413" s="24">
        <f t="shared" si="347"/>
        <v>63173.051980198019</v>
      </c>
      <c r="AY413" s="308"/>
      <c r="AZ413" s="111"/>
      <c r="BA413" s="65">
        <f t="shared" si="348"/>
        <v>1021807</v>
      </c>
      <c r="BB413" s="66"/>
      <c r="BC413" s="66">
        <v>442210652</v>
      </c>
      <c r="BD413" s="66"/>
      <c r="BE413" s="66">
        <f t="shared" si="349"/>
        <v>52046</v>
      </c>
      <c r="BF413" s="66"/>
      <c r="BG413" s="144">
        <f t="shared" si="350"/>
        <v>5.0935254896472625E-2</v>
      </c>
      <c r="BH413" s="66"/>
      <c r="BI413" s="170"/>
      <c r="BJ413" s="66"/>
      <c r="BK413" s="66">
        <f t="shared" si="351"/>
        <v>10268929</v>
      </c>
      <c r="BL413" s="66"/>
      <c r="BM413" s="144">
        <f t="shared" si="352"/>
        <v>3.7604700548616123E-2</v>
      </c>
      <c r="BN413" s="65">
        <f t="shared" si="353"/>
        <v>1094580.8217821782</v>
      </c>
      <c r="BO413" s="66"/>
      <c r="BP413" s="66">
        <f t="shared" si="354"/>
        <v>31677265</v>
      </c>
      <c r="BQ413" s="66"/>
      <c r="BR413" s="435">
        <f t="shared" si="355"/>
        <v>7.1633880497297478E-2</v>
      </c>
      <c r="BS413" s="66"/>
      <c r="BT413" s="75"/>
      <c r="BU413" s="170"/>
      <c r="BV413" s="1"/>
      <c r="BW413" s="61">
        <f t="shared" si="189"/>
        <v>404</v>
      </c>
    </row>
    <row r="414" spans="2:75" x14ac:dyDescent="0.3">
      <c r="B414" s="158">
        <f t="shared" si="163"/>
        <v>44314</v>
      </c>
      <c r="C414" s="61"/>
      <c r="D414" s="17">
        <v>56604</v>
      </c>
      <c r="E414" s="16"/>
      <c r="F414" s="16"/>
      <c r="G414" s="16"/>
      <c r="H414" s="16">
        <f t="shared" si="332"/>
        <v>32640847</v>
      </c>
      <c r="I414" s="16"/>
      <c r="J414" s="436">
        <f t="shared" si="333"/>
        <v>1.7371586628543128E-3</v>
      </c>
      <c r="K414" s="16"/>
      <c r="L414" s="16"/>
      <c r="M414" s="16"/>
      <c r="N414" s="16">
        <f t="shared" si="334"/>
        <v>377707</v>
      </c>
      <c r="O414" s="16">
        <f t="shared" si="335"/>
        <v>80594.683950617284</v>
      </c>
      <c r="P414" s="41"/>
      <c r="Q414" s="17">
        <f t="shared" si="336"/>
        <v>377707</v>
      </c>
      <c r="R414" s="16"/>
      <c r="S414" s="60">
        <f t="shared" si="337"/>
        <v>-0.14164913030238296</v>
      </c>
      <c r="T414" s="16"/>
      <c r="U414" s="41"/>
      <c r="V414" s="10">
        <f t="shared" si="356"/>
        <v>306</v>
      </c>
      <c r="W414" s="34">
        <v>954</v>
      </c>
      <c r="X414" s="33">
        <v>4256</v>
      </c>
      <c r="Y414" s="33"/>
      <c r="Z414" s="33">
        <f t="shared" si="338"/>
        <v>4099</v>
      </c>
      <c r="AA414" s="33">
        <f t="shared" si="339"/>
        <v>576987</v>
      </c>
      <c r="AB414" s="33"/>
      <c r="AC414" s="46">
        <f t="shared" si="340"/>
        <v>1.7676839084475964E-2</v>
      </c>
      <c r="AD414" s="33"/>
      <c r="AE414" s="33">
        <f t="shared" si="341"/>
        <v>1424.6592592592592</v>
      </c>
      <c r="AF414" s="50"/>
      <c r="AG414" s="33">
        <f t="shared" si="342"/>
        <v>4995</v>
      </c>
      <c r="AH414" s="33">
        <f t="shared" si="315"/>
        <v>1160972360.060914</v>
      </c>
      <c r="AI414" s="213">
        <f t="shared" si="343"/>
        <v>-1.6151270435296437E-2</v>
      </c>
      <c r="AJ414" s="50"/>
      <c r="AK414" s="111"/>
      <c r="AL414" s="23">
        <f t="shared" si="344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45"/>
        <v>2.461962784686242E-3</v>
      </c>
      <c r="AS414" s="25"/>
      <c r="AT414" s="25"/>
      <c r="AU414" s="24"/>
      <c r="AV414" s="298">
        <f t="shared" si="346"/>
        <v>0.78382607534663551</v>
      </c>
      <c r="AW414" s="298"/>
      <c r="AX414" s="24">
        <f t="shared" si="347"/>
        <v>63172.214814814812</v>
      </c>
      <c r="AY414" s="308"/>
      <c r="AZ414" s="111"/>
      <c r="BA414" s="65">
        <f t="shared" si="348"/>
        <v>1776345</v>
      </c>
      <c r="BB414" s="66"/>
      <c r="BC414" s="66">
        <v>443986997</v>
      </c>
      <c r="BD414" s="66"/>
      <c r="BE414" s="66">
        <f t="shared" si="349"/>
        <v>56604</v>
      </c>
      <c r="BF414" s="66"/>
      <c r="BG414" s="144">
        <f t="shared" si="350"/>
        <v>3.1865431546236798E-2</v>
      </c>
      <c r="BH414" s="66"/>
      <c r="BI414" s="170"/>
      <c r="BJ414" s="66"/>
      <c r="BK414" s="66">
        <f t="shared" si="351"/>
        <v>10547351</v>
      </c>
      <c r="BL414" s="66"/>
      <c r="BM414" s="144">
        <f t="shared" si="352"/>
        <v>3.5810603060427208E-2</v>
      </c>
      <c r="BN414" s="65">
        <f t="shared" si="353"/>
        <v>1096264.1901234568</v>
      </c>
      <c r="BO414" s="66"/>
      <c r="BP414" s="66">
        <f t="shared" si="354"/>
        <v>31733869</v>
      </c>
      <c r="BQ414" s="66"/>
      <c r="BR414" s="435">
        <f t="shared" si="355"/>
        <v>7.1474771140651219E-2</v>
      </c>
      <c r="BS414" s="66"/>
      <c r="BT414" s="75"/>
      <c r="BU414" s="170"/>
      <c r="BV414" s="1"/>
      <c r="BW414" s="61">
        <f t="shared" si="189"/>
        <v>405</v>
      </c>
    </row>
    <row r="415" spans="2:75" x14ac:dyDescent="0.3">
      <c r="B415" s="158">
        <f t="shared" si="163"/>
        <v>44315</v>
      </c>
      <c r="C415" s="61"/>
      <c r="D415" s="17">
        <v>59269</v>
      </c>
      <c r="E415" s="16"/>
      <c r="F415" s="16"/>
      <c r="G415" s="16"/>
      <c r="H415" s="16">
        <f t="shared" si="332"/>
        <v>32700116</v>
      </c>
      <c r="I415" s="16"/>
      <c r="J415" s="436">
        <f t="shared" si="333"/>
        <v>1.8157923414181011E-3</v>
      </c>
      <c r="K415" s="16"/>
      <c r="L415" s="16"/>
      <c r="M415" s="16"/>
      <c r="N415" s="16">
        <f t="shared" si="334"/>
        <v>369906</v>
      </c>
      <c r="O415" s="16">
        <f t="shared" si="335"/>
        <v>80542.157635467986</v>
      </c>
      <c r="P415" s="41"/>
      <c r="Q415" s="17">
        <f t="shared" si="336"/>
        <v>369906</v>
      </c>
      <c r="R415" s="16"/>
      <c r="S415" s="60">
        <f t="shared" si="337"/>
        <v>-0.14498103455847852</v>
      </c>
      <c r="T415" s="16"/>
      <c r="U415" s="41"/>
      <c r="V415" s="10">
        <f t="shared" si="356"/>
        <v>307</v>
      </c>
      <c r="W415" s="34">
        <v>870</v>
      </c>
      <c r="X415" s="33">
        <v>4256</v>
      </c>
      <c r="Y415" s="33"/>
      <c r="Z415" s="33">
        <f t="shared" si="338"/>
        <v>4179</v>
      </c>
      <c r="AA415" s="33">
        <f t="shared" si="339"/>
        <v>577857</v>
      </c>
      <c r="AB415" s="33"/>
      <c r="AC415" s="46">
        <f t="shared" si="340"/>
        <v>1.7671405202354634E-2</v>
      </c>
      <c r="AD415" s="33"/>
      <c r="AE415" s="33">
        <f t="shared" si="341"/>
        <v>1423.2931034482758</v>
      </c>
      <c r="AF415" s="50"/>
      <c r="AG415" s="33">
        <f t="shared" si="342"/>
        <v>4969</v>
      </c>
      <c r="AH415" s="33">
        <f t="shared" si="315"/>
        <v>1160909901.060914</v>
      </c>
      <c r="AI415" s="213">
        <f t="shared" si="343"/>
        <v>-2.1465143757384796E-2</v>
      </c>
      <c r="AJ415" s="50"/>
      <c r="AK415" s="111"/>
      <c r="AL415" s="23">
        <f t="shared" si="344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45"/>
        <v>2.2211280807271612E-3</v>
      </c>
      <c r="AS415" s="25"/>
      <c r="AT415" s="25"/>
      <c r="AU415" s="24"/>
      <c r="AV415" s="298">
        <f t="shared" si="346"/>
        <v>0.78414321221368144</v>
      </c>
      <c r="AW415" s="298"/>
      <c r="AX415" s="24">
        <f t="shared" si="347"/>
        <v>63156.586206896551</v>
      </c>
      <c r="AY415" s="308"/>
      <c r="AZ415" s="111"/>
      <c r="BA415" s="65">
        <f t="shared" si="348"/>
        <v>1145686</v>
      </c>
      <c r="BB415" s="66"/>
      <c r="BC415" s="66">
        <v>445132683</v>
      </c>
      <c r="BD415" s="66"/>
      <c r="BE415" s="66">
        <f t="shared" si="349"/>
        <v>59269</v>
      </c>
      <c r="BF415" s="66"/>
      <c r="BG415" s="144">
        <f t="shared" si="350"/>
        <v>5.1732324563623887E-2</v>
      </c>
      <c r="BH415" s="66"/>
      <c r="BI415" s="170"/>
      <c r="BJ415" s="66"/>
      <c r="BK415" s="66">
        <f t="shared" si="351"/>
        <v>9694071</v>
      </c>
      <c r="BL415" s="66"/>
      <c r="BM415" s="144">
        <f t="shared" si="352"/>
        <v>3.8157962738255169E-2</v>
      </c>
      <c r="BN415" s="65">
        <f t="shared" si="353"/>
        <v>1096385.9187192118</v>
      </c>
      <c r="BO415" s="66"/>
      <c r="BP415" s="66">
        <f t="shared" si="354"/>
        <v>31793138</v>
      </c>
      <c r="BQ415" s="66"/>
      <c r="BR415" s="435">
        <f t="shared" si="355"/>
        <v>7.142395787639795E-2</v>
      </c>
      <c r="BS415" s="66"/>
      <c r="BT415" s="75"/>
      <c r="BU415" s="170"/>
      <c r="BV415" s="1"/>
      <c r="BW415" s="61">
        <f t="shared" si="189"/>
        <v>406</v>
      </c>
    </row>
    <row r="416" spans="2:75" x14ac:dyDescent="0.3">
      <c r="B416" s="158">
        <f t="shared" si="163"/>
        <v>44316</v>
      </c>
      <c r="C416" s="61"/>
      <c r="D416" s="17">
        <v>59906</v>
      </c>
      <c r="E416" s="16"/>
      <c r="F416" s="16"/>
      <c r="G416" s="16"/>
      <c r="H416" s="16">
        <f t="shared" si="332"/>
        <v>32760022</v>
      </c>
      <c r="I416" s="16"/>
      <c r="J416" s="436">
        <f t="shared" si="333"/>
        <v>1.8319812688126244E-3</v>
      </c>
      <c r="K416" s="16"/>
      <c r="L416" s="16"/>
      <c r="M416" s="16"/>
      <c r="N416" s="16">
        <f t="shared" si="334"/>
        <v>363297</v>
      </c>
      <c r="O416" s="16">
        <f t="shared" si="335"/>
        <v>80491.454545454544</v>
      </c>
      <c r="P416" s="41"/>
      <c r="Q416" s="17">
        <f t="shared" si="336"/>
        <v>363297</v>
      </c>
      <c r="R416" s="16"/>
      <c r="S416" s="60">
        <f t="shared" si="337"/>
        <v>-0.12955859415244469</v>
      </c>
      <c r="T416" s="16"/>
      <c r="U416" s="41"/>
      <c r="V416" s="10">
        <f t="shared" si="356"/>
        <v>308</v>
      </c>
      <c r="W416" s="34">
        <v>784</v>
      </c>
      <c r="X416" s="33">
        <v>4256</v>
      </c>
      <c r="Y416" s="33"/>
      <c r="Z416" s="33">
        <f t="shared" si="338"/>
        <v>4221</v>
      </c>
      <c r="AA416" s="33">
        <f t="shared" si="339"/>
        <v>578641</v>
      </c>
      <c r="AB416" s="33"/>
      <c r="AC416" s="46">
        <f t="shared" si="340"/>
        <v>1.7663022326419683E-2</v>
      </c>
      <c r="AD416" s="33"/>
      <c r="AE416" s="33">
        <f t="shared" si="341"/>
        <v>1421.7223587223586</v>
      </c>
      <c r="AF416" s="50"/>
      <c r="AG416" s="33">
        <f t="shared" si="342"/>
        <v>4963</v>
      </c>
      <c r="AH416" s="33">
        <f t="shared" si="315"/>
        <v>1160841145.060914</v>
      </c>
      <c r="AI416" s="213">
        <f t="shared" si="343"/>
        <v>-3.6137321822927123E-3</v>
      </c>
      <c r="AJ416" s="50"/>
      <c r="AK416" s="111"/>
      <c r="AL416" s="23">
        <f t="shared" si="344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45"/>
        <v>2.6740948118083546E-3</v>
      </c>
      <c r="AS416" s="25"/>
      <c r="AT416" s="25"/>
      <c r="AU416" s="24"/>
      <c r="AV416" s="298">
        <f t="shared" si="346"/>
        <v>0.78480234231832935</v>
      </c>
      <c r="AW416" s="298"/>
      <c r="AX416" s="24">
        <f t="shared" si="347"/>
        <v>63169.882063882062</v>
      </c>
      <c r="AY416" s="308"/>
      <c r="AZ416" s="111"/>
      <c r="BA416" s="65">
        <f t="shared" si="348"/>
        <v>1494514</v>
      </c>
      <c r="BB416" s="66"/>
      <c r="BC416" s="66">
        <v>446627197</v>
      </c>
      <c r="BD416" s="66"/>
      <c r="BE416" s="66">
        <f t="shared" si="349"/>
        <v>59906</v>
      </c>
      <c r="BF416" s="66"/>
      <c r="BG416" s="144">
        <f t="shared" si="350"/>
        <v>4.0083933639965902E-2</v>
      </c>
      <c r="BH416" s="66"/>
      <c r="BI416" s="170"/>
      <c r="BJ416" s="66"/>
      <c r="BK416" s="66">
        <f t="shared" si="351"/>
        <v>9559116</v>
      </c>
      <c r="BL416" s="66"/>
      <c r="BM416" s="144">
        <f t="shared" si="352"/>
        <v>3.8005292539603032E-2</v>
      </c>
      <c r="BN416" s="65">
        <f t="shared" si="353"/>
        <v>1097364.1203931205</v>
      </c>
      <c r="BO416" s="66"/>
      <c r="BP416" s="66">
        <f t="shared" si="354"/>
        <v>31853044</v>
      </c>
      <c r="BQ416" s="66"/>
      <c r="BR416" s="435">
        <f t="shared" si="355"/>
        <v>7.1319087180443247E-2</v>
      </c>
      <c r="BS416" s="66"/>
      <c r="BT416" s="75"/>
      <c r="BU416" s="170"/>
      <c r="BV416" s="1"/>
      <c r="BW416" s="61">
        <f t="shared" si="189"/>
        <v>407</v>
      </c>
    </row>
    <row r="417" spans="2:75" x14ac:dyDescent="0.3">
      <c r="B417" s="158">
        <f t="shared" si="163"/>
        <v>44317</v>
      </c>
      <c r="C417" s="61"/>
      <c r="D417" s="17">
        <v>42034</v>
      </c>
      <c r="E417" s="16"/>
      <c r="F417" s="16"/>
      <c r="G417" s="16"/>
      <c r="H417" s="16">
        <f t="shared" si="332"/>
        <v>32802056</v>
      </c>
      <c r="I417" s="16"/>
      <c r="J417" s="436">
        <f t="shared" si="333"/>
        <v>1.2830882714303428E-3</v>
      </c>
      <c r="K417" s="16"/>
      <c r="L417" s="16"/>
      <c r="M417" s="16"/>
      <c r="N417" s="16">
        <f t="shared" si="334"/>
        <v>352051</v>
      </c>
      <c r="O417" s="16">
        <f t="shared" si="335"/>
        <v>80397.196078431371</v>
      </c>
      <c r="P417" s="41"/>
      <c r="Q417" s="17">
        <f t="shared" si="336"/>
        <v>352051</v>
      </c>
      <c r="R417" s="16"/>
      <c r="S417" s="60">
        <f t="shared" si="337"/>
        <v>-0.13515857223573341</v>
      </c>
      <c r="T417" s="16"/>
      <c r="U417" s="41"/>
      <c r="V417" s="10">
        <f t="shared" si="356"/>
        <v>309</v>
      </c>
      <c r="W417" s="34">
        <v>661</v>
      </c>
      <c r="X417" s="33">
        <v>4256</v>
      </c>
      <c r="Y417" s="33"/>
      <c r="Z417" s="33">
        <f t="shared" si="338"/>
        <v>4609</v>
      </c>
      <c r="AA417" s="33">
        <f t="shared" si="339"/>
        <v>579302</v>
      </c>
      <c r="AB417" s="33"/>
      <c r="AC417" s="46">
        <f t="shared" si="340"/>
        <v>1.7660539327169003E-2</v>
      </c>
      <c r="AD417" s="33"/>
      <c r="AE417" s="33">
        <f t="shared" si="341"/>
        <v>1419.8578431372548</v>
      </c>
      <c r="AF417" s="50"/>
      <c r="AG417" s="33">
        <f t="shared" si="342"/>
        <v>4882</v>
      </c>
      <c r="AH417" s="33">
        <f t="shared" si="315"/>
        <v>1160796894.060914</v>
      </c>
      <c r="AI417" s="213">
        <f t="shared" si="343"/>
        <v>-2.0661985957873621E-2</v>
      </c>
      <c r="AJ417" s="50"/>
      <c r="AK417" s="111"/>
      <c r="AL417" s="23">
        <f t="shared" si="344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45"/>
        <v>2.6365081919812036E-3</v>
      </c>
      <c r="AS417" s="25"/>
      <c r="AT417" s="25"/>
      <c r="AU417" s="24"/>
      <c r="AV417" s="298">
        <f t="shared" si="346"/>
        <v>0.78586314833436055</v>
      </c>
      <c r="AW417" s="298"/>
      <c r="AX417" s="24">
        <f t="shared" si="347"/>
        <v>63181.193627450979</v>
      </c>
      <c r="AY417" s="308"/>
      <c r="AZ417" s="111"/>
      <c r="BA417" s="65">
        <f t="shared" si="348"/>
        <v>1105485</v>
      </c>
      <c r="BB417" s="66"/>
      <c r="BC417" s="66">
        <v>447732682</v>
      </c>
      <c r="BD417" s="66"/>
      <c r="BE417" s="66">
        <f t="shared" si="349"/>
        <v>42034</v>
      </c>
      <c r="BF417" s="66"/>
      <c r="BG417" s="144">
        <f t="shared" si="350"/>
        <v>3.8023130119359379E-2</v>
      </c>
      <c r="BH417" s="66"/>
      <c r="BI417" s="170"/>
      <c r="BJ417" s="66"/>
      <c r="BK417" s="66">
        <f t="shared" si="351"/>
        <v>9141254</v>
      </c>
      <c r="BL417" s="66"/>
      <c r="BM417" s="144">
        <f t="shared" si="352"/>
        <v>3.8512331021542556E-2</v>
      </c>
      <c r="BN417" s="65">
        <f t="shared" si="353"/>
        <v>1097384.0245098039</v>
      </c>
      <c r="BO417" s="66"/>
      <c r="BP417" s="66">
        <f t="shared" si="354"/>
        <v>31895078</v>
      </c>
      <c r="BQ417" s="66"/>
      <c r="BR417" s="435">
        <f t="shared" si="355"/>
        <v>7.1236877007785637E-2</v>
      </c>
      <c r="BS417" s="66"/>
      <c r="BT417" s="75"/>
      <c r="BU417" s="170"/>
      <c r="BV417" s="1"/>
      <c r="BW417" s="61">
        <f t="shared" si="189"/>
        <v>408</v>
      </c>
    </row>
    <row r="418" spans="2:75" x14ac:dyDescent="0.3">
      <c r="B418" s="347">
        <f t="shared" si="163"/>
        <v>44318</v>
      </c>
      <c r="C418" s="61"/>
      <c r="D418" s="17">
        <v>30701</v>
      </c>
      <c r="E418" s="16"/>
      <c r="F418" s="16"/>
      <c r="G418" s="16"/>
      <c r="H418" s="16">
        <f t="shared" si="332"/>
        <v>32832757</v>
      </c>
      <c r="I418" s="16"/>
      <c r="J418" s="436">
        <f t="shared" si="333"/>
        <v>9.3594742963672769E-4</v>
      </c>
      <c r="K418" s="16"/>
      <c r="L418" s="16"/>
      <c r="M418" s="16"/>
      <c r="N418" s="577">
        <f t="shared" si="334"/>
        <v>348016</v>
      </c>
      <c r="O418" s="16">
        <f t="shared" si="335"/>
        <v>80275.689486552568</v>
      </c>
      <c r="P418" s="41"/>
      <c r="Q418" s="17">
        <f t="shared" si="336"/>
        <v>348016</v>
      </c>
      <c r="R418" s="16"/>
      <c r="S418" s="60">
        <f t="shared" si="337"/>
        <v>-0.12695892129194106</v>
      </c>
      <c r="T418" s="16"/>
      <c r="U418" s="41"/>
      <c r="V418" s="10">
        <f t="shared" si="356"/>
        <v>310</v>
      </c>
      <c r="W418" s="34">
        <v>312</v>
      </c>
      <c r="X418" s="33">
        <v>4256</v>
      </c>
      <c r="Y418" s="33"/>
      <c r="Z418" s="33">
        <f t="shared" si="338"/>
        <v>4466</v>
      </c>
      <c r="AA418" s="33">
        <f t="shared" si="339"/>
        <v>579614</v>
      </c>
      <c r="AB418" s="33"/>
      <c r="AC418" s="46">
        <f t="shared" si="340"/>
        <v>1.7653528151778421E-2</v>
      </c>
      <c r="AD418" s="33"/>
      <c r="AE418" s="33">
        <f t="shared" si="341"/>
        <v>1417.1491442542788</v>
      </c>
      <c r="AF418" s="50"/>
      <c r="AG418" s="33">
        <f t="shared" si="342"/>
        <v>4921</v>
      </c>
      <c r="AH418" s="33">
        <f t="shared" si="315"/>
        <v>1160726870.060914</v>
      </c>
      <c r="AI418" s="213">
        <f t="shared" si="343"/>
        <v>-5.4567502021018593E-3</v>
      </c>
      <c r="AJ418" s="50"/>
      <c r="AK418" s="111"/>
      <c r="AL418" s="23">
        <f t="shared" si="344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45"/>
        <v>1.7795457330606918E-3</v>
      </c>
      <c r="AS418" s="25"/>
      <c r="AT418" s="25"/>
      <c r="AU418" s="24"/>
      <c r="AV418" s="298">
        <f t="shared" si="346"/>
        <v>0.78652548124423427</v>
      </c>
      <c r="AW418" s="298"/>
      <c r="AX418" s="24">
        <f t="shared" si="347"/>
        <v>63138.875305623471</v>
      </c>
      <c r="AY418" s="308"/>
      <c r="AZ418" s="111"/>
      <c r="BA418" s="65">
        <f t="shared" si="348"/>
        <v>1251998</v>
      </c>
      <c r="BB418" s="66"/>
      <c r="BC418" s="66">
        <v>448984680</v>
      </c>
      <c r="BD418" s="66"/>
      <c r="BE418" s="66">
        <f t="shared" si="349"/>
        <v>30701</v>
      </c>
      <c r="BF418" s="66"/>
      <c r="BG418" s="144">
        <f t="shared" si="350"/>
        <v>2.4521604667100107E-2</v>
      </c>
      <c r="BH418" s="66"/>
      <c r="BI418" s="170"/>
      <c r="BJ418" s="66"/>
      <c r="BK418" s="66">
        <f t="shared" si="351"/>
        <v>9341188</v>
      </c>
      <c r="BL418" s="66"/>
      <c r="BM418" s="144">
        <f t="shared" si="352"/>
        <v>3.7256074923232463E-2</v>
      </c>
      <c r="BN418" s="65">
        <f t="shared" si="353"/>
        <v>1097762.0537897311</v>
      </c>
      <c r="BO418" s="66"/>
      <c r="BP418" s="66">
        <f t="shared" si="354"/>
        <v>31925779</v>
      </c>
      <c r="BQ418" s="66"/>
      <c r="BR418" s="435">
        <f t="shared" si="355"/>
        <v>7.1106611031806252E-2</v>
      </c>
      <c r="BS418" s="66"/>
      <c r="BT418" s="75"/>
      <c r="BU418" s="170"/>
      <c r="BV418" s="1"/>
      <c r="BW418" s="61">
        <f t="shared" si="189"/>
        <v>409</v>
      </c>
    </row>
    <row r="419" spans="2:75" x14ac:dyDescent="0.3">
      <c r="B419" s="158">
        <f t="shared" si="163"/>
        <v>44319</v>
      </c>
      <c r="C419" s="61"/>
      <c r="D419" s="17">
        <v>40454</v>
      </c>
      <c r="E419" s="16"/>
      <c r="F419" s="16"/>
      <c r="G419" s="16"/>
      <c r="H419" s="16">
        <f t="shared" ref="H419:H439" si="357">+H418+D419</f>
        <v>32873211</v>
      </c>
      <c r="I419" s="16"/>
      <c r="J419" s="436">
        <f t="shared" ref="J419:J439" si="358">+D419/H418</f>
        <v>1.2321231506693148E-3</v>
      </c>
      <c r="K419" s="16"/>
      <c r="L419" s="16"/>
      <c r="M419" s="16"/>
      <c r="N419" s="16">
        <f t="shared" ref="N419:N439" si="359">SUM(D413:D419)</f>
        <v>341014</v>
      </c>
      <c r="O419" s="16">
        <f t="shared" ref="O419:O439" si="360">+H419/BW419</f>
        <v>80178.563414634147</v>
      </c>
      <c r="P419" s="41"/>
      <c r="Q419" s="17">
        <f t="shared" ref="Q419:Q439" si="361">SUM(D413:D419)</f>
        <v>341014</v>
      </c>
      <c r="R419" s="16"/>
      <c r="S419" s="60">
        <f t="shared" ref="S419:S439" si="362">+(Q419-Q412)/Q412</f>
        <v>-0.135427996278183</v>
      </c>
      <c r="T419" s="16"/>
      <c r="U419" s="41"/>
      <c r="V419" s="10">
        <f t="shared" si="356"/>
        <v>311</v>
      </c>
      <c r="W419" s="34">
        <v>460</v>
      </c>
      <c r="X419" s="33">
        <v>4256</v>
      </c>
      <c r="Y419" s="33"/>
      <c r="Z419" s="33">
        <f t="shared" ref="Z419:Z439" si="363">SUM(W414:W419)</f>
        <v>4041</v>
      </c>
      <c r="AA419" s="33">
        <f t="shared" ref="AA419:AA439" si="364">+AA418+W419</f>
        <v>580074</v>
      </c>
      <c r="AB419" s="33"/>
      <c r="AC419" s="46">
        <f t="shared" ref="AC419:AC439" si="365">+AA419/H419</f>
        <v>1.7645796755297195E-2</v>
      </c>
      <c r="AD419" s="33"/>
      <c r="AE419" s="33">
        <f t="shared" ref="AE419:AE439" si="366">+AA419/BW419</f>
        <v>1414.8146341463414</v>
      </c>
      <c r="AF419" s="50"/>
      <c r="AG419" s="33">
        <f t="shared" ref="AG419:AG439" si="367">SUM(W413:W419)</f>
        <v>4926</v>
      </c>
      <c r="AH419" s="33">
        <f t="shared" si="315"/>
        <v>1160660716.060914</v>
      </c>
      <c r="AI419" s="213">
        <f t="shared" ref="AI419:AI439" si="368">+(AG419-AG412)/AG412</f>
        <v>2.2380467955239063E-3</v>
      </c>
      <c r="AJ419" s="50"/>
      <c r="AK419" s="111"/>
      <c r="AL419" s="23">
        <f t="shared" ref="AL419:AL439" si="369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70">+AL419/AP418</f>
        <v>3.2870452838079599E-3</v>
      </c>
      <c r="AS419" s="25"/>
      <c r="AT419" s="25"/>
      <c r="AU419" s="24"/>
      <c r="AV419" s="298">
        <f t="shared" ref="AV419:AV439" si="371">+AP419/H419</f>
        <v>0.78813974089723093</v>
      </c>
      <c r="AW419" s="298"/>
      <c r="AX419" s="24">
        <f t="shared" ref="AX419:AX439" si="372">+AP419/BW419</f>
        <v>63191.912195121949</v>
      </c>
      <c r="AY419" s="308"/>
      <c r="AZ419" s="111"/>
      <c r="BA419" s="65">
        <f t="shared" ref="BA419:BA439" si="373">+BC419-BC418</f>
        <v>1302508</v>
      </c>
      <c r="BB419" s="66"/>
      <c r="BC419" s="66">
        <v>450287188</v>
      </c>
      <c r="BD419" s="66"/>
      <c r="BE419" s="66">
        <f t="shared" ref="BE419:BE439" si="374">+D419</f>
        <v>40454</v>
      </c>
      <c r="BF419" s="66"/>
      <c r="BG419" s="144">
        <f t="shared" ref="BG419:BG439" si="375">+BE419/BA419</f>
        <v>3.1058542442733556E-2</v>
      </c>
      <c r="BH419" s="66"/>
      <c r="BI419" s="170"/>
      <c r="BJ419" s="66"/>
      <c r="BK419" s="66">
        <f t="shared" ref="BK419:BK439" si="376">SUM(BA413:BA419)</f>
        <v>9098343</v>
      </c>
      <c r="BL419" s="66"/>
      <c r="BM419" s="144">
        <f t="shared" ref="BM419:BM439" si="377">+Q419/BK419</f>
        <v>3.7480890751206017E-2</v>
      </c>
      <c r="BN419" s="65">
        <f t="shared" ref="BN419:BN439" si="378">+BC419/BW419</f>
        <v>1098261.4341463414</v>
      </c>
      <c r="BO419" s="66"/>
      <c r="BP419" s="66">
        <f t="shared" ref="BP419:BP439" si="379">+BP418+BE419</f>
        <v>31966233</v>
      </c>
      <c r="BQ419" s="66"/>
      <c r="BR419" s="435">
        <f t="shared" ref="BR419:BR439" si="380">+BP419/BC419</f>
        <v>7.0990767341130745E-2</v>
      </c>
      <c r="BS419" s="66"/>
      <c r="BT419" s="75"/>
      <c r="BU419" s="170"/>
      <c r="BV419" s="1"/>
      <c r="BW419" s="61">
        <f t="shared" si="189"/>
        <v>410</v>
      </c>
    </row>
    <row r="420" spans="2:75" x14ac:dyDescent="0.3">
      <c r="B420" s="158">
        <f t="shared" si="163"/>
        <v>44320</v>
      </c>
      <c r="C420" s="61"/>
      <c r="D420" s="17">
        <v>42354</v>
      </c>
      <c r="E420" s="16"/>
      <c r="F420" s="16"/>
      <c r="G420" s="16"/>
      <c r="H420" s="16">
        <f t="shared" si="357"/>
        <v>32915565</v>
      </c>
      <c r="I420" s="16"/>
      <c r="J420" s="436">
        <f t="shared" si="358"/>
        <v>1.2884047134914809E-3</v>
      </c>
      <c r="K420" s="16"/>
      <c r="L420" s="16"/>
      <c r="M420" s="16"/>
      <c r="N420" s="16">
        <f t="shared" si="359"/>
        <v>331322</v>
      </c>
      <c r="O420" s="16">
        <f t="shared" si="360"/>
        <v>80086.53284671533</v>
      </c>
      <c r="P420" s="41"/>
      <c r="Q420" s="17">
        <f t="shared" si="361"/>
        <v>331322</v>
      </c>
      <c r="R420" s="16"/>
      <c r="S420" s="60">
        <f t="shared" si="362"/>
        <v>-0.14200849388854361</v>
      </c>
      <c r="T420" s="16"/>
      <c r="U420" s="41"/>
      <c r="V420" s="10">
        <f t="shared" si="356"/>
        <v>312</v>
      </c>
      <c r="W420" s="34">
        <v>853</v>
      </c>
      <c r="X420" s="33">
        <v>4256</v>
      </c>
      <c r="Y420" s="33"/>
      <c r="Z420" s="33">
        <f t="shared" si="363"/>
        <v>3940</v>
      </c>
      <c r="AA420" s="33">
        <f t="shared" si="364"/>
        <v>580927</v>
      </c>
      <c r="AB420" s="33"/>
      <c r="AC420" s="46">
        <f t="shared" si="365"/>
        <v>1.764900587305732E-2</v>
      </c>
      <c r="AD420" s="33"/>
      <c r="AE420" s="33">
        <f t="shared" si="366"/>
        <v>1413.4476885644769</v>
      </c>
      <c r="AF420" s="50"/>
      <c r="AG420" s="33">
        <f t="shared" si="367"/>
        <v>4894</v>
      </c>
      <c r="AH420" s="33">
        <f t="shared" si="315"/>
        <v>1160623733.060914</v>
      </c>
      <c r="AI420" s="213">
        <f t="shared" si="368"/>
        <v>-4.6776489729509867E-3</v>
      </c>
      <c r="AJ420" s="50"/>
      <c r="AK420" s="111"/>
      <c r="AL420" s="23">
        <f t="shared" si="369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70"/>
        <v>2.227245505792575E-3</v>
      </c>
      <c r="AS420" s="25"/>
      <c r="AT420" s="25"/>
      <c r="AU420" s="24"/>
      <c r="AV420" s="298">
        <f t="shared" si="371"/>
        <v>0.78887872652345481</v>
      </c>
      <c r="AW420" s="298"/>
      <c r="AX420" s="24">
        <f t="shared" si="372"/>
        <v>63178.562043795624</v>
      </c>
      <c r="AY420" s="308"/>
      <c r="AZ420" s="111"/>
      <c r="BA420" s="65">
        <f t="shared" si="373"/>
        <v>959207</v>
      </c>
      <c r="BB420" s="66"/>
      <c r="BC420" s="66">
        <v>451246395</v>
      </c>
      <c r="BD420" s="66"/>
      <c r="BE420" s="66">
        <f t="shared" si="374"/>
        <v>42354</v>
      </c>
      <c r="BF420" s="66"/>
      <c r="BG420" s="144">
        <f t="shared" si="375"/>
        <v>4.4155224054870323E-2</v>
      </c>
      <c r="BH420" s="66"/>
      <c r="BI420" s="170"/>
      <c r="BJ420" s="66"/>
      <c r="BK420" s="66">
        <f t="shared" si="376"/>
        <v>9035743</v>
      </c>
      <c r="BL420" s="66"/>
      <c r="BM420" s="144">
        <f t="shared" si="377"/>
        <v>3.666793090507333E-2</v>
      </c>
      <c r="BN420" s="65">
        <f t="shared" si="378"/>
        <v>1097923.1021897809</v>
      </c>
      <c r="BO420" s="66"/>
      <c r="BP420" s="66">
        <f t="shared" si="379"/>
        <v>32008587</v>
      </c>
      <c r="BQ420" s="66"/>
      <c r="BR420" s="435">
        <f t="shared" si="380"/>
        <v>7.0933723470522125E-2</v>
      </c>
      <c r="BS420" s="66"/>
      <c r="BT420" s="75"/>
      <c r="BU420" s="170"/>
      <c r="BV420" s="1"/>
      <c r="BW420" s="61">
        <f t="shared" si="189"/>
        <v>411</v>
      </c>
    </row>
    <row r="421" spans="2:75" x14ac:dyDescent="0.3">
      <c r="B421" s="158">
        <f t="shared" si="163"/>
        <v>44321</v>
      </c>
      <c r="C421" s="61"/>
      <c r="D421" s="17">
        <v>46129</v>
      </c>
      <c r="E421" s="16"/>
      <c r="F421" s="16"/>
      <c r="G421" s="16"/>
      <c r="H421" s="16">
        <f t="shared" si="357"/>
        <v>32961694</v>
      </c>
      <c r="I421" s="16"/>
      <c r="J421" s="436">
        <f t="shared" si="358"/>
        <v>1.4014342454701902E-3</v>
      </c>
      <c r="K421" s="16"/>
      <c r="L421" s="16"/>
      <c r="M421" s="16"/>
      <c r="N421" s="16">
        <f t="shared" si="359"/>
        <v>320847</v>
      </c>
      <c r="O421" s="16">
        <f t="shared" si="360"/>
        <v>80004.111650485444</v>
      </c>
      <c r="P421" s="41"/>
      <c r="Q421" s="17">
        <f t="shared" si="361"/>
        <v>320847</v>
      </c>
      <c r="R421" s="16"/>
      <c r="S421" s="60">
        <f t="shared" si="362"/>
        <v>-0.15053996881180387</v>
      </c>
      <c r="T421" s="16"/>
      <c r="U421" s="41"/>
      <c r="V421" s="10">
        <f t="shared" si="356"/>
        <v>313</v>
      </c>
      <c r="W421" s="34">
        <v>743</v>
      </c>
      <c r="X421" s="33">
        <v>4256</v>
      </c>
      <c r="Y421" s="33"/>
      <c r="Z421" s="33">
        <f t="shared" si="363"/>
        <v>3813</v>
      </c>
      <c r="AA421" s="33">
        <f t="shared" si="364"/>
        <v>581670</v>
      </c>
      <c r="AB421" s="33"/>
      <c r="AC421" s="46">
        <f t="shared" si="365"/>
        <v>1.7646847883485601E-2</v>
      </c>
      <c r="AD421" s="33"/>
      <c r="AE421" s="33">
        <f t="shared" si="366"/>
        <v>1411.8203883495146</v>
      </c>
      <c r="AF421" s="50"/>
      <c r="AG421" s="33">
        <f t="shared" si="367"/>
        <v>4683</v>
      </c>
      <c r="AH421" s="33">
        <f t="shared" si="315"/>
        <v>1160566089.060914</v>
      </c>
      <c r="AI421" s="213">
        <f t="shared" si="368"/>
        <v>-6.2462462462462461E-2</v>
      </c>
      <c r="AJ421" s="50"/>
      <c r="AK421" s="111"/>
      <c r="AL421" s="23">
        <f t="shared" si="369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70"/>
        <v>2.654392953906683E-3</v>
      </c>
      <c r="AS421" s="25"/>
      <c r="AT421" s="25"/>
      <c r="AU421" s="24"/>
      <c r="AV421" s="298">
        <f t="shared" si="371"/>
        <v>0.78986577570922178</v>
      </c>
      <c r="AW421" s="298"/>
      <c r="AX421" s="24">
        <f t="shared" si="372"/>
        <v>63192.509708737867</v>
      </c>
      <c r="AY421" s="308"/>
      <c r="AZ421" s="111"/>
      <c r="BA421" s="65">
        <f t="shared" si="373"/>
        <v>1834660</v>
      </c>
      <c r="BB421" s="66"/>
      <c r="BC421" s="66">
        <v>453081055</v>
      </c>
      <c r="BD421" s="66"/>
      <c r="BE421" s="66">
        <f t="shared" si="374"/>
        <v>46129</v>
      </c>
      <c r="BF421" s="66"/>
      <c r="BG421" s="144">
        <f t="shared" si="375"/>
        <v>2.5143078281534455E-2</v>
      </c>
      <c r="BH421" s="66"/>
      <c r="BI421" s="170"/>
      <c r="BJ421" s="66"/>
      <c r="BK421" s="66">
        <f t="shared" si="376"/>
        <v>9094058</v>
      </c>
      <c r="BL421" s="66"/>
      <c r="BM421" s="144">
        <f t="shared" si="377"/>
        <v>3.5280949384752111E-2</v>
      </c>
      <c r="BN421" s="65">
        <f t="shared" si="378"/>
        <v>1099711.2985436893</v>
      </c>
      <c r="BO421" s="66"/>
      <c r="BP421" s="66">
        <f t="shared" si="379"/>
        <v>32054716</v>
      </c>
      <c r="BQ421" s="66"/>
      <c r="BR421" s="435">
        <f t="shared" si="380"/>
        <v>7.0748303523748085E-2</v>
      </c>
      <c r="BS421" s="66"/>
      <c r="BT421" s="75"/>
      <c r="BU421" s="170"/>
      <c r="BV421" s="1"/>
      <c r="BW421" s="61">
        <f t="shared" si="189"/>
        <v>412</v>
      </c>
    </row>
    <row r="422" spans="2:75" x14ac:dyDescent="0.3">
      <c r="B422" s="158">
        <f t="shared" si="163"/>
        <v>44322</v>
      </c>
      <c r="C422" s="61"/>
      <c r="D422" s="17">
        <v>47819</v>
      </c>
      <c r="E422" s="16"/>
      <c r="F422" s="16"/>
      <c r="G422" s="16"/>
      <c r="H422" s="16">
        <f t="shared" si="357"/>
        <v>33009513</v>
      </c>
      <c r="I422" s="16"/>
      <c r="J422" s="436">
        <f t="shared" si="358"/>
        <v>1.4507446128223871E-3</v>
      </c>
      <c r="K422" s="16"/>
      <c r="L422" s="16"/>
      <c r="M422" s="16"/>
      <c r="N422" s="16">
        <f t="shared" si="359"/>
        <v>309397</v>
      </c>
      <c r="O422" s="16">
        <f t="shared" si="360"/>
        <v>79926.181598062947</v>
      </c>
      <c r="P422" s="41"/>
      <c r="Q422" s="17">
        <f t="shared" si="361"/>
        <v>309397</v>
      </c>
      <c r="R422" s="16"/>
      <c r="S422" s="60">
        <f t="shared" si="362"/>
        <v>-0.16357939584651235</v>
      </c>
      <c r="T422" s="16"/>
      <c r="U422" s="41"/>
      <c r="V422" s="10">
        <f t="shared" si="356"/>
        <v>314</v>
      </c>
      <c r="W422" s="34">
        <v>860</v>
      </c>
      <c r="X422" s="33">
        <v>4256</v>
      </c>
      <c r="Y422" s="33"/>
      <c r="Z422" s="33">
        <f t="shared" si="363"/>
        <v>3889</v>
      </c>
      <c r="AA422" s="33">
        <f t="shared" si="364"/>
        <v>582530</v>
      </c>
      <c r="AB422" s="33"/>
      <c r="AC422" s="46">
        <f t="shared" si="365"/>
        <v>1.7647336996459172E-2</v>
      </c>
      <c r="AD422" s="33"/>
      <c r="AE422" s="33">
        <f t="shared" si="366"/>
        <v>1410.4842615012108</v>
      </c>
      <c r="AF422" s="50"/>
      <c r="AG422" s="33">
        <f t="shared" si="367"/>
        <v>4673</v>
      </c>
      <c r="AH422" s="33">
        <f t="shared" ref="AH422:AH485" si="381">SUM(D393:D1142)</f>
        <v>1160503806.060914</v>
      </c>
      <c r="AI422" s="213">
        <f t="shared" si="368"/>
        <v>-5.9569329845039244E-2</v>
      </c>
      <c r="AJ422" s="50"/>
      <c r="AK422" s="111"/>
      <c r="AL422" s="23">
        <f t="shared" si="369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70"/>
        <v>2.692381586025811E-3</v>
      </c>
      <c r="AS422" s="25"/>
      <c r="AT422" s="25"/>
      <c r="AU422" s="24"/>
      <c r="AV422" s="298">
        <f t="shared" si="371"/>
        <v>0.79084508153755551</v>
      </c>
      <c r="AW422" s="298"/>
      <c r="AX422" s="24">
        <f t="shared" si="372"/>
        <v>63209.227602905572</v>
      </c>
      <c r="AY422" s="308"/>
      <c r="AZ422" s="111"/>
      <c r="BA422" s="65">
        <f t="shared" si="373"/>
        <v>1372147</v>
      </c>
      <c r="BB422" s="66"/>
      <c r="BC422" s="66">
        <v>454453202</v>
      </c>
      <c r="BD422" s="66"/>
      <c r="BE422" s="66">
        <f t="shared" si="374"/>
        <v>47819</v>
      </c>
      <c r="BF422" s="66"/>
      <c r="BG422" s="144">
        <f t="shared" si="375"/>
        <v>3.4849764638919881E-2</v>
      </c>
      <c r="BH422" s="66"/>
      <c r="BI422" s="170"/>
      <c r="BJ422" s="66"/>
      <c r="BK422" s="66">
        <f t="shared" si="376"/>
        <v>9320519</v>
      </c>
      <c r="BL422" s="66"/>
      <c r="BM422" s="144">
        <f t="shared" si="377"/>
        <v>3.3195254470271454E-2</v>
      </c>
      <c r="BN422" s="65">
        <f t="shared" si="378"/>
        <v>1100370.9491525423</v>
      </c>
      <c r="BO422" s="66"/>
      <c r="BP422" s="66">
        <f t="shared" si="379"/>
        <v>32102535</v>
      </c>
      <c r="BQ422" s="66"/>
      <c r="BR422" s="435">
        <f t="shared" si="380"/>
        <v>7.0639913766082349E-2</v>
      </c>
      <c r="BS422" s="66"/>
      <c r="BT422" s="75"/>
      <c r="BU422" s="170"/>
      <c r="BV422" s="1"/>
      <c r="BW422" s="61">
        <f t="shared" si="189"/>
        <v>413</v>
      </c>
    </row>
    <row r="423" spans="2:75" x14ac:dyDescent="0.3">
      <c r="B423" s="158">
        <f t="shared" si="163"/>
        <v>44323</v>
      </c>
      <c r="C423" s="61"/>
      <c r="D423" s="17">
        <v>49491</v>
      </c>
      <c r="E423" s="16"/>
      <c r="F423" s="16"/>
      <c r="G423" s="16"/>
      <c r="H423" s="16">
        <f t="shared" si="357"/>
        <v>33059004</v>
      </c>
      <c r="I423" s="16"/>
      <c r="J423" s="436">
        <f t="shared" si="358"/>
        <v>1.4992950668493656E-3</v>
      </c>
      <c r="K423" s="16"/>
      <c r="L423" s="16"/>
      <c r="M423" s="16"/>
      <c r="N423" s="16">
        <f t="shared" si="359"/>
        <v>298982</v>
      </c>
      <c r="O423" s="16">
        <f t="shared" si="360"/>
        <v>79852.666666666672</v>
      </c>
      <c r="P423" s="41"/>
      <c r="Q423" s="17">
        <f t="shared" si="361"/>
        <v>298982</v>
      </c>
      <c r="R423" s="16"/>
      <c r="S423" s="60">
        <f t="shared" si="362"/>
        <v>-0.17703146461435135</v>
      </c>
      <c r="T423" s="16"/>
      <c r="U423" s="41"/>
      <c r="V423" s="10">
        <f t="shared" si="356"/>
        <v>315</v>
      </c>
      <c r="W423" s="34">
        <v>774</v>
      </c>
      <c r="X423" s="33">
        <v>4256</v>
      </c>
      <c r="Y423" s="33"/>
      <c r="Z423" s="33">
        <f t="shared" si="363"/>
        <v>4002</v>
      </c>
      <c r="AA423" s="33">
        <f t="shared" si="364"/>
        <v>583304</v>
      </c>
      <c r="AB423" s="33"/>
      <c r="AC423" s="46">
        <f t="shared" si="365"/>
        <v>1.7644330724543304E-2</v>
      </c>
      <c r="AD423" s="33"/>
      <c r="AE423" s="33">
        <f t="shared" si="366"/>
        <v>1408.9468599033817</v>
      </c>
      <c r="AF423" s="50"/>
      <c r="AG423" s="33">
        <f t="shared" si="367"/>
        <v>4663</v>
      </c>
      <c r="AH423" s="33">
        <f t="shared" si="381"/>
        <v>1160428623.060914</v>
      </c>
      <c r="AI423" s="213">
        <f t="shared" si="368"/>
        <v>-6.0447310094700786E-2</v>
      </c>
      <c r="AJ423" s="50"/>
      <c r="AK423" s="111"/>
      <c r="AL423" s="23">
        <f t="shared" si="369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70"/>
        <v>8.4023193505744845E-3</v>
      </c>
      <c r="AS423" s="25"/>
      <c r="AT423" s="25"/>
      <c r="AU423" s="24"/>
      <c r="AV423" s="298">
        <f t="shared" si="371"/>
        <v>0.79629613160759471</v>
      </c>
      <c r="AW423" s="298"/>
      <c r="AX423" s="24">
        <f t="shared" si="372"/>
        <v>63586.369565217392</v>
      </c>
      <c r="AY423" s="308"/>
      <c r="AZ423" s="111"/>
      <c r="BA423" s="65">
        <f t="shared" si="373"/>
        <v>1536629</v>
      </c>
      <c r="BB423" s="66"/>
      <c r="BC423" s="66">
        <v>455989831</v>
      </c>
      <c r="BD423" s="66"/>
      <c r="BE423" s="66">
        <f t="shared" si="374"/>
        <v>49491</v>
      </c>
      <c r="BF423" s="66"/>
      <c r="BG423" s="144">
        <f t="shared" si="375"/>
        <v>3.2207513980277609E-2</v>
      </c>
      <c r="BH423" s="66"/>
      <c r="BI423" s="170"/>
      <c r="BJ423" s="66"/>
      <c r="BK423" s="66">
        <f t="shared" si="376"/>
        <v>9362634</v>
      </c>
      <c r="BL423" s="66"/>
      <c r="BM423" s="144">
        <f t="shared" si="377"/>
        <v>3.1933534943264896E-2</v>
      </c>
      <c r="BN423" s="65">
        <f t="shared" si="378"/>
        <v>1101424.7125603864</v>
      </c>
      <c r="BO423" s="66"/>
      <c r="BP423" s="66">
        <f t="shared" si="379"/>
        <v>32152026</v>
      </c>
      <c r="BQ423" s="66"/>
      <c r="BR423" s="435">
        <f t="shared" si="380"/>
        <v>7.0510401360244362E-2</v>
      </c>
      <c r="BS423" s="66"/>
      <c r="BT423" s="75"/>
      <c r="BU423" s="170"/>
      <c r="BV423" s="1"/>
      <c r="BW423" s="61">
        <f t="shared" si="189"/>
        <v>414</v>
      </c>
    </row>
    <row r="424" spans="2:75" x14ac:dyDescent="0.3">
      <c r="B424" s="158">
        <f t="shared" si="163"/>
        <v>44324</v>
      </c>
      <c r="C424" s="61"/>
      <c r="D424" s="17">
        <v>35755</v>
      </c>
      <c r="E424" s="16"/>
      <c r="F424" s="16"/>
      <c r="G424" s="16"/>
      <c r="H424" s="16">
        <f t="shared" si="357"/>
        <v>33094759</v>
      </c>
      <c r="I424" s="16"/>
      <c r="J424" s="436">
        <f t="shared" si="358"/>
        <v>1.0815510352338504E-3</v>
      </c>
      <c r="K424" s="16"/>
      <c r="L424" s="16"/>
      <c r="M424" s="16"/>
      <c r="N424" s="16">
        <f t="shared" si="359"/>
        <v>292703</v>
      </c>
      <c r="O424" s="16">
        <f t="shared" si="360"/>
        <v>79746.407228915661</v>
      </c>
      <c r="P424" s="41"/>
      <c r="Q424" s="17">
        <f t="shared" si="361"/>
        <v>292703</v>
      </c>
      <c r="R424" s="16"/>
      <c r="S424" s="60">
        <f t="shared" si="362"/>
        <v>-0.16857784809587248</v>
      </c>
      <c r="T424" s="16"/>
      <c r="U424" s="41"/>
      <c r="V424" s="10">
        <f t="shared" si="356"/>
        <v>316</v>
      </c>
      <c r="W424" s="34">
        <v>648</v>
      </c>
      <c r="X424" s="33">
        <v>4256</v>
      </c>
      <c r="Y424" s="33"/>
      <c r="Z424" s="33">
        <f t="shared" si="363"/>
        <v>4338</v>
      </c>
      <c r="AA424" s="33">
        <f t="shared" si="364"/>
        <v>583952</v>
      </c>
      <c r="AB424" s="33"/>
      <c r="AC424" s="46">
        <f t="shared" si="365"/>
        <v>1.7644848237148365E-2</v>
      </c>
      <c r="AD424" s="33"/>
      <c r="AE424" s="33">
        <f t="shared" si="366"/>
        <v>1407.1132530120483</v>
      </c>
      <c r="AF424" s="50"/>
      <c r="AG424" s="33">
        <f t="shared" si="367"/>
        <v>4650</v>
      </c>
      <c r="AH424" s="33">
        <f t="shared" si="381"/>
        <v>1160348462.060914</v>
      </c>
      <c r="AI424" s="213">
        <f t="shared" si="368"/>
        <v>-4.7521507578861123E-2</v>
      </c>
      <c r="AJ424" s="50"/>
      <c r="AK424" s="111"/>
      <c r="AL424" s="23">
        <f t="shared" si="369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70"/>
        <v>3.081282003856674E-3</v>
      </c>
      <c r="AS424" s="25"/>
      <c r="AT424" s="25"/>
      <c r="AU424" s="24"/>
      <c r="AV424" s="298">
        <f t="shared" si="371"/>
        <v>0.79788678926472922</v>
      </c>
      <c r="AW424" s="298"/>
      <c r="AX424" s="24">
        <f t="shared" si="372"/>
        <v>63628.604819277105</v>
      </c>
      <c r="AY424" s="308"/>
      <c r="AZ424" s="111"/>
      <c r="BA424" s="65">
        <f t="shared" si="373"/>
        <v>1304842</v>
      </c>
      <c r="BB424" s="66"/>
      <c r="BC424" s="66">
        <v>457294673</v>
      </c>
      <c r="BD424" s="66"/>
      <c r="BE424" s="66">
        <f t="shared" si="374"/>
        <v>35755</v>
      </c>
      <c r="BF424" s="66"/>
      <c r="BG424" s="144">
        <f t="shared" si="375"/>
        <v>2.7401785043706443E-2</v>
      </c>
      <c r="BH424" s="66"/>
      <c r="BI424" s="170"/>
      <c r="BJ424" s="66"/>
      <c r="BK424" s="66">
        <f t="shared" si="376"/>
        <v>9561991</v>
      </c>
      <c r="BL424" s="66"/>
      <c r="BM424" s="144">
        <f t="shared" si="377"/>
        <v>3.0611093442777765E-2</v>
      </c>
      <c r="BN424" s="65">
        <f t="shared" si="378"/>
        <v>1101914.8746987951</v>
      </c>
      <c r="BO424" s="66"/>
      <c r="BP424" s="66">
        <f t="shared" si="379"/>
        <v>32187781</v>
      </c>
      <c r="BQ424" s="66"/>
      <c r="BR424" s="435">
        <f t="shared" si="380"/>
        <v>7.0387395481425169E-2</v>
      </c>
      <c r="BS424" s="66"/>
      <c r="BT424" s="75"/>
      <c r="BU424" s="170"/>
      <c r="BV424" s="1"/>
      <c r="BW424" s="61">
        <f t="shared" si="189"/>
        <v>415</v>
      </c>
    </row>
    <row r="425" spans="2:75" x14ac:dyDescent="0.3">
      <c r="B425" s="347">
        <f t="shared" si="163"/>
        <v>44325</v>
      </c>
      <c r="C425" s="61"/>
      <c r="D425" s="17">
        <v>22200</v>
      </c>
      <c r="E425" s="16"/>
      <c r="F425" s="16"/>
      <c r="G425" s="16"/>
      <c r="H425" s="16">
        <f t="shared" si="357"/>
        <v>33116959</v>
      </c>
      <c r="I425" s="16"/>
      <c r="J425" s="436">
        <f t="shared" si="358"/>
        <v>6.7080107759660672E-4</v>
      </c>
      <c r="K425" s="16"/>
      <c r="L425" s="16"/>
      <c r="M425" s="16"/>
      <c r="N425" s="577">
        <f t="shared" si="359"/>
        <v>284202</v>
      </c>
      <c r="O425" s="16">
        <f t="shared" si="360"/>
        <v>79608.074519230766</v>
      </c>
      <c r="P425" s="41"/>
      <c r="Q425" s="17">
        <f t="shared" si="361"/>
        <v>284202</v>
      </c>
      <c r="R425" s="16"/>
      <c r="S425" s="60">
        <f t="shared" si="362"/>
        <v>-0.18336513263757989</v>
      </c>
      <c r="T425" s="16"/>
      <c r="U425" s="41"/>
      <c r="V425" s="10">
        <f t="shared" si="356"/>
        <v>317</v>
      </c>
      <c r="W425" s="34">
        <v>241</v>
      </c>
      <c r="X425" s="33">
        <v>4256</v>
      </c>
      <c r="Y425" s="33"/>
      <c r="Z425" s="33">
        <f t="shared" si="363"/>
        <v>4119</v>
      </c>
      <c r="AA425" s="33">
        <f t="shared" si="364"/>
        <v>584193</v>
      </c>
      <c r="AB425" s="33"/>
      <c r="AC425" s="46">
        <f t="shared" si="365"/>
        <v>1.7640297226566001E-2</v>
      </c>
      <c r="AD425" s="33"/>
      <c r="AE425" s="33">
        <f t="shared" si="366"/>
        <v>1404.3100961538462</v>
      </c>
      <c r="AF425" s="50"/>
      <c r="AG425" s="33">
        <f t="shared" si="367"/>
        <v>4579</v>
      </c>
      <c r="AH425" s="33">
        <f t="shared" si="381"/>
        <v>1160263094.060914</v>
      </c>
      <c r="AI425" s="213">
        <f t="shared" si="368"/>
        <v>-6.9498069498069498E-2</v>
      </c>
      <c r="AJ425" s="50"/>
      <c r="AK425" s="111"/>
      <c r="AL425" s="23">
        <f t="shared" si="369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70"/>
        <v>1.2815710566790241E-3</v>
      </c>
      <c r="AS425" s="25"/>
      <c r="AT425" s="25"/>
      <c r="AU425" s="24"/>
      <c r="AV425" s="298">
        <f t="shared" si="371"/>
        <v>0.79837378788312052</v>
      </c>
      <c r="AW425" s="298"/>
      <c r="AX425" s="24">
        <f t="shared" si="372"/>
        <v>63557</v>
      </c>
      <c r="AY425" s="308"/>
      <c r="AZ425" s="111"/>
      <c r="BA425" s="65">
        <f t="shared" si="373"/>
        <v>873630</v>
      </c>
      <c r="BB425" s="66"/>
      <c r="BC425" s="66">
        <v>458168303</v>
      </c>
      <c r="BD425" s="66"/>
      <c r="BE425" s="66">
        <f t="shared" si="374"/>
        <v>22200</v>
      </c>
      <c r="BF425" s="66"/>
      <c r="BG425" s="144">
        <f t="shared" si="375"/>
        <v>2.541121527420075E-2</v>
      </c>
      <c r="BH425" s="66"/>
      <c r="BI425" s="170"/>
      <c r="BJ425" s="66"/>
      <c r="BK425" s="66">
        <f t="shared" si="376"/>
        <v>9183623</v>
      </c>
      <c r="BL425" s="66"/>
      <c r="BM425" s="144">
        <f t="shared" si="377"/>
        <v>3.0946610068814891E-2</v>
      </c>
      <c r="BN425" s="65">
        <f t="shared" si="378"/>
        <v>1101366.1129807692</v>
      </c>
      <c r="BO425" s="66"/>
      <c r="BP425" s="66">
        <f t="shared" si="379"/>
        <v>32209981</v>
      </c>
      <c r="BQ425" s="66"/>
      <c r="BR425" s="435">
        <f t="shared" si="380"/>
        <v>7.0301635423260608E-2</v>
      </c>
      <c r="BS425" s="66"/>
      <c r="BT425" s="75"/>
      <c r="BU425" s="170"/>
      <c r="BV425" s="1"/>
      <c r="BW425" s="61">
        <f t="shared" si="189"/>
        <v>416</v>
      </c>
    </row>
    <row r="426" spans="2:75" x14ac:dyDescent="0.3">
      <c r="B426" s="158">
        <f t="shared" si="163"/>
        <v>44326</v>
      </c>
      <c r="C426" s="61"/>
      <c r="D426" s="17">
        <v>30152</v>
      </c>
      <c r="E426" s="16"/>
      <c r="F426" s="16"/>
      <c r="G426" s="16"/>
      <c r="H426" s="16">
        <f t="shared" si="357"/>
        <v>33147111</v>
      </c>
      <c r="I426" s="16"/>
      <c r="J426" s="436">
        <f t="shared" si="358"/>
        <v>9.1047007063661855E-4</v>
      </c>
      <c r="K426" s="16"/>
      <c r="L426" s="16"/>
      <c r="M426" s="16"/>
      <c r="N426" s="16">
        <f t="shared" si="359"/>
        <v>273900</v>
      </c>
      <c r="O426" s="16">
        <f t="shared" si="360"/>
        <v>79489.474820143878</v>
      </c>
      <c r="P426" s="41"/>
      <c r="Q426" s="17">
        <f t="shared" si="361"/>
        <v>273900</v>
      </c>
      <c r="R426" s="16"/>
      <c r="S426" s="60">
        <f t="shared" si="362"/>
        <v>-0.19680716920712932</v>
      </c>
      <c r="T426" s="16"/>
      <c r="U426" s="41"/>
      <c r="V426" s="10">
        <f t="shared" si="356"/>
        <v>318</v>
      </c>
      <c r="W426" s="34">
        <v>387</v>
      </c>
      <c r="X426" s="33">
        <v>4256</v>
      </c>
      <c r="Y426" s="33"/>
      <c r="Z426" s="33">
        <f t="shared" si="363"/>
        <v>3653</v>
      </c>
      <c r="AA426" s="33">
        <f t="shared" si="364"/>
        <v>584580</v>
      </c>
      <c r="AB426" s="33"/>
      <c r="AC426" s="46">
        <f t="shared" si="365"/>
        <v>1.7635926099260957E-2</v>
      </c>
      <c r="AD426" s="33"/>
      <c r="AE426" s="33">
        <f t="shared" si="366"/>
        <v>1401.8705035971223</v>
      </c>
      <c r="AF426" s="50"/>
      <c r="AG426" s="33">
        <f t="shared" si="367"/>
        <v>4506</v>
      </c>
      <c r="AH426" s="33">
        <f t="shared" si="381"/>
        <v>1160196314.060914</v>
      </c>
      <c r="AI426" s="213">
        <f t="shared" si="368"/>
        <v>-8.5261875761266745E-2</v>
      </c>
      <c r="AJ426" s="50"/>
      <c r="AK426" s="111"/>
      <c r="AL426" s="23">
        <f t="shared" si="369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70"/>
        <v>2.5611095915114355E-3</v>
      </c>
      <c r="AS426" s="25"/>
      <c r="AT426" s="25"/>
      <c r="AU426" s="24"/>
      <c r="AV426" s="298">
        <f t="shared" si="371"/>
        <v>0.79969041645891858</v>
      </c>
      <c r="AW426" s="298"/>
      <c r="AX426" s="24">
        <f t="shared" si="372"/>
        <v>63566.971223021581</v>
      </c>
      <c r="AY426" s="308"/>
      <c r="AZ426" s="111"/>
      <c r="BA426" s="65">
        <f t="shared" si="373"/>
        <v>1252631</v>
      </c>
      <c r="BB426" s="66"/>
      <c r="BC426" s="66">
        <v>459420934</v>
      </c>
      <c r="BD426" s="66"/>
      <c r="BE426" s="66">
        <f t="shared" si="374"/>
        <v>30152</v>
      </c>
      <c r="BF426" s="66"/>
      <c r="BG426" s="144">
        <f t="shared" si="375"/>
        <v>2.4070935494970188E-2</v>
      </c>
      <c r="BH426" s="66"/>
      <c r="BI426" s="170"/>
      <c r="BJ426" s="66"/>
      <c r="BK426" s="66">
        <f t="shared" si="376"/>
        <v>9133746</v>
      </c>
      <c r="BL426" s="66"/>
      <c r="BM426" s="144">
        <f t="shared" si="377"/>
        <v>2.9987696176355244E-2</v>
      </c>
      <c r="BN426" s="65">
        <f t="shared" si="378"/>
        <v>1101728.8585131895</v>
      </c>
      <c r="BO426" s="66"/>
      <c r="BP426" s="66">
        <f t="shared" si="379"/>
        <v>32240133</v>
      </c>
      <c r="BQ426" s="66"/>
      <c r="BR426" s="435">
        <f t="shared" si="380"/>
        <v>7.0175585425108211E-2</v>
      </c>
      <c r="BS426" s="66"/>
      <c r="BT426" s="75"/>
      <c r="BU426" s="170"/>
      <c r="BV426" s="1"/>
      <c r="BW426" s="61">
        <f t="shared" si="189"/>
        <v>417</v>
      </c>
    </row>
    <row r="427" spans="2:75" x14ac:dyDescent="0.3">
      <c r="B427" s="158">
        <f t="shared" si="163"/>
        <v>44327</v>
      </c>
      <c r="C427" s="61"/>
      <c r="D427" s="17">
        <v>34904</v>
      </c>
      <c r="E427" s="16"/>
      <c r="F427" s="16"/>
      <c r="G427" s="16"/>
      <c r="H427" s="16">
        <f t="shared" si="357"/>
        <v>33182015</v>
      </c>
      <c r="I427" s="16"/>
      <c r="J427" s="436">
        <f t="shared" si="358"/>
        <v>1.0530027790355545E-3</v>
      </c>
      <c r="K427" s="16"/>
      <c r="L427" s="16"/>
      <c r="M427" s="16"/>
      <c r="N427" s="16">
        <f t="shared" si="359"/>
        <v>266450</v>
      </c>
      <c r="O427" s="16">
        <f t="shared" si="360"/>
        <v>79382.811004784686</v>
      </c>
      <c r="P427" s="41"/>
      <c r="Q427" s="17">
        <f t="shared" si="361"/>
        <v>266450</v>
      </c>
      <c r="R427" s="16"/>
      <c r="S427" s="60">
        <f t="shared" si="362"/>
        <v>-0.19579744176360156</v>
      </c>
      <c r="T427" s="16"/>
      <c r="U427" s="41"/>
      <c r="V427" s="10">
        <f t="shared" si="356"/>
        <v>319</v>
      </c>
      <c r="W427" s="34">
        <v>743</v>
      </c>
      <c r="X427" s="33">
        <v>4256</v>
      </c>
      <c r="Y427" s="33"/>
      <c r="Z427" s="33">
        <f t="shared" si="363"/>
        <v>3653</v>
      </c>
      <c r="AA427" s="33">
        <f t="shared" si="364"/>
        <v>585323</v>
      </c>
      <c r="AB427" s="33"/>
      <c r="AC427" s="46">
        <f t="shared" si="365"/>
        <v>1.7639766602480289E-2</v>
      </c>
      <c r="AD427" s="33"/>
      <c r="AE427" s="33">
        <f t="shared" si="366"/>
        <v>1400.2942583732058</v>
      </c>
      <c r="AF427" s="50"/>
      <c r="AG427" s="33">
        <f t="shared" si="367"/>
        <v>4396</v>
      </c>
      <c r="AH427" s="33">
        <f t="shared" si="381"/>
        <v>1160148440.060914</v>
      </c>
      <c r="AI427" s="213">
        <f t="shared" si="368"/>
        <v>-0.10175725378013895</v>
      </c>
      <c r="AJ427" s="50"/>
      <c r="AK427" s="111"/>
      <c r="AL427" s="23">
        <f t="shared" si="369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70"/>
        <v>1.9130864719536906E-3</v>
      </c>
      <c r="AS427" s="25"/>
      <c r="AT427" s="25"/>
      <c r="AU427" s="24"/>
      <c r="AV427" s="298">
        <f t="shared" si="371"/>
        <v>0.80037749365130473</v>
      </c>
      <c r="AW427" s="298"/>
      <c r="AX427" s="24">
        <f t="shared" si="372"/>
        <v>63536.215311004788</v>
      </c>
      <c r="AY427" s="308"/>
      <c r="AZ427" s="111"/>
      <c r="BA427" s="65">
        <f t="shared" si="373"/>
        <v>979552</v>
      </c>
      <c r="BB427" s="66"/>
      <c r="BC427" s="66">
        <v>460400486</v>
      </c>
      <c r="BD427" s="66"/>
      <c r="BE427" s="66">
        <f t="shared" si="374"/>
        <v>34904</v>
      </c>
      <c r="BF427" s="66"/>
      <c r="BG427" s="144">
        <f t="shared" si="375"/>
        <v>3.5632615726372871E-2</v>
      </c>
      <c r="BH427" s="66"/>
      <c r="BI427" s="170"/>
      <c r="BJ427" s="66"/>
      <c r="BK427" s="66">
        <f t="shared" si="376"/>
        <v>9154091</v>
      </c>
      <c r="BL427" s="66"/>
      <c r="BM427" s="144">
        <f t="shared" si="377"/>
        <v>2.9107204636702869E-2</v>
      </c>
      <c r="BN427" s="65">
        <f t="shared" si="378"/>
        <v>1101436.5693779904</v>
      </c>
      <c r="BO427" s="66"/>
      <c r="BP427" s="66">
        <f t="shared" si="379"/>
        <v>32275037</v>
      </c>
      <c r="BQ427" s="66"/>
      <c r="BR427" s="435">
        <f t="shared" si="380"/>
        <v>7.0102091508217917E-2</v>
      </c>
      <c r="BS427" s="66"/>
      <c r="BT427" s="75"/>
      <c r="BU427" s="170"/>
      <c r="BV427" s="1"/>
      <c r="BW427" s="61">
        <f t="shared" si="189"/>
        <v>418</v>
      </c>
    </row>
    <row r="428" spans="2:75" x14ac:dyDescent="0.3">
      <c r="B428" s="158">
        <f t="shared" si="163"/>
        <v>44328</v>
      </c>
      <c r="C428" s="61"/>
      <c r="D428" s="17">
        <v>35816</v>
      </c>
      <c r="E428" s="16"/>
      <c r="F428" s="16"/>
      <c r="G428" s="16"/>
      <c r="H428" s="16">
        <f t="shared" si="357"/>
        <v>33217831</v>
      </c>
      <c r="I428" s="16"/>
      <c r="J428" s="436">
        <f t="shared" si="358"/>
        <v>1.079379899020599E-3</v>
      </c>
      <c r="K428" s="16"/>
      <c r="L428" s="16"/>
      <c r="M428" s="16"/>
      <c r="N428" s="16">
        <f t="shared" si="359"/>
        <v>256137</v>
      </c>
      <c r="O428" s="16">
        <f t="shared" si="360"/>
        <v>79278.832935560858</v>
      </c>
      <c r="P428" s="41"/>
      <c r="Q428" s="17">
        <f t="shared" si="361"/>
        <v>256137</v>
      </c>
      <c r="R428" s="16"/>
      <c r="S428" s="60">
        <f t="shared" si="362"/>
        <v>-0.2016849152399742</v>
      </c>
      <c r="T428" s="16"/>
      <c r="U428" s="41"/>
      <c r="V428" s="10">
        <f t="shared" si="356"/>
        <v>320</v>
      </c>
      <c r="W428" s="34">
        <v>841</v>
      </c>
      <c r="X428" s="33">
        <v>4256</v>
      </c>
      <c r="Y428" s="33"/>
      <c r="Z428" s="33">
        <f t="shared" si="363"/>
        <v>3634</v>
      </c>
      <c r="AA428" s="33">
        <f t="shared" si="364"/>
        <v>586164</v>
      </c>
      <c r="AB428" s="33"/>
      <c r="AC428" s="46">
        <f t="shared" si="365"/>
        <v>1.7646064849929546E-2</v>
      </c>
      <c r="AD428" s="33"/>
      <c r="AE428" s="33">
        <f t="shared" si="366"/>
        <v>1398.9594272076372</v>
      </c>
      <c r="AF428" s="50"/>
      <c r="AG428" s="33">
        <f t="shared" si="367"/>
        <v>4494</v>
      </c>
      <c r="AH428" s="33">
        <f t="shared" si="381"/>
        <v>1160091918.060914</v>
      </c>
      <c r="AI428" s="213">
        <f t="shared" si="368"/>
        <v>-4.0358744394618833E-2</v>
      </c>
      <c r="AJ428" s="50"/>
      <c r="AK428" s="111"/>
      <c r="AL428" s="23">
        <f t="shared" si="369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70"/>
        <v>2.3379274556070157E-3</v>
      </c>
      <c r="AS428" s="25"/>
      <c r="AT428" s="25"/>
      <c r="AU428" s="24"/>
      <c r="AV428" s="298">
        <f t="shared" si="371"/>
        <v>0.80138372068904795</v>
      </c>
      <c r="AW428" s="298"/>
      <c r="AX428" s="24">
        <f t="shared" si="372"/>
        <v>63532.766109785203</v>
      </c>
      <c r="AY428" s="308"/>
      <c r="AZ428" s="111"/>
      <c r="BA428" s="65">
        <f t="shared" si="373"/>
        <v>1076057</v>
      </c>
      <c r="BB428" s="66"/>
      <c r="BC428" s="66">
        <v>461476543</v>
      </c>
      <c r="BD428" s="66"/>
      <c r="BE428" s="66">
        <f t="shared" si="374"/>
        <v>35816</v>
      </c>
      <c r="BF428" s="66"/>
      <c r="BG428" s="144">
        <f t="shared" si="375"/>
        <v>3.3284482141745279E-2</v>
      </c>
      <c r="BH428" s="66"/>
      <c r="BI428" s="170"/>
      <c r="BJ428" s="66"/>
      <c r="BK428" s="66">
        <f t="shared" si="376"/>
        <v>8395488</v>
      </c>
      <c r="BL428" s="66"/>
      <c r="BM428" s="144">
        <f t="shared" si="377"/>
        <v>3.0508887631070403E-2</v>
      </c>
      <c r="BN428" s="65">
        <f t="shared" si="378"/>
        <v>1101375.9976133651</v>
      </c>
      <c r="BO428" s="66"/>
      <c r="BP428" s="66">
        <f t="shared" si="379"/>
        <v>32310853</v>
      </c>
      <c r="BQ428" s="66"/>
      <c r="BR428" s="435">
        <f t="shared" si="380"/>
        <v>7.0016241323884579E-2</v>
      </c>
      <c r="BS428" s="66"/>
      <c r="BT428" s="75"/>
      <c r="BU428" s="170"/>
      <c r="BV428" s="1"/>
      <c r="BW428" s="61">
        <f t="shared" si="189"/>
        <v>419</v>
      </c>
    </row>
    <row r="429" spans="2:75" x14ac:dyDescent="0.3">
      <c r="B429" s="158">
        <f t="shared" si="163"/>
        <v>44329</v>
      </c>
      <c r="C429" s="61"/>
      <c r="D429" s="17">
        <v>39825</v>
      </c>
      <c r="E429" s="16"/>
      <c r="F429" s="16"/>
      <c r="G429" s="16"/>
      <c r="H429" s="16">
        <f t="shared" si="357"/>
        <v>33257656</v>
      </c>
      <c r="I429" s="16"/>
      <c r="J429" s="436">
        <f t="shared" si="358"/>
        <v>1.198904287278721E-3</v>
      </c>
      <c r="K429" s="16"/>
      <c r="L429" s="16"/>
      <c r="M429" s="16"/>
      <c r="N429" s="16">
        <f t="shared" si="359"/>
        <v>248143</v>
      </c>
      <c r="O429" s="16">
        <f t="shared" si="360"/>
        <v>79184.89523809524</v>
      </c>
      <c r="P429" s="41"/>
      <c r="Q429" s="17">
        <f t="shared" si="361"/>
        <v>248143</v>
      </c>
      <c r="R429" s="16"/>
      <c r="S429" s="60">
        <f t="shared" si="362"/>
        <v>-0.19797864879103547</v>
      </c>
      <c r="T429" s="16"/>
      <c r="U429" s="41"/>
      <c r="V429" s="10">
        <f t="shared" si="356"/>
        <v>321</v>
      </c>
      <c r="W429" s="34">
        <v>762</v>
      </c>
      <c r="X429" s="33">
        <v>4256</v>
      </c>
      <c r="Y429" s="33"/>
      <c r="Z429" s="33">
        <f t="shared" si="363"/>
        <v>3622</v>
      </c>
      <c r="AA429" s="33">
        <f t="shared" si="364"/>
        <v>586926</v>
      </c>
      <c r="AB429" s="33"/>
      <c r="AC429" s="46">
        <f t="shared" si="365"/>
        <v>1.7647846258317182E-2</v>
      </c>
      <c r="AD429" s="33"/>
      <c r="AE429" s="33">
        <f t="shared" si="366"/>
        <v>1397.4428571428571</v>
      </c>
      <c r="AF429" s="50"/>
      <c r="AG429" s="33">
        <f t="shared" si="367"/>
        <v>4396</v>
      </c>
      <c r="AH429" s="33">
        <f t="shared" si="381"/>
        <v>1160014198.060914</v>
      </c>
      <c r="AI429" s="213">
        <f t="shared" si="368"/>
        <v>-5.9276695912689921E-2</v>
      </c>
      <c r="AJ429" s="50"/>
      <c r="AK429" s="111"/>
      <c r="AL429" s="23">
        <f t="shared" si="369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70"/>
        <v>1.7644476311604984E-3</v>
      </c>
      <c r="AS429" s="25"/>
      <c r="AT429" s="25"/>
      <c r="AU429" s="24"/>
      <c r="AV429" s="298">
        <f t="shared" si="371"/>
        <v>0.80183639520476124</v>
      </c>
      <c r="AW429" s="298"/>
      <c r="AX429" s="24">
        <f t="shared" si="372"/>
        <v>63493.330952380951</v>
      </c>
      <c r="AY429" s="308"/>
      <c r="AZ429" s="111"/>
      <c r="BA429" s="65">
        <f t="shared" si="373"/>
        <v>1318757</v>
      </c>
      <c r="BB429" s="66"/>
      <c r="BC429" s="66">
        <v>462795300</v>
      </c>
      <c r="BD429" s="66"/>
      <c r="BE429" s="66">
        <f t="shared" si="374"/>
        <v>39825</v>
      </c>
      <c r="BF429" s="66"/>
      <c r="BG429" s="144">
        <f t="shared" si="375"/>
        <v>3.0198891835266087E-2</v>
      </c>
      <c r="BH429" s="66"/>
      <c r="BI429" s="170"/>
      <c r="BJ429" s="66"/>
      <c r="BK429" s="66">
        <f t="shared" si="376"/>
        <v>8342098</v>
      </c>
      <c r="BL429" s="66"/>
      <c r="BM429" s="144">
        <f t="shared" si="377"/>
        <v>2.9745874479057906E-2</v>
      </c>
      <c r="BN429" s="65">
        <f t="shared" si="378"/>
        <v>1101893.5714285714</v>
      </c>
      <c r="BO429" s="66"/>
      <c r="BP429" s="66">
        <f t="shared" si="379"/>
        <v>32350678</v>
      </c>
      <c r="BQ429" s="66"/>
      <c r="BR429" s="435">
        <f t="shared" si="380"/>
        <v>6.9902779911550528E-2</v>
      </c>
      <c r="BS429" s="66"/>
      <c r="BT429" s="75"/>
      <c r="BU429" s="170"/>
      <c r="BV429" s="1"/>
      <c r="BW429" s="61">
        <f t="shared" si="189"/>
        <v>420</v>
      </c>
    </row>
    <row r="430" spans="2:75" x14ac:dyDescent="0.3">
      <c r="B430" s="158">
        <f t="shared" si="163"/>
        <v>44330</v>
      </c>
      <c r="C430" s="61"/>
      <c r="D430" s="17">
        <v>39095</v>
      </c>
      <c r="E430" s="16"/>
      <c r="F430" s="16"/>
      <c r="G430" s="16"/>
      <c r="H430" s="16">
        <f t="shared" si="357"/>
        <v>33296751</v>
      </c>
      <c r="I430" s="16"/>
      <c r="J430" s="436">
        <f t="shared" si="358"/>
        <v>1.1755188038507585E-3</v>
      </c>
      <c r="K430" s="16"/>
      <c r="L430" s="16"/>
      <c r="M430" s="16"/>
      <c r="N430" s="16">
        <f t="shared" si="359"/>
        <v>237747</v>
      </c>
      <c r="O430" s="16">
        <f t="shared" si="360"/>
        <v>79089.669833729218</v>
      </c>
      <c r="P430" s="41"/>
      <c r="Q430" s="17">
        <f t="shared" si="361"/>
        <v>237747</v>
      </c>
      <c r="R430" s="16"/>
      <c r="S430" s="60">
        <f t="shared" si="362"/>
        <v>-0.20481166090266303</v>
      </c>
      <c r="T430" s="16"/>
      <c r="U430" s="41"/>
      <c r="V430" s="10">
        <f t="shared" si="356"/>
        <v>322</v>
      </c>
      <c r="W430" s="34">
        <v>733</v>
      </c>
      <c r="X430" s="33">
        <v>4256</v>
      </c>
      <c r="Y430" s="33"/>
      <c r="Z430" s="33">
        <f t="shared" si="363"/>
        <v>3707</v>
      </c>
      <c r="AA430" s="33">
        <f t="shared" si="364"/>
        <v>587659</v>
      </c>
      <c r="AB430" s="33"/>
      <c r="AC430" s="46">
        <f t="shared" si="365"/>
        <v>1.7649139401018435E-2</v>
      </c>
      <c r="AD430" s="33"/>
      <c r="AE430" s="33">
        <f t="shared" si="366"/>
        <v>1395.8646080760095</v>
      </c>
      <c r="AF430" s="50"/>
      <c r="AG430" s="33">
        <f t="shared" si="367"/>
        <v>4355</v>
      </c>
      <c r="AH430" s="33">
        <f t="shared" si="381"/>
        <v>1159935759.060914</v>
      </c>
      <c r="AI430" s="213">
        <f t="shared" si="368"/>
        <v>-6.6051897919794128E-2</v>
      </c>
      <c r="AJ430" s="50"/>
      <c r="AK430" s="111"/>
      <c r="AL430" s="23">
        <f t="shared" si="369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70"/>
        <v>1.71079084833769E-3</v>
      </c>
      <c r="AS430" s="25"/>
      <c r="AT430" s="25"/>
      <c r="AU430" s="24"/>
      <c r="AV430" s="298">
        <f t="shared" si="371"/>
        <v>0.80226509187037498</v>
      </c>
      <c r="AW430" s="298"/>
      <c r="AX430" s="24">
        <f t="shared" si="372"/>
        <v>63450.881235154397</v>
      </c>
      <c r="AY430" s="308"/>
      <c r="AZ430" s="111"/>
      <c r="BA430" s="65">
        <f t="shared" si="373"/>
        <v>1304242</v>
      </c>
      <c r="BB430" s="66"/>
      <c r="BC430" s="66">
        <v>464099542</v>
      </c>
      <c r="BD430" s="66"/>
      <c r="BE430" s="66">
        <f t="shared" si="374"/>
        <v>39095</v>
      </c>
      <c r="BF430" s="66"/>
      <c r="BG430" s="144">
        <f t="shared" si="375"/>
        <v>2.9975265326526824E-2</v>
      </c>
      <c r="BH430" s="66"/>
      <c r="BI430" s="170"/>
      <c r="BJ430" s="66"/>
      <c r="BK430" s="66">
        <f t="shared" si="376"/>
        <v>8109711</v>
      </c>
      <c r="BL430" s="66"/>
      <c r="BM430" s="144">
        <f t="shared" si="377"/>
        <v>2.9316334453841821E-2</v>
      </c>
      <c r="BN430" s="65">
        <f t="shared" si="378"/>
        <v>1102374.2090261283</v>
      </c>
      <c r="BO430" s="66"/>
      <c r="BP430" s="66">
        <f t="shared" si="379"/>
        <v>32389773</v>
      </c>
      <c r="BQ430" s="66"/>
      <c r="BR430" s="435">
        <f t="shared" si="380"/>
        <v>6.9790573074946058E-2</v>
      </c>
      <c r="BS430" s="66"/>
      <c r="BT430" s="75"/>
      <c r="BU430" s="170"/>
      <c r="BV430" s="1"/>
      <c r="BW430" s="61">
        <f t="shared" si="189"/>
        <v>421</v>
      </c>
    </row>
    <row r="431" spans="2:75" x14ac:dyDescent="0.3">
      <c r="B431" s="158">
        <f t="shared" si="163"/>
        <v>44331</v>
      </c>
      <c r="C431" s="61"/>
      <c r="D431" s="17">
        <v>25642</v>
      </c>
      <c r="E431" s="16"/>
      <c r="F431" s="16"/>
      <c r="G431" s="16"/>
      <c r="H431" s="16">
        <f t="shared" si="357"/>
        <v>33322393</v>
      </c>
      <c r="I431" s="16"/>
      <c r="J431" s="436">
        <f t="shared" si="358"/>
        <v>7.7010516731797641E-4</v>
      </c>
      <c r="K431" s="16"/>
      <c r="L431" s="16"/>
      <c r="M431" s="16"/>
      <c r="N431" s="16">
        <f t="shared" si="359"/>
        <v>227634</v>
      </c>
      <c r="O431" s="16">
        <f t="shared" si="360"/>
        <v>78963.016587677732</v>
      </c>
      <c r="P431" s="41"/>
      <c r="Q431" s="17">
        <f t="shared" si="361"/>
        <v>227634</v>
      </c>
      <c r="R431" s="16"/>
      <c r="S431" s="60">
        <f t="shared" si="362"/>
        <v>-0.22230383699517942</v>
      </c>
      <c r="T431" s="16"/>
      <c r="U431" s="41"/>
      <c r="V431" s="10">
        <f t="shared" si="356"/>
        <v>323</v>
      </c>
      <c r="W431" s="34">
        <v>499</v>
      </c>
      <c r="X431" s="33">
        <v>4256</v>
      </c>
      <c r="Y431" s="33"/>
      <c r="Z431" s="33">
        <f t="shared" si="363"/>
        <v>3965</v>
      </c>
      <c r="AA431" s="33">
        <f t="shared" si="364"/>
        <v>588158</v>
      </c>
      <c r="AB431" s="33"/>
      <c r="AC431" s="46">
        <f t="shared" si="365"/>
        <v>1.7650533081462666E-2</v>
      </c>
      <c r="AD431" s="33"/>
      <c r="AE431" s="33">
        <f t="shared" si="366"/>
        <v>1393.739336492891</v>
      </c>
      <c r="AF431" s="50"/>
      <c r="AG431" s="33">
        <f t="shared" si="367"/>
        <v>4206</v>
      </c>
      <c r="AH431" s="33">
        <f t="shared" si="381"/>
        <v>1159861280.060914</v>
      </c>
      <c r="AI431" s="213">
        <f t="shared" si="368"/>
        <v>-9.5483870967741941E-2</v>
      </c>
      <c r="AJ431" s="50"/>
      <c r="AK431" s="111"/>
      <c r="AL431" s="23">
        <f t="shared" si="369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70"/>
        <v>1.4442465660964823E-2</v>
      </c>
      <c r="AS431" s="25"/>
      <c r="AT431" s="25"/>
      <c r="AU431" s="24"/>
      <c r="AV431" s="298">
        <f t="shared" si="371"/>
        <v>0.81322550874422495</v>
      </c>
      <c r="AW431" s="298"/>
      <c r="AX431" s="24">
        <f t="shared" si="372"/>
        <v>64214.739336492894</v>
      </c>
      <c r="AY431" s="308"/>
      <c r="AZ431" s="111"/>
      <c r="BA431" s="65">
        <f t="shared" si="373"/>
        <v>1125402</v>
      </c>
      <c r="BB431" s="66"/>
      <c r="BC431" s="66">
        <v>465224944</v>
      </c>
      <c r="BD431" s="66"/>
      <c r="BE431" s="66">
        <f t="shared" si="374"/>
        <v>25642</v>
      </c>
      <c r="BF431" s="66"/>
      <c r="BG431" s="144">
        <f t="shared" si="375"/>
        <v>2.2784747139244464E-2</v>
      </c>
      <c r="BH431" s="66"/>
      <c r="BI431" s="170"/>
      <c r="BJ431" s="66"/>
      <c r="BK431" s="66">
        <f t="shared" si="376"/>
        <v>7930271</v>
      </c>
      <c r="BL431" s="66"/>
      <c r="BM431" s="144">
        <f t="shared" si="377"/>
        <v>2.8704441500170676E-2</v>
      </c>
      <c r="BN431" s="65">
        <f t="shared" si="378"/>
        <v>1102428.7772511849</v>
      </c>
      <c r="BO431" s="66"/>
      <c r="BP431" s="66">
        <f t="shared" si="379"/>
        <v>32415415</v>
      </c>
      <c r="BQ431" s="66"/>
      <c r="BR431" s="435">
        <f t="shared" si="380"/>
        <v>6.9676863672211001E-2</v>
      </c>
      <c r="BS431" s="66"/>
      <c r="BT431" s="75"/>
      <c r="BU431" s="170"/>
      <c r="BV431" s="1"/>
      <c r="BW431" s="61">
        <f t="shared" si="189"/>
        <v>422</v>
      </c>
    </row>
    <row r="432" spans="2:75" x14ac:dyDescent="0.3">
      <c r="B432" s="347">
        <f t="shared" si="163"/>
        <v>44332</v>
      </c>
      <c r="C432" s="61"/>
      <c r="D432" s="17">
        <v>17834</v>
      </c>
      <c r="E432" s="16"/>
      <c r="F432" s="16"/>
      <c r="G432" s="16"/>
      <c r="H432" s="16">
        <f t="shared" si="357"/>
        <v>33340227</v>
      </c>
      <c r="I432" s="16"/>
      <c r="J432" s="436">
        <f t="shared" si="358"/>
        <v>5.3519565656644165E-4</v>
      </c>
      <c r="K432" s="16"/>
      <c r="L432" s="16"/>
      <c r="M432" s="16"/>
      <c r="N432" s="577">
        <f t="shared" si="359"/>
        <v>223268</v>
      </c>
      <c r="O432" s="16">
        <f t="shared" si="360"/>
        <v>78818.503546099295</v>
      </c>
      <c r="P432" s="41"/>
      <c r="Q432" s="17">
        <f t="shared" si="361"/>
        <v>223268</v>
      </c>
      <c r="R432" s="16"/>
      <c r="S432" s="60">
        <f t="shared" si="362"/>
        <v>-0.21440383952259309</v>
      </c>
      <c r="T432" s="16"/>
      <c r="U432" s="41"/>
      <c r="V432" s="10">
        <f t="shared" si="356"/>
        <v>324</v>
      </c>
      <c r="W432" s="34">
        <v>289</v>
      </c>
      <c r="X432" s="33">
        <v>4256</v>
      </c>
      <c r="Y432" s="33"/>
      <c r="Z432" s="33">
        <f t="shared" si="363"/>
        <v>3867</v>
      </c>
      <c r="AA432" s="33">
        <f t="shared" si="364"/>
        <v>588447</v>
      </c>
      <c r="AB432" s="33"/>
      <c r="AC432" s="46">
        <f t="shared" si="365"/>
        <v>1.7649759853164766E-2</v>
      </c>
      <c r="AD432" s="33"/>
      <c r="AE432" s="33">
        <f t="shared" si="366"/>
        <v>1391.127659574468</v>
      </c>
      <c r="AF432" s="50"/>
      <c r="AG432" s="33">
        <f t="shared" si="367"/>
        <v>4254</v>
      </c>
      <c r="AH432" s="33">
        <f t="shared" si="381"/>
        <v>1159779507.060914</v>
      </c>
      <c r="AI432" s="213">
        <f t="shared" si="368"/>
        <v>-7.0976195675911777E-2</v>
      </c>
      <c r="AJ432" s="50"/>
      <c r="AK432" s="111"/>
      <c r="AL432" s="23">
        <f t="shared" si="369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70"/>
        <v>1.3801440811377112E-3</v>
      </c>
      <c r="AS432" s="25"/>
      <c r="AT432" s="25"/>
      <c r="AU432" s="24"/>
      <c r="AV432" s="298">
        <f t="shared" si="371"/>
        <v>0.8139122748024481</v>
      </c>
      <c r="AW432" s="298"/>
      <c r="AX432" s="24">
        <f t="shared" si="372"/>
        <v>64151.347517730494</v>
      </c>
      <c r="AY432" s="308"/>
      <c r="AZ432" s="111"/>
      <c r="BA432" s="65">
        <f t="shared" si="373"/>
        <v>831508</v>
      </c>
      <c r="BB432" s="66"/>
      <c r="BC432" s="66">
        <v>466056452</v>
      </c>
      <c r="BD432" s="66"/>
      <c r="BE432" s="66">
        <f t="shared" si="374"/>
        <v>17834</v>
      </c>
      <c r="BF432" s="66"/>
      <c r="BG432" s="144">
        <f t="shared" si="375"/>
        <v>2.1447779215593838E-2</v>
      </c>
      <c r="BH432" s="66"/>
      <c r="BI432" s="170"/>
      <c r="BJ432" s="66"/>
      <c r="BK432" s="66">
        <f t="shared" si="376"/>
        <v>7888149</v>
      </c>
      <c r="BL432" s="66"/>
      <c r="BM432" s="144">
        <f t="shared" si="377"/>
        <v>2.8304232082837177E-2</v>
      </c>
      <c r="BN432" s="65">
        <f t="shared" si="378"/>
        <v>1101788.3026004727</v>
      </c>
      <c r="BO432" s="66"/>
      <c r="BP432" s="66">
        <f t="shared" si="379"/>
        <v>32433249</v>
      </c>
      <c r="BQ432" s="66"/>
      <c r="BR432" s="435">
        <f t="shared" si="380"/>
        <v>6.9590816436117059E-2</v>
      </c>
      <c r="BS432" s="66"/>
      <c r="BT432" s="75"/>
      <c r="BU432" s="170"/>
      <c r="BV432" s="1"/>
      <c r="BW432" s="61">
        <f t="shared" si="189"/>
        <v>423</v>
      </c>
    </row>
    <row r="433" spans="2:75" x14ac:dyDescent="0.3">
      <c r="B433" s="158">
        <f t="shared" si="163"/>
        <v>44333</v>
      </c>
      <c r="C433" s="61"/>
      <c r="D433" s="17">
        <v>25030</v>
      </c>
      <c r="E433" s="16"/>
      <c r="F433" s="16"/>
      <c r="G433" s="16"/>
      <c r="H433" s="16">
        <f t="shared" si="357"/>
        <v>33365257</v>
      </c>
      <c r="I433" s="16"/>
      <c r="J433" s="436">
        <f t="shared" si="358"/>
        <v>7.5074473848063485E-4</v>
      </c>
      <c r="K433" s="16"/>
      <c r="L433" s="16"/>
      <c r="M433" s="16"/>
      <c r="N433" s="16">
        <f t="shared" si="359"/>
        <v>218146</v>
      </c>
      <c r="O433" s="16">
        <f t="shared" si="360"/>
        <v>78691.643867924533</v>
      </c>
      <c r="P433" s="41"/>
      <c r="Q433" s="17">
        <f t="shared" si="361"/>
        <v>218146</v>
      </c>
      <c r="R433" s="16"/>
      <c r="S433" s="60">
        <f t="shared" si="362"/>
        <v>-0.20355604235122307</v>
      </c>
      <c r="T433" s="16"/>
      <c r="U433" s="41"/>
      <c r="V433" s="10">
        <f t="shared" si="356"/>
        <v>325</v>
      </c>
      <c r="W433" s="34">
        <v>369</v>
      </c>
      <c r="X433" s="33">
        <v>4256</v>
      </c>
      <c r="Y433" s="33"/>
      <c r="Z433" s="33">
        <f t="shared" si="363"/>
        <v>3493</v>
      </c>
      <c r="AA433" s="33">
        <f t="shared" si="364"/>
        <v>588816</v>
      </c>
      <c r="AB433" s="33"/>
      <c r="AC433" s="46">
        <f t="shared" si="365"/>
        <v>1.7647578737367435E-2</v>
      </c>
      <c r="AD433" s="33"/>
      <c r="AE433" s="33">
        <f t="shared" si="366"/>
        <v>1388.7169811320755</v>
      </c>
      <c r="AF433" s="50"/>
      <c r="AG433" s="33">
        <f t="shared" si="367"/>
        <v>4236</v>
      </c>
      <c r="AH433" s="33">
        <f t="shared" si="381"/>
        <v>1159715926.060914</v>
      </c>
      <c r="AI433" s="213">
        <f t="shared" si="368"/>
        <v>-5.9920106524633823E-2</v>
      </c>
      <c r="AJ433" s="50"/>
      <c r="AK433" s="111"/>
      <c r="AL433" s="23">
        <f t="shared" si="369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70"/>
        <v>2.4428416547452427E-3</v>
      </c>
      <c r="AS433" s="25"/>
      <c r="AT433" s="25"/>
      <c r="AU433" s="24"/>
      <c r="AV433" s="298">
        <f t="shared" si="371"/>
        <v>0.81528846008888822</v>
      </c>
      <c r="AW433" s="298"/>
      <c r="AX433" s="24">
        <f t="shared" si="372"/>
        <v>64156.389150943396</v>
      </c>
      <c r="AY433" s="308"/>
      <c r="AZ433" s="111"/>
      <c r="BA433" s="65">
        <f t="shared" si="373"/>
        <v>1166344</v>
      </c>
      <c r="BB433" s="66"/>
      <c r="BC433" s="66">
        <v>467222796</v>
      </c>
      <c r="BD433" s="66"/>
      <c r="BE433" s="66">
        <f t="shared" si="374"/>
        <v>25030</v>
      </c>
      <c r="BF433" s="66"/>
      <c r="BG433" s="144">
        <f t="shared" si="375"/>
        <v>2.1460220998264664E-2</v>
      </c>
      <c r="BH433" s="66"/>
      <c r="BI433" s="170"/>
      <c r="BJ433" s="66"/>
      <c r="BK433" s="66">
        <f t="shared" si="376"/>
        <v>7801862</v>
      </c>
      <c r="BL433" s="66"/>
      <c r="BM433" s="144">
        <f t="shared" si="377"/>
        <v>2.7960761161886741E-2</v>
      </c>
      <c r="BN433" s="65">
        <f t="shared" si="378"/>
        <v>1101940.5566037735</v>
      </c>
      <c r="BO433" s="66"/>
      <c r="BP433" s="66">
        <f t="shared" si="379"/>
        <v>32458279</v>
      </c>
      <c r="BQ433" s="66"/>
      <c r="BR433" s="435">
        <f t="shared" si="380"/>
        <v>6.9470666409864129E-2</v>
      </c>
      <c r="BS433" s="66"/>
      <c r="BT433" s="75"/>
      <c r="BU433" s="170"/>
      <c r="BV433" s="1"/>
      <c r="BW433" s="61">
        <f t="shared" si="189"/>
        <v>424</v>
      </c>
    </row>
    <row r="434" spans="2:75" x14ac:dyDescent="0.3">
      <c r="B434" s="158">
        <f t="shared" si="163"/>
        <v>44334</v>
      </c>
      <c r="C434" s="61"/>
      <c r="D434" s="17">
        <v>27506</v>
      </c>
      <c r="E434" s="16"/>
      <c r="F434" s="16"/>
      <c r="G434" s="16"/>
      <c r="H434" s="16">
        <f t="shared" si="357"/>
        <v>33392763</v>
      </c>
      <c r="I434" s="16"/>
      <c r="J434" s="436">
        <f t="shared" si="358"/>
        <v>8.243904730001031E-4</v>
      </c>
      <c r="K434" s="16"/>
      <c r="L434" s="16"/>
      <c r="M434" s="16"/>
      <c r="N434" s="16">
        <f t="shared" si="359"/>
        <v>210748</v>
      </c>
      <c r="O434" s="16">
        <f t="shared" si="360"/>
        <v>78571.207058823536</v>
      </c>
      <c r="P434" s="41"/>
      <c r="Q434" s="17">
        <f t="shared" si="361"/>
        <v>210748</v>
      </c>
      <c r="R434" s="16"/>
      <c r="S434" s="60">
        <f t="shared" si="362"/>
        <v>-0.20905235503846875</v>
      </c>
      <c r="T434" s="16"/>
      <c r="U434" s="41"/>
      <c r="V434" s="10">
        <f t="shared" si="356"/>
        <v>326</v>
      </c>
      <c r="W434" s="34">
        <v>733</v>
      </c>
      <c r="X434" s="33">
        <v>4256</v>
      </c>
      <c r="Y434" s="33"/>
      <c r="Z434" s="33">
        <f t="shared" si="363"/>
        <v>3385</v>
      </c>
      <c r="AA434" s="33">
        <f t="shared" si="364"/>
        <v>589549</v>
      </c>
      <c r="AB434" s="33"/>
      <c r="AC434" s="46">
        <f t="shared" si="365"/>
        <v>1.765499308937089E-2</v>
      </c>
      <c r="AD434" s="33"/>
      <c r="AE434" s="33">
        <f t="shared" si="366"/>
        <v>1387.1741176470589</v>
      </c>
      <c r="AF434" s="50"/>
      <c r="AG434" s="33">
        <f t="shared" si="367"/>
        <v>4226</v>
      </c>
      <c r="AH434" s="33">
        <f t="shared" si="381"/>
        <v>1159672745.060914</v>
      </c>
      <c r="AI434" s="213">
        <f t="shared" si="368"/>
        <v>-3.8671519563239311E-2</v>
      </c>
      <c r="AJ434" s="50"/>
      <c r="AK434" s="111"/>
      <c r="AL434" s="23">
        <f t="shared" si="369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70"/>
        <v>1.8755025538457048E-3</v>
      </c>
      <c r="AS434" s="25"/>
      <c r="AT434" s="25"/>
      <c r="AU434" s="24"/>
      <c r="AV434" s="298">
        <f t="shared" si="371"/>
        <v>0.81614471375129993</v>
      </c>
      <c r="AW434" s="298"/>
      <c r="AX434" s="24">
        <f t="shared" si="372"/>
        <v>64125.475294117648</v>
      </c>
      <c r="AY434" s="308"/>
      <c r="AZ434" s="111"/>
      <c r="BA434" s="65">
        <f t="shared" si="373"/>
        <v>845306</v>
      </c>
      <c r="BB434" s="66"/>
      <c r="BC434" s="66">
        <v>468068102</v>
      </c>
      <c r="BD434" s="66"/>
      <c r="BE434" s="66">
        <f t="shared" si="374"/>
        <v>27506</v>
      </c>
      <c r="BF434" s="66"/>
      <c r="BG434" s="144">
        <f t="shared" si="375"/>
        <v>3.2539695684166446E-2</v>
      </c>
      <c r="BH434" s="66"/>
      <c r="BI434" s="170"/>
      <c r="BJ434" s="66"/>
      <c r="BK434" s="66">
        <f t="shared" si="376"/>
        <v>7667616</v>
      </c>
      <c r="BL434" s="66"/>
      <c r="BM434" s="144">
        <f t="shared" si="377"/>
        <v>2.7485466147496172E-2</v>
      </c>
      <c r="BN434" s="65">
        <f t="shared" si="378"/>
        <v>1101336.7105882354</v>
      </c>
      <c r="BO434" s="66"/>
      <c r="BP434" s="66">
        <f t="shared" si="379"/>
        <v>32485785</v>
      </c>
      <c r="BQ434" s="66"/>
      <c r="BR434" s="435">
        <f t="shared" si="380"/>
        <v>6.9403971048640267E-2</v>
      </c>
      <c r="BS434" s="66"/>
      <c r="BT434" s="75"/>
      <c r="BU434" s="170"/>
      <c r="BV434" s="1"/>
      <c r="BW434" s="61">
        <f t="shared" si="189"/>
        <v>425</v>
      </c>
    </row>
    <row r="435" spans="2:75" x14ac:dyDescent="0.3">
      <c r="B435" s="158">
        <f t="shared" si="163"/>
        <v>44335</v>
      </c>
      <c r="C435" s="61"/>
      <c r="D435" s="17">
        <v>28541</v>
      </c>
      <c r="E435" s="16"/>
      <c r="F435" s="16"/>
      <c r="G435" s="16"/>
      <c r="H435" s="16">
        <f t="shared" si="357"/>
        <v>33421304</v>
      </c>
      <c r="I435" s="16"/>
      <c r="J435" s="436">
        <f t="shared" si="358"/>
        <v>8.5470615294697236E-4</v>
      </c>
      <c r="K435" s="16"/>
      <c r="L435" s="16"/>
      <c r="M435" s="16"/>
      <c r="N435" s="16">
        <f t="shared" si="359"/>
        <v>203473</v>
      </c>
      <c r="O435" s="16">
        <f t="shared" si="360"/>
        <v>78453.765258215964</v>
      </c>
      <c r="P435" s="41"/>
      <c r="Q435" s="17">
        <f t="shared" si="361"/>
        <v>203473</v>
      </c>
      <c r="R435" s="16"/>
      <c r="S435" s="60">
        <f t="shared" si="362"/>
        <v>-0.20560871720993062</v>
      </c>
      <c r="T435" s="16"/>
      <c r="U435" s="41"/>
      <c r="V435" s="10">
        <f t="shared" si="356"/>
        <v>327</v>
      </c>
      <c r="W435" s="34">
        <v>636</v>
      </c>
      <c r="X435" s="33">
        <v>4256</v>
      </c>
      <c r="Y435" s="33"/>
      <c r="Z435" s="33">
        <f t="shared" si="363"/>
        <v>3259</v>
      </c>
      <c r="AA435" s="33">
        <f t="shared" si="364"/>
        <v>590185</v>
      </c>
      <c r="AB435" s="33"/>
      <c r="AC435" s="46">
        <f t="shared" si="365"/>
        <v>1.765894592263665E-2</v>
      </c>
      <c r="AD435" s="33"/>
      <c r="AE435" s="33">
        <f t="shared" si="366"/>
        <v>1385.4107981220657</v>
      </c>
      <c r="AF435" s="50"/>
      <c r="AG435" s="33">
        <f t="shared" si="367"/>
        <v>4021</v>
      </c>
      <c r="AH435" s="33">
        <f t="shared" si="381"/>
        <v>1159621095.060914</v>
      </c>
      <c r="AI435" s="213">
        <f t="shared" si="368"/>
        <v>-0.1052514463729417</v>
      </c>
      <c r="AJ435" s="50"/>
      <c r="AK435" s="111"/>
      <c r="AL435" s="23">
        <f t="shared" si="369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70"/>
        <v>1.682473482962282E-3</v>
      </c>
      <c r="AS435" s="25"/>
      <c r="AT435" s="25"/>
      <c r="AU435" s="24"/>
      <c r="AV435" s="298">
        <f t="shared" si="371"/>
        <v>0.81681971475439741</v>
      </c>
      <c r="AW435" s="298"/>
      <c r="AX435" s="24">
        <f t="shared" si="372"/>
        <v>64082.582159624413</v>
      </c>
      <c r="AY435" s="308"/>
      <c r="AZ435" s="111"/>
      <c r="BA435" s="65">
        <f t="shared" si="373"/>
        <v>877500</v>
      </c>
      <c r="BB435" s="66"/>
      <c r="BC435" s="66">
        <v>468945602</v>
      </c>
      <c r="BD435" s="66"/>
      <c r="BE435" s="66">
        <f t="shared" si="374"/>
        <v>28541</v>
      </c>
      <c r="BF435" s="66"/>
      <c r="BG435" s="144">
        <f t="shared" si="375"/>
        <v>3.2525356125356127E-2</v>
      </c>
      <c r="BH435" s="66"/>
      <c r="BI435" s="170"/>
      <c r="BJ435" s="66"/>
      <c r="BK435" s="66">
        <f t="shared" si="376"/>
        <v>7469059</v>
      </c>
      <c r="BL435" s="66"/>
      <c r="BM435" s="144">
        <f t="shared" si="377"/>
        <v>2.7242119790458208E-2</v>
      </c>
      <c r="BN435" s="65">
        <f t="shared" si="378"/>
        <v>1100811.2723004695</v>
      </c>
      <c r="BO435" s="66"/>
      <c r="BP435" s="66">
        <f t="shared" si="379"/>
        <v>32514326</v>
      </c>
      <c r="BQ435" s="66"/>
      <c r="BR435" s="435">
        <f t="shared" si="380"/>
        <v>6.9334963077444536E-2</v>
      </c>
      <c r="BS435" s="66"/>
      <c r="BT435" s="75"/>
      <c r="BU435" s="170"/>
      <c r="BV435" s="1"/>
      <c r="BW435" s="61">
        <f t="shared" si="189"/>
        <v>426</v>
      </c>
    </row>
    <row r="436" spans="2:75" x14ac:dyDescent="0.3">
      <c r="B436" s="158">
        <f t="shared" si="163"/>
        <v>44336</v>
      </c>
      <c r="C436" s="61"/>
      <c r="D436" s="17">
        <v>30214</v>
      </c>
      <c r="E436" s="16"/>
      <c r="F436" s="16"/>
      <c r="G436" s="16"/>
      <c r="H436" s="16">
        <f t="shared" si="357"/>
        <v>33451518</v>
      </c>
      <c r="I436" s="16"/>
      <c r="J436" s="436">
        <f t="shared" si="358"/>
        <v>9.0403414540617566E-4</v>
      </c>
      <c r="K436" s="16"/>
      <c r="L436" s="16"/>
      <c r="M436" s="16"/>
      <c r="N436" s="16">
        <f t="shared" si="359"/>
        <v>193862</v>
      </c>
      <c r="O436" s="16">
        <f t="shared" si="360"/>
        <v>78340.79156908665</v>
      </c>
      <c r="P436" s="41"/>
      <c r="Q436" s="17">
        <f t="shared" si="361"/>
        <v>193862</v>
      </c>
      <c r="R436" s="16"/>
      <c r="S436" s="60">
        <f t="shared" si="362"/>
        <v>-0.2187488665809634</v>
      </c>
      <c r="T436" s="16"/>
      <c r="U436" s="41"/>
      <c r="V436" s="10">
        <f t="shared" si="356"/>
        <v>328</v>
      </c>
      <c r="W436" s="34">
        <v>659</v>
      </c>
      <c r="X436" s="33">
        <v>4256</v>
      </c>
      <c r="Y436" s="33"/>
      <c r="Z436" s="33">
        <f t="shared" si="363"/>
        <v>3185</v>
      </c>
      <c r="AA436" s="33">
        <f t="shared" si="364"/>
        <v>590844</v>
      </c>
      <c r="AB436" s="33"/>
      <c r="AC436" s="46">
        <f t="shared" si="365"/>
        <v>1.7662696204100513E-2</v>
      </c>
      <c r="AD436" s="33"/>
      <c r="AE436" s="33">
        <f t="shared" si="366"/>
        <v>1383.7096018735363</v>
      </c>
      <c r="AF436" s="50"/>
      <c r="AG436" s="33">
        <f t="shared" si="367"/>
        <v>3918</v>
      </c>
      <c r="AH436" s="33">
        <f t="shared" si="381"/>
        <v>1159560778.060914</v>
      </c>
      <c r="AI436" s="213">
        <f t="shared" si="368"/>
        <v>-0.10873521383075523</v>
      </c>
      <c r="AJ436" s="50"/>
      <c r="AK436" s="111"/>
      <c r="AL436" s="23">
        <f t="shared" si="369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70"/>
        <v>2.1784903429333774E-3</v>
      </c>
      <c r="AS436" s="25"/>
      <c r="AT436" s="25"/>
      <c r="AU436" s="24"/>
      <c r="AV436" s="298">
        <f t="shared" si="371"/>
        <v>0.81785977545174482</v>
      </c>
      <c r="AW436" s="298"/>
      <c r="AX436" s="24">
        <f t="shared" si="372"/>
        <v>64071.782201405149</v>
      </c>
      <c r="AY436" s="308"/>
      <c r="AZ436" s="111"/>
      <c r="BA436" s="65">
        <f t="shared" si="373"/>
        <v>1172702</v>
      </c>
      <c r="BB436" s="66"/>
      <c r="BC436" s="66">
        <v>470118304</v>
      </c>
      <c r="BD436" s="66"/>
      <c r="BE436" s="66">
        <f t="shared" si="374"/>
        <v>30214</v>
      </c>
      <c r="BF436" s="66"/>
      <c r="BG436" s="144">
        <f t="shared" si="375"/>
        <v>2.5764431202470874E-2</v>
      </c>
      <c r="BH436" s="66"/>
      <c r="BI436" s="170"/>
      <c r="BJ436" s="66"/>
      <c r="BK436" s="66">
        <f t="shared" si="376"/>
        <v>7323004</v>
      </c>
      <c r="BL436" s="66"/>
      <c r="BM436" s="144">
        <f t="shared" si="377"/>
        <v>2.647301571868594E-2</v>
      </c>
      <c r="BN436" s="65">
        <f t="shared" si="378"/>
        <v>1100979.6346604216</v>
      </c>
      <c r="BO436" s="66"/>
      <c r="BP436" s="66">
        <f t="shared" si="379"/>
        <v>32544540</v>
      </c>
      <c r="BQ436" s="66"/>
      <c r="BR436" s="435">
        <f t="shared" si="380"/>
        <v>6.9226277137254377E-2</v>
      </c>
      <c r="BS436" s="66"/>
      <c r="BT436" s="75"/>
      <c r="BU436" s="170"/>
      <c r="BV436" s="1"/>
      <c r="BW436" s="61">
        <f t="shared" si="189"/>
        <v>427</v>
      </c>
    </row>
    <row r="437" spans="2:75" x14ac:dyDescent="0.3">
      <c r="B437" s="158">
        <f t="shared" si="163"/>
        <v>44337</v>
      </c>
      <c r="C437" s="61"/>
      <c r="D437" s="17">
        <v>29014</v>
      </c>
      <c r="E437" s="16"/>
      <c r="F437" s="16"/>
      <c r="G437" s="16"/>
      <c r="H437" s="16">
        <f t="shared" si="357"/>
        <v>33480532</v>
      </c>
      <c r="I437" s="16"/>
      <c r="J437" s="436">
        <f t="shared" si="358"/>
        <v>8.6734479433788327E-4</v>
      </c>
      <c r="K437" s="16"/>
      <c r="L437" s="16"/>
      <c r="M437" s="16"/>
      <c r="N437" s="16">
        <f t="shared" si="359"/>
        <v>183781</v>
      </c>
      <c r="O437" s="16">
        <f t="shared" si="360"/>
        <v>78225.542056074773</v>
      </c>
      <c r="P437" s="41"/>
      <c r="Q437" s="17">
        <f t="shared" si="361"/>
        <v>183781</v>
      </c>
      <c r="R437" s="16"/>
      <c r="S437" s="60">
        <f t="shared" si="362"/>
        <v>-0.22698919439572318</v>
      </c>
      <c r="T437" s="16"/>
      <c r="U437" s="41"/>
      <c r="V437" s="10">
        <f t="shared" si="356"/>
        <v>329</v>
      </c>
      <c r="W437" s="34">
        <v>657</v>
      </c>
      <c r="X437" s="33">
        <v>4256</v>
      </c>
      <c r="Y437" s="33"/>
      <c r="Z437" s="33">
        <f t="shared" si="363"/>
        <v>3343</v>
      </c>
      <c r="AA437" s="33">
        <f t="shared" si="364"/>
        <v>591501</v>
      </c>
      <c r="AB437" s="33"/>
      <c r="AC437" s="46">
        <f t="shared" si="365"/>
        <v>1.7667013176493135E-2</v>
      </c>
      <c r="AD437" s="33"/>
      <c r="AE437" s="33">
        <f t="shared" si="366"/>
        <v>1382.0116822429907</v>
      </c>
      <c r="AF437" s="50"/>
      <c r="AG437" s="33">
        <f t="shared" si="367"/>
        <v>3842</v>
      </c>
      <c r="AH437" s="33">
        <f t="shared" si="381"/>
        <v>1159495721.060914</v>
      </c>
      <c r="AI437" s="213">
        <f t="shared" si="368"/>
        <v>-0.11779563719862228</v>
      </c>
      <c r="AJ437" s="50"/>
      <c r="AK437" s="111"/>
      <c r="AL437" s="23">
        <f t="shared" si="369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70"/>
        <v>1.4904974664138228E-3</v>
      </c>
      <c r="AS437" s="25"/>
      <c r="AT437" s="25"/>
      <c r="AU437" s="24"/>
      <c r="AV437" s="298">
        <f t="shared" si="371"/>
        <v>0.81836898529569357</v>
      </c>
      <c r="AW437" s="298"/>
      <c r="AX437" s="24">
        <f t="shared" si="372"/>
        <v>64017.357476635516</v>
      </c>
      <c r="AY437" s="308"/>
      <c r="AZ437" s="111"/>
      <c r="BA437" s="65">
        <f t="shared" si="373"/>
        <v>1425608</v>
      </c>
      <c r="BB437" s="66"/>
      <c r="BC437" s="66">
        <v>471543912</v>
      </c>
      <c r="BD437" s="66"/>
      <c r="BE437" s="66">
        <f t="shared" si="374"/>
        <v>29014</v>
      </c>
      <c r="BF437" s="66"/>
      <c r="BG437" s="144">
        <f t="shared" si="375"/>
        <v>2.0352018226609279E-2</v>
      </c>
      <c r="BH437" s="66"/>
      <c r="BI437" s="170"/>
      <c r="BJ437" s="66"/>
      <c r="BK437" s="66">
        <f t="shared" si="376"/>
        <v>7444370</v>
      </c>
      <c r="BL437" s="66"/>
      <c r="BM437" s="144">
        <f t="shared" si="377"/>
        <v>2.4687246872468725E-2</v>
      </c>
      <c r="BN437" s="65">
        <f t="shared" si="378"/>
        <v>1101738.1121495327</v>
      </c>
      <c r="BO437" s="66"/>
      <c r="BP437" s="66">
        <f t="shared" si="379"/>
        <v>32573554</v>
      </c>
      <c r="BQ437" s="66"/>
      <c r="BR437" s="435">
        <f t="shared" si="380"/>
        <v>6.9078516700264381E-2</v>
      </c>
      <c r="BS437" s="66"/>
      <c r="BT437" s="75"/>
      <c r="BU437" s="170"/>
      <c r="BV437" s="1"/>
      <c r="BW437" s="61">
        <f t="shared" si="189"/>
        <v>428</v>
      </c>
    </row>
    <row r="438" spans="2:75" x14ac:dyDescent="0.3">
      <c r="B438" s="158">
        <f t="shared" si="163"/>
        <v>44338</v>
      </c>
      <c r="C438" s="61"/>
      <c r="D438" s="17">
        <v>19639</v>
      </c>
      <c r="E438" s="16"/>
      <c r="F438" s="16"/>
      <c r="G438" s="16"/>
      <c r="H438" s="16">
        <f t="shared" si="357"/>
        <v>33500171</v>
      </c>
      <c r="I438" s="16"/>
      <c r="J438" s="436">
        <f t="shared" si="358"/>
        <v>5.8657968756290965E-4</v>
      </c>
      <c r="K438" s="16"/>
      <c r="L438" s="16"/>
      <c r="M438" s="16"/>
      <c r="N438" s="16">
        <f t="shared" si="359"/>
        <v>177778</v>
      </c>
      <c r="O438" s="16">
        <f t="shared" si="360"/>
        <v>78088.976689976684</v>
      </c>
      <c r="P438" s="41"/>
      <c r="Q438" s="17">
        <f t="shared" si="361"/>
        <v>177778</v>
      </c>
      <c r="R438" s="16"/>
      <c r="S438" s="60">
        <f t="shared" si="362"/>
        <v>-0.21901824859203808</v>
      </c>
      <c r="T438" s="16"/>
      <c r="U438" s="41"/>
      <c r="V438" s="10">
        <f t="shared" si="356"/>
        <v>330</v>
      </c>
      <c r="W438" s="34">
        <v>468</v>
      </c>
      <c r="X438" s="33">
        <v>4256</v>
      </c>
      <c r="Y438" s="33"/>
      <c r="Z438" s="33">
        <f t="shared" si="363"/>
        <v>3522</v>
      </c>
      <c r="AA438" s="33">
        <f t="shared" si="364"/>
        <v>591969</v>
      </c>
      <c r="AB438" s="33"/>
      <c r="AC438" s="46">
        <f t="shared" si="365"/>
        <v>1.7670626218594526E-2</v>
      </c>
      <c r="AD438" s="33"/>
      <c r="AE438" s="33">
        <f t="shared" si="366"/>
        <v>1379.8811188811189</v>
      </c>
      <c r="AF438" s="50"/>
      <c r="AG438" s="33">
        <f t="shared" si="367"/>
        <v>3811</v>
      </c>
      <c r="AH438" s="33">
        <f t="shared" si="381"/>
        <v>1159428651.060914</v>
      </c>
      <c r="AI438" s="213">
        <f t="shared" si="368"/>
        <v>-9.3913456966238706E-2</v>
      </c>
      <c r="AJ438" s="50"/>
      <c r="AK438" s="111"/>
      <c r="AL438" s="23">
        <f t="shared" si="369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70"/>
        <v>2.6209670281814998E-3</v>
      </c>
      <c r="AS438" s="25"/>
      <c r="AT438" s="25"/>
      <c r="AU438" s="24"/>
      <c r="AV438" s="298">
        <f t="shared" si="371"/>
        <v>0.82003288878734382</v>
      </c>
      <c r="AW438" s="298"/>
      <c r="AX438" s="24">
        <f t="shared" si="372"/>
        <v>64035.529137529134</v>
      </c>
      <c r="AY438" s="308"/>
      <c r="AZ438" s="111"/>
      <c r="BA438" s="65">
        <f t="shared" si="373"/>
        <v>994699</v>
      </c>
      <c r="BB438" s="66"/>
      <c r="BC438" s="66">
        <v>472538611</v>
      </c>
      <c r="BD438" s="66"/>
      <c r="BE438" s="66">
        <f t="shared" si="374"/>
        <v>19639</v>
      </c>
      <c r="BF438" s="66"/>
      <c r="BG438" s="144">
        <f t="shared" si="375"/>
        <v>1.9743661147744191E-2</v>
      </c>
      <c r="BH438" s="66"/>
      <c r="BI438" s="170"/>
      <c r="BJ438" s="66"/>
      <c r="BK438" s="66">
        <f t="shared" si="376"/>
        <v>7313667</v>
      </c>
      <c r="BL438" s="66"/>
      <c r="BM438" s="144">
        <f t="shared" si="377"/>
        <v>2.4307642117148621E-2</v>
      </c>
      <c r="BN438" s="65">
        <f t="shared" si="378"/>
        <v>1101488.6037296038</v>
      </c>
      <c r="BO438" s="66"/>
      <c r="BP438" s="66">
        <f t="shared" si="379"/>
        <v>32593193</v>
      </c>
      <c r="BQ438" s="66"/>
      <c r="BR438" s="435">
        <f t="shared" si="380"/>
        <v>6.8974666283936739E-2</v>
      </c>
      <c r="BS438" s="66"/>
      <c r="BT438" s="75"/>
      <c r="BU438" s="170"/>
      <c r="BV438" s="1"/>
      <c r="BW438" s="61">
        <f t="shared" si="189"/>
        <v>429</v>
      </c>
    </row>
    <row r="439" spans="2:75" x14ac:dyDescent="0.3">
      <c r="B439" s="347">
        <f t="shared" si="163"/>
        <v>44339</v>
      </c>
      <c r="C439" s="61"/>
      <c r="D439" s="17">
        <v>13541</v>
      </c>
      <c r="E439" s="16"/>
      <c r="F439" s="16"/>
      <c r="G439" s="16"/>
      <c r="H439" s="16">
        <f t="shared" si="357"/>
        <v>33513712</v>
      </c>
      <c r="I439" s="16"/>
      <c r="J439" s="436">
        <f t="shared" si="358"/>
        <v>4.0420689195884999E-4</v>
      </c>
      <c r="K439" s="16"/>
      <c r="L439" s="16"/>
      <c r="M439" s="16"/>
      <c r="N439" s="7">
        <f t="shared" si="359"/>
        <v>173485</v>
      </c>
      <c r="O439" s="16">
        <f t="shared" si="360"/>
        <v>77938.865116279063</v>
      </c>
      <c r="P439" s="41"/>
      <c r="Q439" s="17">
        <f t="shared" si="361"/>
        <v>173485</v>
      </c>
      <c r="R439" s="16"/>
      <c r="S439" s="60">
        <f t="shared" si="362"/>
        <v>-0.22297418349248438</v>
      </c>
      <c r="T439" s="16"/>
      <c r="U439" s="41"/>
      <c r="V439" s="10">
        <f t="shared" si="356"/>
        <v>331</v>
      </c>
      <c r="W439" s="34">
        <v>228</v>
      </c>
      <c r="X439" s="33">
        <v>4256</v>
      </c>
      <c r="Y439" s="33"/>
      <c r="Z439" s="33">
        <f t="shared" si="363"/>
        <v>3381</v>
      </c>
      <c r="AA439" s="33">
        <f t="shared" si="364"/>
        <v>592197</v>
      </c>
      <c r="AB439" s="33"/>
      <c r="AC439" s="46">
        <f t="shared" si="365"/>
        <v>1.7670289701122933E-2</v>
      </c>
      <c r="AD439" s="33"/>
      <c r="AE439" s="33">
        <f t="shared" si="366"/>
        <v>1377.2023255813954</v>
      </c>
      <c r="AF439" s="50"/>
      <c r="AG439" s="33">
        <f t="shared" si="367"/>
        <v>3750</v>
      </c>
      <c r="AH439" s="33">
        <f t="shared" si="381"/>
        <v>1159362136.060914</v>
      </c>
      <c r="AI439" s="213">
        <f t="shared" si="368"/>
        <v>-0.11847672778561354</v>
      </c>
      <c r="AJ439" s="50"/>
      <c r="AK439" s="111"/>
      <c r="AL439" s="23">
        <f t="shared" si="369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70"/>
        <v>1.128926023803365E-3</v>
      </c>
      <c r="AS439" s="25"/>
      <c r="AT439" s="25"/>
      <c r="AU439" s="24"/>
      <c r="AV439" s="298">
        <f t="shared" si="371"/>
        <v>0.82062694219011012</v>
      </c>
      <c r="AW439" s="298"/>
      <c r="AX439" s="24">
        <f t="shared" si="372"/>
        <v>63958.732558139534</v>
      </c>
      <c r="AY439" s="308"/>
      <c r="AZ439" s="111"/>
      <c r="BA439" s="65">
        <f t="shared" si="373"/>
        <v>766245</v>
      </c>
      <c r="BB439" s="66"/>
      <c r="BC439" s="66">
        <v>473304856</v>
      </c>
      <c r="BD439" s="66"/>
      <c r="BE439" s="66">
        <f t="shared" si="374"/>
        <v>13541</v>
      </c>
      <c r="BF439" s="66"/>
      <c r="BG439" s="144">
        <f t="shared" si="375"/>
        <v>1.7671893454443421E-2</v>
      </c>
      <c r="BH439" s="66"/>
      <c r="BI439" s="170"/>
      <c r="BJ439" s="66"/>
      <c r="BK439" s="66">
        <f t="shared" si="376"/>
        <v>7248404</v>
      </c>
      <c r="BL439" s="66"/>
      <c r="BM439" s="144">
        <f t="shared" si="377"/>
        <v>2.3934234350072098E-2</v>
      </c>
      <c r="BN439" s="65">
        <f t="shared" si="378"/>
        <v>1100708.9674418604</v>
      </c>
      <c r="BO439" s="66"/>
      <c r="BP439" s="66">
        <f t="shared" si="379"/>
        <v>32606734</v>
      </c>
      <c r="BQ439" s="66"/>
      <c r="BR439" s="435">
        <f t="shared" si="380"/>
        <v>6.8891610949370866E-2</v>
      </c>
      <c r="BS439" s="66"/>
      <c r="BT439" s="75"/>
      <c r="BU439" s="170"/>
      <c r="BV439" s="1"/>
      <c r="BW439" s="61">
        <f t="shared" si="189"/>
        <v>430</v>
      </c>
    </row>
    <row r="440" spans="2:75" x14ac:dyDescent="0.3">
      <c r="B440" s="158">
        <f t="shared" si="163"/>
        <v>44340</v>
      </c>
      <c r="C440" s="61"/>
      <c r="D440" s="17">
        <v>20366</v>
      </c>
      <c r="E440" s="16"/>
      <c r="F440" s="16"/>
      <c r="G440" s="16"/>
      <c r="H440" s="16">
        <f t="shared" ref="H440:H471" si="382">+H439+D440</f>
        <v>33534078</v>
      </c>
      <c r="I440" s="16"/>
      <c r="J440" s="436">
        <f t="shared" ref="J440:J471" si="383">+D440/H439</f>
        <v>6.0769156218803814E-4</v>
      </c>
      <c r="K440" s="16"/>
      <c r="L440" s="16"/>
      <c r="M440" s="16"/>
      <c r="N440" s="16">
        <f t="shared" ref="N440:N471" si="384">SUM(D434:D440)</f>
        <v>168821</v>
      </c>
      <c r="O440" s="16">
        <f t="shared" ref="O440:O471" si="385">+H440/BW440</f>
        <v>77805.285382830625</v>
      </c>
      <c r="P440" s="41"/>
      <c r="Q440" s="17">
        <f t="shared" ref="Q440:Q471" si="386">SUM(D434:D440)</f>
        <v>168821</v>
      </c>
      <c r="R440" s="16"/>
      <c r="S440" s="60">
        <f t="shared" ref="S440:S471" si="387">+(Q440-Q433)/Q433</f>
        <v>-0.22611003639764193</v>
      </c>
      <c r="T440" s="16"/>
      <c r="U440" s="41"/>
      <c r="V440" s="10">
        <f t="shared" si="356"/>
        <v>332</v>
      </c>
      <c r="W440" s="34">
        <v>365</v>
      </c>
      <c r="X440" s="33">
        <v>4256</v>
      </c>
      <c r="Y440" s="33"/>
      <c r="Z440" s="33">
        <f t="shared" ref="Z440:Z471" si="388">SUM(W435:W440)</f>
        <v>3013</v>
      </c>
      <c r="AA440" s="33">
        <f t="shared" ref="AA440:AA471" si="389">+AA439+W440</f>
        <v>592562</v>
      </c>
      <c r="AB440" s="33"/>
      <c r="AC440" s="46">
        <f t="shared" ref="AC440:AC471" si="390">+AA440/H440</f>
        <v>1.767044258679186E-2</v>
      </c>
      <c r="AD440" s="33"/>
      <c r="AE440" s="33">
        <f t="shared" ref="AE440:AE471" si="391">+AA440/BW440</f>
        <v>1374.8538283062644</v>
      </c>
      <c r="AF440" s="50"/>
      <c r="AG440" s="33">
        <f t="shared" ref="AG440:AG471" si="392">SUM(W434:W440)</f>
        <v>3746</v>
      </c>
      <c r="AH440" s="33">
        <f t="shared" si="381"/>
        <v>1159308856.060914</v>
      </c>
      <c r="AI440" s="213">
        <f t="shared" ref="AI440:AI471" si="393">+(AG440-AG433)/AG433</f>
        <v>-0.11567516525023608</v>
      </c>
      <c r="AJ440" s="50"/>
      <c r="AK440" s="111"/>
      <c r="AL440" s="23">
        <f t="shared" ref="AL440:AL471" si="394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95">+AL440/AP439</f>
        <v>2.2425433841697707E-3</v>
      </c>
      <c r="AS440" s="25"/>
      <c r="AT440" s="25"/>
      <c r="AU440" s="24"/>
      <c r="AV440" s="298">
        <f t="shared" ref="AV440:AV471" si="396">+AP440/H440</f>
        <v>0.82196773085575814</v>
      </c>
      <c r="AW440" s="298"/>
      <c r="AX440" s="24">
        <f t="shared" ref="AX440:AX471" si="397">+AP440/BW440</f>
        <v>63953.433874709975</v>
      </c>
      <c r="AY440" s="308"/>
      <c r="AZ440" s="111"/>
      <c r="BA440" s="65">
        <f t="shared" ref="BA440:BA471" si="398">+BC440-BC439</f>
        <v>1063757</v>
      </c>
      <c r="BB440" s="66"/>
      <c r="BC440" s="66">
        <v>474368613</v>
      </c>
      <c r="BD440" s="66"/>
      <c r="BE440" s="66">
        <f t="shared" ref="BE440:BE471" si="399">+D440</f>
        <v>20366</v>
      </c>
      <c r="BF440" s="66"/>
      <c r="BG440" s="144">
        <f t="shared" ref="BG440:BG471" si="400">+BE440/BA440</f>
        <v>1.9145349924841858E-2</v>
      </c>
      <c r="BH440" s="66"/>
      <c r="BI440" s="170"/>
      <c r="BJ440" s="66"/>
      <c r="BK440" s="66">
        <f t="shared" ref="BK440:BK471" si="401">SUM(BA434:BA440)</f>
        <v>7145817</v>
      </c>
      <c r="BL440" s="66"/>
      <c r="BM440" s="144">
        <f t="shared" ref="BM440:BM471" si="402">+Q440/BK440</f>
        <v>2.3625150210255873E-2</v>
      </c>
      <c r="BN440" s="65">
        <f t="shared" ref="BN440:BN471" si="403">+BC440/BW440</f>
        <v>1100623.2320185616</v>
      </c>
      <c r="BO440" s="66"/>
      <c r="BP440" s="66">
        <f t="shared" ref="BP440:BP471" si="404">+BP439+BE440</f>
        <v>32627100</v>
      </c>
      <c r="BQ440" s="66"/>
      <c r="BR440" s="435">
        <f t="shared" ref="BR440:BR471" si="405">+BP440/BC440</f>
        <v>6.878005649163807E-2</v>
      </c>
      <c r="BS440" s="66"/>
      <c r="BT440" s="75"/>
      <c r="BU440" s="170"/>
      <c r="BV440" s="1"/>
      <c r="BW440" s="61">
        <f t="shared" si="189"/>
        <v>431</v>
      </c>
    </row>
    <row r="441" spans="2:75" x14ac:dyDescent="0.3">
      <c r="B441" s="158">
        <f t="shared" si="163"/>
        <v>44341</v>
      </c>
      <c r="C441" s="61"/>
      <c r="D441" s="17">
        <v>22738</v>
      </c>
      <c r="E441" s="16"/>
      <c r="F441" s="16"/>
      <c r="G441" s="16"/>
      <c r="H441" s="16">
        <f t="shared" si="382"/>
        <v>33556816</v>
      </c>
      <c r="I441" s="16"/>
      <c r="J441" s="436">
        <f t="shared" si="383"/>
        <v>6.780565131386645E-4</v>
      </c>
      <c r="K441" s="16"/>
      <c r="L441" s="16"/>
      <c r="M441" s="16"/>
      <c r="N441" s="16">
        <f t="shared" si="384"/>
        <v>164053</v>
      </c>
      <c r="O441" s="16">
        <f t="shared" si="385"/>
        <v>77677.814814814818</v>
      </c>
      <c r="P441" s="41"/>
      <c r="Q441" s="17">
        <f t="shared" si="386"/>
        <v>164053</v>
      </c>
      <c r="R441" s="16"/>
      <c r="S441" s="60">
        <f t="shared" si="387"/>
        <v>-0.22156793896027482</v>
      </c>
      <c r="T441" s="16"/>
      <c r="U441" s="41"/>
      <c r="V441" s="10">
        <f t="shared" si="356"/>
        <v>333</v>
      </c>
      <c r="W441" s="34">
        <v>669</v>
      </c>
      <c r="X441" s="33">
        <v>4256</v>
      </c>
      <c r="Y441" s="33"/>
      <c r="Z441" s="33">
        <f t="shared" si="388"/>
        <v>3046</v>
      </c>
      <c r="AA441" s="33">
        <f t="shared" si="389"/>
        <v>593231</v>
      </c>
      <c r="AB441" s="33"/>
      <c r="AC441" s="46">
        <f t="shared" si="390"/>
        <v>1.7678405484000629E-2</v>
      </c>
      <c r="AD441" s="33"/>
      <c r="AE441" s="33">
        <f t="shared" si="391"/>
        <v>1373.2199074074074</v>
      </c>
      <c r="AF441" s="50"/>
      <c r="AG441" s="33">
        <f t="shared" si="392"/>
        <v>3682</v>
      </c>
      <c r="AH441" s="33">
        <f t="shared" si="381"/>
        <v>1159274120.060914</v>
      </c>
      <c r="AI441" s="213">
        <f t="shared" si="393"/>
        <v>-0.12872692853762424</v>
      </c>
      <c r="AJ441" s="50"/>
      <c r="AK441" s="111"/>
      <c r="AL441" s="23">
        <f t="shared" si="394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95"/>
        <v>1.5423054695030789E-3</v>
      </c>
      <c r="AS441" s="25"/>
      <c r="AT441" s="25"/>
      <c r="AU441" s="24"/>
      <c r="AV441" s="298">
        <f t="shared" si="396"/>
        <v>0.82267763425469209</v>
      </c>
      <c r="AW441" s="298"/>
      <c r="AX441" s="24">
        <f t="shared" si="397"/>
        <v>63903.800925925927</v>
      </c>
      <c r="AY441" s="308"/>
      <c r="AZ441" s="111"/>
      <c r="BA441" s="65">
        <f t="shared" si="398"/>
        <v>858209</v>
      </c>
      <c r="BB441" s="66"/>
      <c r="BC441" s="66">
        <v>475226822</v>
      </c>
      <c r="BD441" s="66"/>
      <c r="BE441" s="66">
        <f t="shared" si="399"/>
        <v>22738</v>
      </c>
      <c r="BF441" s="66"/>
      <c r="BG441" s="144">
        <f t="shared" si="400"/>
        <v>2.6494711661145479E-2</v>
      </c>
      <c r="BH441" s="66"/>
      <c r="BI441" s="170"/>
      <c r="BJ441" s="66"/>
      <c r="BK441" s="66">
        <f t="shared" si="401"/>
        <v>7158720</v>
      </c>
      <c r="BL441" s="66"/>
      <c r="BM441" s="144">
        <f t="shared" si="402"/>
        <v>2.2916526976889725E-2</v>
      </c>
      <c r="BN441" s="65">
        <f t="shared" si="403"/>
        <v>1100062.0879629629</v>
      </c>
      <c r="BO441" s="66"/>
      <c r="BP441" s="66">
        <f t="shared" si="404"/>
        <v>32649838</v>
      </c>
      <c r="BQ441" s="66"/>
      <c r="BR441" s="435">
        <f t="shared" si="405"/>
        <v>6.8703693664832755E-2</v>
      </c>
      <c r="BS441" s="66"/>
      <c r="BT441" s="75"/>
      <c r="BU441" s="170"/>
      <c r="BV441" s="1"/>
      <c r="BW441" s="61">
        <f t="shared" si="189"/>
        <v>432</v>
      </c>
    </row>
    <row r="442" spans="2:75" x14ac:dyDescent="0.3">
      <c r="B442" s="158">
        <f t="shared" ref="B442:B518" si="406">1+B441</f>
        <v>44342</v>
      </c>
      <c r="C442" s="61"/>
      <c r="D442" s="17">
        <v>23500</v>
      </c>
      <c r="E442" s="16"/>
      <c r="F442" s="16"/>
      <c r="G442" s="16"/>
      <c r="H442" s="16">
        <f t="shared" si="382"/>
        <v>33580316</v>
      </c>
      <c r="I442" s="16"/>
      <c r="J442" s="436">
        <f t="shared" si="383"/>
        <v>7.0030482033813933E-4</v>
      </c>
      <c r="K442" s="16"/>
      <c r="L442" s="16"/>
      <c r="M442" s="16"/>
      <c r="N442" s="16">
        <f t="shared" si="384"/>
        <v>159012</v>
      </c>
      <c r="O442" s="16">
        <f t="shared" si="385"/>
        <v>77552.692840646647</v>
      </c>
      <c r="P442" s="41"/>
      <c r="Q442" s="17">
        <f t="shared" si="386"/>
        <v>159012</v>
      </c>
      <c r="R442" s="16"/>
      <c r="S442" s="60">
        <f t="shared" si="387"/>
        <v>-0.21851056405518177</v>
      </c>
      <c r="T442" s="16"/>
      <c r="U442" s="41"/>
      <c r="V442" s="10">
        <f t="shared" si="356"/>
        <v>334</v>
      </c>
      <c r="W442" s="34">
        <v>607</v>
      </c>
      <c r="X442" s="33">
        <v>4256</v>
      </c>
      <c r="Y442" s="33"/>
      <c r="Z442" s="33">
        <f t="shared" si="388"/>
        <v>2994</v>
      </c>
      <c r="AA442" s="33">
        <f t="shared" si="389"/>
        <v>593838</v>
      </c>
      <c r="AB442" s="33"/>
      <c r="AC442" s="46">
        <f t="shared" si="390"/>
        <v>1.7684109941073813E-2</v>
      </c>
      <c r="AD442" s="33"/>
      <c r="AE442" s="33">
        <f t="shared" si="391"/>
        <v>1371.4503464203233</v>
      </c>
      <c r="AF442" s="50"/>
      <c r="AG442" s="33">
        <f t="shared" si="392"/>
        <v>3653</v>
      </c>
      <c r="AH442" s="33">
        <f t="shared" si="381"/>
        <v>1159226664.060914</v>
      </c>
      <c r="AI442" s="213">
        <f t="shared" si="393"/>
        <v>-9.1519522506839091E-2</v>
      </c>
      <c r="AJ442" s="50"/>
      <c r="AK442" s="111"/>
      <c r="AL442" s="23">
        <f t="shared" si="394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95"/>
        <v>2.0222091640784423E-3</v>
      </c>
      <c r="AS442" s="25"/>
      <c r="AT442" s="25"/>
      <c r="AU442" s="24"/>
      <c r="AV442" s="298">
        <f t="shared" si="396"/>
        <v>0.82376437434358862</v>
      </c>
      <c r="AW442" s="298"/>
      <c r="AX442" s="24">
        <f t="shared" si="397"/>
        <v>63885.145496535799</v>
      </c>
      <c r="AY442" s="308"/>
      <c r="AZ442" s="111"/>
      <c r="BA442" s="65">
        <f t="shared" si="398"/>
        <v>913421</v>
      </c>
      <c r="BB442" s="66"/>
      <c r="BC442" s="66">
        <v>476140243</v>
      </c>
      <c r="BD442" s="66"/>
      <c r="BE442" s="66">
        <f t="shared" si="399"/>
        <v>23500</v>
      </c>
      <c r="BF442" s="66"/>
      <c r="BG442" s="144">
        <f t="shared" si="400"/>
        <v>2.5727457546958085E-2</v>
      </c>
      <c r="BH442" s="66"/>
      <c r="BI442" s="170"/>
      <c r="BJ442" s="66"/>
      <c r="BK442" s="66">
        <f t="shared" si="401"/>
        <v>7194641</v>
      </c>
      <c r="BL442" s="66"/>
      <c r="BM442" s="144">
        <f t="shared" si="402"/>
        <v>2.2101450232193655E-2</v>
      </c>
      <c r="BN442" s="65">
        <f t="shared" si="403"/>
        <v>1099631.0461893764</v>
      </c>
      <c r="BO442" s="66"/>
      <c r="BP442" s="66">
        <f t="shared" si="404"/>
        <v>32673338</v>
      </c>
      <c r="BQ442" s="66"/>
      <c r="BR442" s="435">
        <f t="shared" si="405"/>
        <v>6.862124863493213E-2</v>
      </c>
      <c r="BS442" s="66"/>
      <c r="BT442" s="75"/>
      <c r="BU442" s="170"/>
      <c r="BV442" s="1"/>
      <c r="BW442" s="61">
        <f t="shared" si="189"/>
        <v>433</v>
      </c>
    </row>
    <row r="443" spans="2:75" x14ac:dyDescent="0.3">
      <c r="B443" s="158">
        <f t="shared" si="406"/>
        <v>44343</v>
      </c>
      <c r="C443" s="61"/>
      <c r="D443" s="17">
        <v>24393</v>
      </c>
      <c r="E443" s="16"/>
      <c r="F443" s="16"/>
      <c r="G443" s="16"/>
      <c r="H443" s="16">
        <f t="shared" si="382"/>
        <v>33604709</v>
      </c>
      <c r="I443" s="16"/>
      <c r="J443" s="436">
        <f t="shared" si="383"/>
        <v>7.2640769669945929E-4</v>
      </c>
      <c r="K443" s="16"/>
      <c r="L443" s="16"/>
      <c r="M443" s="16"/>
      <c r="N443" s="16">
        <f t="shared" si="384"/>
        <v>153191</v>
      </c>
      <c r="O443" s="16">
        <f t="shared" si="385"/>
        <v>77430.205069124422</v>
      </c>
      <c r="P443" s="41"/>
      <c r="Q443" s="17">
        <f t="shared" si="386"/>
        <v>153191</v>
      </c>
      <c r="R443" s="16"/>
      <c r="S443" s="60">
        <f t="shared" si="387"/>
        <v>-0.20979356449433101</v>
      </c>
      <c r="T443" s="16"/>
      <c r="U443" s="41"/>
      <c r="V443" s="10">
        <f t="shared" si="356"/>
        <v>335</v>
      </c>
      <c r="W443" s="34">
        <v>630</v>
      </c>
      <c r="X443" s="33">
        <v>4256</v>
      </c>
      <c r="Y443" s="33"/>
      <c r="Z443" s="33">
        <f t="shared" si="388"/>
        <v>2967</v>
      </c>
      <c r="AA443" s="33">
        <f t="shared" si="389"/>
        <v>594468</v>
      </c>
      <c r="AB443" s="33"/>
      <c r="AC443" s="46">
        <f t="shared" si="390"/>
        <v>1.7690020764649383E-2</v>
      </c>
      <c r="AD443" s="33"/>
      <c r="AE443" s="33">
        <f t="shared" si="391"/>
        <v>1369.741935483871</v>
      </c>
      <c r="AF443" s="50"/>
      <c r="AG443" s="33">
        <f t="shared" si="392"/>
        <v>3624</v>
      </c>
      <c r="AH443" s="33">
        <f t="shared" si="381"/>
        <v>1159174618.060914</v>
      </c>
      <c r="AI443" s="213">
        <f t="shared" si="393"/>
        <v>-7.5038284839203676E-2</v>
      </c>
      <c r="AJ443" s="50"/>
      <c r="AK443" s="111"/>
      <c r="AL443" s="23">
        <f t="shared" si="394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95"/>
        <v>1.4319505544520066E-3</v>
      </c>
      <c r="AS443" s="25"/>
      <c r="AT443" s="25"/>
      <c r="AU443" s="24"/>
      <c r="AV443" s="298">
        <f t="shared" si="396"/>
        <v>0.82434515353190529</v>
      </c>
      <c r="AW443" s="298"/>
      <c r="AX443" s="24">
        <f t="shared" si="397"/>
        <v>63829.214285714283</v>
      </c>
      <c r="AY443" s="308"/>
      <c r="AZ443" s="111"/>
      <c r="BA443" s="65">
        <f t="shared" si="398"/>
        <v>1008406</v>
      </c>
      <c r="BB443" s="66"/>
      <c r="BC443" s="66">
        <v>477148649</v>
      </c>
      <c r="BD443" s="66"/>
      <c r="BE443" s="66">
        <f t="shared" si="399"/>
        <v>24393</v>
      </c>
      <c r="BF443" s="66"/>
      <c r="BG443" s="144">
        <f t="shared" si="400"/>
        <v>2.4189661703718543E-2</v>
      </c>
      <c r="BH443" s="66"/>
      <c r="BI443" s="170"/>
      <c r="BJ443" s="66"/>
      <c r="BK443" s="66">
        <f t="shared" si="401"/>
        <v>7030345</v>
      </c>
      <c r="BL443" s="66"/>
      <c r="BM443" s="144">
        <f t="shared" si="402"/>
        <v>2.1789969055572664E-2</v>
      </c>
      <c r="BN443" s="65">
        <f t="shared" si="403"/>
        <v>1099420.8502304147</v>
      </c>
      <c r="BO443" s="66"/>
      <c r="BP443" s="66">
        <f t="shared" si="404"/>
        <v>32697731</v>
      </c>
      <c r="BQ443" s="66"/>
      <c r="BR443" s="435">
        <f t="shared" si="405"/>
        <v>6.8527346914902407E-2</v>
      </c>
      <c r="BS443" s="66"/>
      <c r="BT443" s="75"/>
      <c r="BU443" s="170"/>
      <c r="BV443" s="1"/>
      <c r="BW443" s="61">
        <f t="shared" si="189"/>
        <v>434</v>
      </c>
    </row>
    <row r="444" spans="2:75" x14ac:dyDescent="0.3">
      <c r="B444" s="158">
        <f t="shared" si="406"/>
        <v>44344</v>
      </c>
      <c r="C444" s="61"/>
      <c r="D444" s="17">
        <v>22813</v>
      </c>
      <c r="E444" s="16"/>
      <c r="F444" s="16"/>
      <c r="G444" s="16"/>
      <c r="H444" s="16">
        <f t="shared" si="382"/>
        <v>33627522</v>
      </c>
      <c r="I444" s="16"/>
      <c r="J444" s="436">
        <f t="shared" si="383"/>
        <v>6.7886319146521991E-4</v>
      </c>
      <c r="K444" s="16"/>
      <c r="L444" s="16"/>
      <c r="M444" s="16"/>
      <c r="N444" s="16">
        <f t="shared" si="384"/>
        <v>146990</v>
      </c>
      <c r="O444" s="16">
        <f t="shared" si="385"/>
        <v>77304.64827586207</v>
      </c>
      <c r="P444" s="41"/>
      <c r="Q444" s="17">
        <f t="shared" si="386"/>
        <v>146990</v>
      </c>
      <c r="R444" s="16"/>
      <c r="S444" s="60">
        <f t="shared" si="387"/>
        <v>-0.20018935580936006</v>
      </c>
      <c r="T444" s="16"/>
      <c r="U444" s="41"/>
      <c r="V444" s="10">
        <f t="shared" si="356"/>
        <v>336</v>
      </c>
      <c r="W444" s="34">
        <v>627</v>
      </c>
      <c r="X444" s="33">
        <v>4256</v>
      </c>
      <c r="Y444" s="33"/>
      <c r="Z444" s="33">
        <f t="shared" si="388"/>
        <v>3126</v>
      </c>
      <c r="AA444" s="33">
        <f t="shared" si="389"/>
        <v>595095</v>
      </c>
      <c r="AB444" s="33"/>
      <c r="AC444" s="46">
        <f t="shared" si="390"/>
        <v>1.7696665249375198E-2</v>
      </c>
      <c r="AD444" s="33"/>
      <c r="AE444" s="33">
        <f t="shared" si="391"/>
        <v>1368.0344827586207</v>
      </c>
      <c r="AF444" s="50"/>
      <c r="AG444" s="33">
        <f t="shared" si="392"/>
        <v>3594</v>
      </c>
      <c r="AH444" s="33">
        <f t="shared" si="381"/>
        <v>1159118014.060914</v>
      </c>
      <c r="AI444" s="213">
        <f t="shared" si="393"/>
        <v>-6.4549713690786048E-2</v>
      </c>
      <c r="AJ444" s="50"/>
      <c r="AK444" s="111"/>
      <c r="AL444" s="23">
        <f t="shared" si="394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95"/>
        <v>2.3522231109304897E-3</v>
      </c>
      <c r="AS444" s="25"/>
      <c r="AT444" s="25"/>
      <c r="AU444" s="24"/>
      <c r="AV444" s="298">
        <f t="shared" si="396"/>
        <v>0.82572364386528396</v>
      </c>
      <c r="AW444" s="298"/>
      <c r="AX444" s="24">
        <f t="shared" si="397"/>
        <v>63832.275862068964</v>
      </c>
      <c r="AY444" s="308"/>
      <c r="AZ444" s="111"/>
      <c r="BA444" s="65">
        <f t="shared" si="398"/>
        <v>992768</v>
      </c>
      <c r="BB444" s="66"/>
      <c r="BC444" s="66">
        <v>478141417</v>
      </c>
      <c r="BD444" s="66"/>
      <c r="BE444" s="66">
        <f t="shared" si="399"/>
        <v>22813</v>
      </c>
      <c r="BF444" s="66"/>
      <c r="BG444" s="144">
        <f t="shared" si="400"/>
        <v>2.297918546931408E-2</v>
      </c>
      <c r="BH444" s="66"/>
      <c r="BI444" s="170"/>
      <c r="BJ444" s="66"/>
      <c r="BK444" s="66">
        <f t="shared" si="401"/>
        <v>6597505</v>
      </c>
      <c r="BL444" s="66"/>
      <c r="BM444" s="144">
        <f t="shared" si="402"/>
        <v>2.2279634498192879E-2</v>
      </c>
      <c r="BN444" s="65">
        <f t="shared" si="403"/>
        <v>1099175.6712643679</v>
      </c>
      <c r="BO444" s="66"/>
      <c r="BP444" s="66">
        <f t="shared" si="404"/>
        <v>32720544</v>
      </c>
      <c r="BQ444" s="66"/>
      <c r="BR444" s="435">
        <f t="shared" si="405"/>
        <v>6.8432774983807773E-2</v>
      </c>
      <c r="BS444" s="66"/>
      <c r="BT444" s="75"/>
      <c r="BU444" s="170"/>
      <c r="BV444" s="1"/>
      <c r="BW444" s="61">
        <f t="shared" si="189"/>
        <v>435</v>
      </c>
    </row>
    <row r="445" spans="2:75" x14ac:dyDescent="0.3">
      <c r="B445" s="158">
        <f t="shared" si="406"/>
        <v>44345</v>
      </c>
      <c r="C445" s="61"/>
      <c r="D445" s="17">
        <v>12661</v>
      </c>
      <c r="E445" s="16"/>
      <c r="F445" s="16"/>
      <c r="G445" s="16"/>
      <c r="H445" s="16">
        <f t="shared" si="382"/>
        <v>33640183</v>
      </c>
      <c r="I445" s="16"/>
      <c r="J445" s="436">
        <f t="shared" si="383"/>
        <v>3.7650707655473395E-4</v>
      </c>
      <c r="K445" s="16"/>
      <c r="L445" s="16"/>
      <c r="M445" s="16"/>
      <c r="N445" s="16">
        <f t="shared" si="384"/>
        <v>140012</v>
      </c>
      <c r="O445" s="16">
        <f t="shared" si="385"/>
        <v>77156.383027522941</v>
      </c>
      <c r="P445" s="41"/>
      <c r="Q445" s="17">
        <f t="shared" si="386"/>
        <v>140012</v>
      </c>
      <c r="R445" s="16"/>
      <c r="S445" s="60">
        <f t="shared" si="387"/>
        <v>-0.21243348445814442</v>
      </c>
      <c r="T445" s="16"/>
      <c r="U445" s="41"/>
      <c r="V445" s="10">
        <f t="shared" si="356"/>
        <v>337</v>
      </c>
      <c r="W445" s="34">
        <v>350</v>
      </c>
      <c r="X445" s="33">
        <v>4256</v>
      </c>
      <c r="Y445" s="33"/>
      <c r="Z445" s="33">
        <f t="shared" si="388"/>
        <v>3248</v>
      </c>
      <c r="AA445" s="33">
        <f t="shared" si="389"/>
        <v>595445</v>
      </c>
      <c r="AB445" s="33"/>
      <c r="AC445" s="46">
        <f t="shared" si="390"/>
        <v>1.770040906138947E-2</v>
      </c>
      <c r="AD445" s="33"/>
      <c r="AE445" s="33">
        <f t="shared" si="391"/>
        <v>1365.6995412844037</v>
      </c>
      <c r="AF445" s="50"/>
      <c r="AG445" s="33">
        <f t="shared" si="392"/>
        <v>3476</v>
      </c>
      <c r="AH445" s="33">
        <f t="shared" si="381"/>
        <v>1159058745.060914</v>
      </c>
      <c r="AI445" s="213">
        <f t="shared" si="393"/>
        <v>-8.7903437418000524E-2</v>
      </c>
      <c r="AJ445" s="50"/>
      <c r="AK445" s="111"/>
      <c r="AL445" s="23">
        <f t="shared" si="394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95"/>
        <v>1.8698788203567972E-3</v>
      </c>
      <c r="AS445" s="25"/>
      <c r="AT445" s="25"/>
      <c r="AU445" s="24"/>
      <c r="AV445" s="298">
        <f t="shared" si="396"/>
        <v>0.82695629212242994</v>
      </c>
      <c r="AW445" s="298"/>
      <c r="AX445" s="24">
        <f t="shared" si="397"/>
        <v>63804.956422018346</v>
      </c>
      <c r="AY445" s="308"/>
      <c r="AZ445" s="111"/>
      <c r="BA445" s="65">
        <f t="shared" si="398"/>
        <v>775719</v>
      </c>
      <c r="BB445" s="66"/>
      <c r="BC445" s="66">
        <v>478917136</v>
      </c>
      <c r="BD445" s="66"/>
      <c r="BE445" s="66">
        <f t="shared" si="399"/>
        <v>12661</v>
      </c>
      <c r="BF445" s="66"/>
      <c r="BG445" s="144">
        <f t="shared" si="400"/>
        <v>1.6321631931150327E-2</v>
      </c>
      <c r="BH445" s="66"/>
      <c r="BI445" s="170"/>
      <c r="BJ445" s="66"/>
      <c r="BK445" s="66">
        <f t="shared" si="401"/>
        <v>6378525</v>
      </c>
      <c r="BL445" s="66"/>
      <c r="BM445" s="144">
        <f t="shared" si="402"/>
        <v>2.1950529315162989E-2</v>
      </c>
      <c r="BN445" s="65">
        <f t="shared" si="403"/>
        <v>1098433.7981651376</v>
      </c>
      <c r="BO445" s="66"/>
      <c r="BP445" s="66">
        <f t="shared" si="404"/>
        <v>32733205</v>
      </c>
      <c r="BQ445" s="66"/>
      <c r="BR445" s="435">
        <f t="shared" si="405"/>
        <v>6.8348368724897746E-2</v>
      </c>
      <c r="BS445" s="66"/>
      <c r="BT445" s="75"/>
      <c r="BU445" s="170"/>
      <c r="BV445" s="1"/>
      <c r="BW445" s="61">
        <f t="shared" si="189"/>
        <v>436</v>
      </c>
    </row>
    <row r="446" spans="2:75" x14ac:dyDescent="0.3">
      <c r="B446" s="347">
        <f t="shared" si="406"/>
        <v>44346</v>
      </c>
      <c r="C446" s="61"/>
      <c r="D446" s="17">
        <v>7750</v>
      </c>
      <c r="E446" s="16"/>
      <c r="F446" s="16"/>
      <c r="G446" s="16"/>
      <c r="H446" s="16">
        <f t="shared" si="382"/>
        <v>33647933</v>
      </c>
      <c r="I446" s="16"/>
      <c r="J446" s="436">
        <f t="shared" si="383"/>
        <v>2.3037924615332801E-4</v>
      </c>
      <c r="K446" s="16"/>
      <c r="L446" s="16"/>
      <c r="M446" s="16"/>
      <c r="N446" s="16">
        <f t="shared" si="384"/>
        <v>134221</v>
      </c>
      <c r="O446" s="16">
        <f t="shared" si="385"/>
        <v>76997.558352402746</v>
      </c>
      <c r="P446" s="41"/>
      <c r="Q446" s="17">
        <f t="shared" si="386"/>
        <v>134221</v>
      </c>
      <c r="R446" s="16"/>
      <c r="S446" s="60">
        <f t="shared" si="387"/>
        <v>-0.2263250425108799</v>
      </c>
      <c r="T446" s="16"/>
      <c r="U446" s="41"/>
      <c r="V446" s="10">
        <f t="shared" si="356"/>
        <v>338</v>
      </c>
      <c r="W446" s="34">
        <v>124</v>
      </c>
      <c r="X446" s="33">
        <v>4256</v>
      </c>
      <c r="Y446" s="33"/>
      <c r="Z446" s="33">
        <f t="shared" si="388"/>
        <v>3007</v>
      </c>
      <c r="AA446" s="33">
        <f t="shared" si="389"/>
        <v>595569</v>
      </c>
      <c r="AB446" s="33"/>
      <c r="AC446" s="46">
        <f t="shared" si="390"/>
        <v>1.7700017412659495E-2</v>
      </c>
      <c r="AD446" s="33"/>
      <c r="AE446" s="33">
        <f t="shared" si="391"/>
        <v>1362.8581235697941</v>
      </c>
      <c r="AF446" s="50"/>
      <c r="AG446" s="33">
        <f t="shared" si="392"/>
        <v>3372</v>
      </c>
      <c r="AH446" s="33">
        <f t="shared" si="381"/>
        <v>1158998839.060914</v>
      </c>
      <c r="AI446" s="213">
        <f t="shared" si="393"/>
        <v>-0.1008</v>
      </c>
      <c r="AJ446" s="50"/>
      <c r="AK446" s="111"/>
      <c r="AL446" s="23">
        <f t="shared" si="394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95"/>
        <v>7.880596259508038E-4</v>
      </c>
      <c r="AS446" s="25"/>
      <c r="AT446" s="25"/>
      <c r="AU446" s="24"/>
      <c r="AV446" s="298">
        <f t="shared" si="396"/>
        <v>0.82741736320028925</v>
      </c>
      <c r="AW446" s="298"/>
      <c r="AX446" s="24">
        <f t="shared" si="397"/>
        <v>63709.116704805492</v>
      </c>
      <c r="AY446" s="308"/>
      <c r="AZ446" s="111"/>
      <c r="BA446" s="65">
        <f t="shared" si="398"/>
        <v>573759</v>
      </c>
      <c r="BB446" s="66"/>
      <c r="BC446" s="66">
        <v>479490895</v>
      </c>
      <c r="BD446" s="66"/>
      <c r="BE446" s="66">
        <f t="shared" si="399"/>
        <v>7750</v>
      </c>
      <c r="BF446" s="66"/>
      <c r="BG446" s="144">
        <f t="shared" si="400"/>
        <v>1.350741339133678E-2</v>
      </c>
      <c r="BH446" s="66"/>
      <c r="BI446" s="170"/>
      <c r="BJ446" s="66"/>
      <c r="BK446" s="66">
        <f t="shared" si="401"/>
        <v>6186039</v>
      </c>
      <c r="BL446" s="66"/>
      <c r="BM446" s="144">
        <f t="shared" si="402"/>
        <v>2.1697406046098319E-2</v>
      </c>
      <c r="BN446" s="65">
        <f t="shared" si="403"/>
        <v>1097233.1693363844</v>
      </c>
      <c r="BO446" s="66"/>
      <c r="BP446" s="66">
        <f t="shared" si="404"/>
        <v>32740955</v>
      </c>
      <c r="BQ446" s="66"/>
      <c r="BR446" s="435">
        <f t="shared" si="405"/>
        <v>6.8282746015437892E-2</v>
      </c>
      <c r="BS446" s="66"/>
      <c r="BT446" s="75"/>
      <c r="BU446" s="170"/>
      <c r="BV446" s="1"/>
      <c r="BW446" s="61">
        <f t="shared" si="189"/>
        <v>437</v>
      </c>
    </row>
    <row r="447" spans="2:75" x14ac:dyDescent="0.3">
      <c r="B447" s="158">
        <f t="shared" si="406"/>
        <v>44347</v>
      </c>
      <c r="C447" s="61"/>
      <c r="D447" s="17">
        <v>5235</v>
      </c>
      <c r="E447" s="16"/>
      <c r="F447" s="16"/>
      <c r="G447" s="16"/>
      <c r="H447" s="16">
        <f t="shared" si="382"/>
        <v>33653168</v>
      </c>
      <c r="I447" s="16"/>
      <c r="J447" s="436">
        <f t="shared" si="383"/>
        <v>1.5558162220544126E-4</v>
      </c>
      <c r="K447" s="16"/>
      <c r="L447" s="16"/>
      <c r="M447" s="16"/>
      <c r="N447" s="16">
        <f t="shared" si="384"/>
        <v>119090</v>
      </c>
      <c r="O447" s="16">
        <f t="shared" si="385"/>
        <v>76833.716894977173</v>
      </c>
      <c r="P447" s="41"/>
      <c r="Q447" s="17">
        <f t="shared" si="386"/>
        <v>119090</v>
      </c>
      <c r="R447" s="16"/>
      <c r="S447" s="60">
        <f t="shared" si="387"/>
        <v>-0.2945782811380101</v>
      </c>
      <c r="T447" s="16"/>
      <c r="U447" s="41"/>
      <c r="V447" s="10">
        <f t="shared" si="356"/>
        <v>339</v>
      </c>
      <c r="W447" s="34">
        <v>115</v>
      </c>
      <c r="X447" s="33">
        <v>4256</v>
      </c>
      <c r="Y447" s="33"/>
      <c r="Z447" s="33">
        <f t="shared" si="388"/>
        <v>2453</v>
      </c>
      <c r="AA447" s="33">
        <f t="shared" si="389"/>
        <v>595684</v>
      </c>
      <c r="AB447" s="33"/>
      <c r="AC447" s="46">
        <f t="shared" si="390"/>
        <v>1.770068125532788E-2</v>
      </c>
      <c r="AD447" s="33"/>
      <c r="AE447" s="33">
        <f t="shared" si="391"/>
        <v>1360.0091324200914</v>
      </c>
      <c r="AF447" s="50"/>
      <c r="AG447" s="33">
        <f t="shared" si="392"/>
        <v>3122</v>
      </c>
      <c r="AH447" s="33">
        <f t="shared" si="381"/>
        <v>1158956805.060914</v>
      </c>
      <c r="AI447" s="213">
        <f t="shared" si="393"/>
        <v>-0.16657768286171917</v>
      </c>
      <c r="AJ447" s="50"/>
      <c r="AK447" s="111"/>
      <c r="AL447" s="23">
        <f t="shared" si="394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95"/>
        <v>8.2454278391447624E-4</v>
      </c>
      <c r="AS447" s="25"/>
      <c r="AT447" s="25"/>
      <c r="AU447" s="24"/>
      <c r="AV447" s="298">
        <f t="shared" si="396"/>
        <v>0.82797078717819372</v>
      </c>
      <c r="AW447" s="298"/>
      <c r="AX447" s="24">
        <f t="shared" si="397"/>
        <v>63616.07305936073</v>
      </c>
      <c r="AY447" s="308"/>
      <c r="AZ447" s="111"/>
      <c r="BA447" s="65">
        <f t="shared" si="398"/>
        <v>439228</v>
      </c>
      <c r="BB447" s="66"/>
      <c r="BC447" s="66">
        <v>479930123</v>
      </c>
      <c r="BD447" s="66"/>
      <c r="BE447" s="66">
        <f t="shared" si="399"/>
        <v>5235</v>
      </c>
      <c r="BF447" s="66"/>
      <c r="BG447" s="144">
        <f t="shared" si="400"/>
        <v>1.1918639066726164E-2</v>
      </c>
      <c r="BH447" s="66"/>
      <c r="BI447" s="170"/>
      <c r="BJ447" s="66"/>
      <c r="BK447" s="66">
        <f t="shared" si="401"/>
        <v>5561510</v>
      </c>
      <c r="BL447" s="66"/>
      <c r="BM447" s="144">
        <f t="shared" si="402"/>
        <v>2.1413249279422314E-2</v>
      </c>
      <c r="BN447" s="65">
        <f t="shared" si="403"/>
        <v>1095730.8744292238</v>
      </c>
      <c r="BO447" s="66"/>
      <c r="BP447" s="66">
        <f t="shared" si="404"/>
        <v>32746190</v>
      </c>
      <c r="BQ447" s="66"/>
      <c r="BR447" s="435">
        <f t="shared" si="405"/>
        <v>6.8231162060231845E-2</v>
      </c>
      <c r="BS447" s="66"/>
      <c r="BT447" s="75"/>
      <c r="BU447" s="170"/>
      <c r="BV447" s="1"/>
      <c r="BW447" s="61">
        <f t="shared" si="189"/>
        <v>438</v>
      </c>
    </row>
    <row r="448" spans="2:75" x14ac:dyDescent="0.3">
      <c r="B448" s="158">
        <f t="shared" si="406"/>
        <v>44348</v>
      </c>
      <c r="C448" s="61"/>
      <c r="D448" s="17">
        <v>12976</v>
      </c>
      <c r="E448" s="16"/>
      <c r="F448" s="16"/>
      <c r="G448" s="16"/>
      <c r="H448" s="16">
        <f t="shared" si="382"/>
        <v>33666144</v>
      </c>
      <c r="I448" s="16"/>
      <c r="J448" s="436">
        <f t="shared" si="383"/>
        <v>3.855803412029441E-4</v>
      </c>
      <c r="K448" s="16"/>
      <c r="L448" s="16"/>
      <c r="M448" s="16"/>
      <c r="N448" s="16">
        <f t="shared" si="384"/>
        <v>109328</v>
      </c>
      <c r="O448" s="16">
        <f t="shared" si="385"/>
        <v>76688.255125284733</v>
      </c>
      <c r="P448" s="41"/>
      <c r="Q448" s="17">
        <f t="shared" si="386"/>
        <v>109328</v>
      </c>
      <c r="R448" s="16"/>
      <c r="S448" s="60">
        <f t="shared" si="387"/>
        <v>-0.33358122070306545</v>
      </c>
      <c r="T448" s="16"/>
      <c r="U448" s="41"/>
      <c r="V448" s="10">
        <f t="shared" si="356"/>
        <v>340</v>
      </c>
      <c r="W448" s="34">
        <v>287</v>
      </c>
      <c r="X448" s="33">
        <v>4256</v>
      </c>
      <c r="Y448" s="33"/>
      <c r="Z448" s="33">
        <f t="shared" si="388"/>
        <v>2133</v>
      </c>
      <c r="AA448" s="33">
        <f t="shared" si="389"/>
        <v>595971</v>
      </c>
      <c r="AB448" s="33"/>
      <c r="AC448" s="46">
        <f t="shared" si="390"/>
        <v>1.7702383736016812E-2</v>
      </c>
      <c r="AD448" s="33"/>
      <c r="AE448" s="33">
        <f t="shared" si="391"/>
        <v>1357.5649202733484</v>
      </c>
      <c r="AF448" s="50"/>
      <c r="AG448" s="33">
        <f t="shared" si="392"/>
        <v>2740</v>
      </c>
      <c r="AH448" s="33">
        <f t="shared" si="381"/>
        <v>1158926104.060914</v>
      </c>
      <c r="AI448" s="213">
        <f t="shared" si="393"/>
        <v>-0.25583921781640412</v>
      </c>
      <c r="AJ448" s="50"/>
      <c r="AK448" s="111"/>
      <c r="AL448" s="23">
        <f t="shared" si="394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95"/>
        <v>2.7662375322281495E-3</v>
      </c>
      <c r="AS448" s="25"/>
      <c r="AT448" s="25"/>
      <c r="AU448" s="24"/>
      <c r="AV448" s="298">
        <f t="shared" si="396"/>
        <v>0.82994114205654201</v>
      </c>
      <c r="AW448" s="298"/>
      <c r="AX448" s="24">
        <f t="shared" si="397"/>
        <v>63646.738041002282</v>
      </c>
      <c r="AY448" s="308"/>
      <c r="AZ448" s="111"/>
      <c r="BA448" s="65">
        <f t="shared" si="398"/>
        <v>1018663</v>
      </c>
      <c r="BB448" s="66"/>
      <c r="BC448" s="66">
        <v>480948786</v>
      </c>
      <c r="BD448" s="66"/>
      <c r="BE448" s="66">
        <f t="shared" si="399"/>
        <v>12976</v>
      </c>
      <c r="BF448" s="66"/>
      <c r="BG448" s="144">
        <f t="shared" si="400"/>
        <v>1.2738265746375396E-2</v>
      </c>
      <c r="BH448" s="66"/>
      <c r="BI448" s="170"/>
      <c r="BJ448" s="66"/>
      <c r="BK448" s="66">
        <f t="shared" si="401"/>
        <v>5721964</v>
      </c>
      <c r="BL448" s="66"/>
      <c r="BM448" s="144">
        <f t="shared" si="402"/>
        <v>1.91067262918816E-2</v>
      </c>
      <c r="BN448" s="65">
        <f t="shared" si="403"/>
        <v>1095555.3211845104</v>
      </c>
      <c r="BO448" s="66"/>
      <c r="BP448" s="66">
        <f t="shared" si="404"/>
        <v>32759166</v>
      </c>
      <c r="BQ448" s="66"/>
      <c r="BR448" s="435">
        <f t="shared" si="405"/>
        <v>6.8113626551497317E-2</v>
      </c>
      <c r="BS448" s="66"/>
      <c r="BT448" s="75"/>
      <c r="BU448" s="170"/>
      <c r="BV448" s="1"/>
      <c r="BW448" s="61">
        <f t="shared" si="189"/>
        <v>439</v>
      </c>
    </row>
    <row r="449" spans="2:75" x14ac:dyDescent="0.3">
      <c r="B449" s="158">
        <f t="shared" si="406"/>
        <v>44349</v>
      </c>
      <c r="C449" s="61"/>
      <c r="D449" s="17">
        <v>16974</v>
      </c>
      <c r="E449" s="16"/>
      <c r="F449" s="16"/>
      <c r="G449" s="16"/>
      <c r="H449" s="16">
        <f t="shared" si="382"/>
        <v>33683118</v>
      </c>
      <c r="I449" s="16"/>
      <c r="J449" s="436">
        <f t="shared" si="383"/>
        <v>5.0418604518533518E-4</v>
      </c>
      <c r="K449" s="16"/>
      <c r="L449" s="16"/>
      <c r="M449" s="16"/>
      <c r="N449" s="16">
        <f t="shared" si="384"/>
        <v>102802</v>
      </c>
      <c r="O449" s="16">
        <f t="shared" si="385"/>
        <v>76552.540909090909</v>
      </c>
      <c r="P449" s="41"/>
      <c r="Q449" s="17">
        <f t="shared" si="386"/>
        <v>102802</v>
      </c>
      <c r="R449" s="16"/>
      <c r="S449" s="60">
        <f t="shared" si="387"/>
        <v>-0.35349533368550801</v>
      </c>
      <c r="T449" s="16"/>
      <c r="U449" s="41"/>
      <c r="V449" s="10">
        <f t="shared" si="356"/>
        <v>341</v>
      </c>
      <c r="W449" s="34">
        <v>514</v>
      </c>
      <c r="X449" s="33">
        <v>4256</v>
      </c>
      <c r="Y449" s="33"/>
      <c r="Z449" s="33">
        <f t="shared" si="388"/>
        <v>2017</v>
      </c>
      <c r="AA449" s="33">
        <f t="shared" si="389"/>
        <v>596485</v>
      </c>
      <c r="AB449" s="33"/>
      <c r="AC449" s="46">
        <f t="shared" si="390"/>
        <v>1.7708722808856353E-2</v>
      </c>
      <c r="AD449" s="33"/>
      <c r="AE449" s="33">
        <f t="shared" si="391"/>
        <v>1355.6477272727273</v>
      </c>
      <c r="AF449" s="50"/>
      <c r="AG449" s="33">
        <f t="shared" si="392"/>
        <v>2647</v>
      </c>
      <c r="AH449" s="33">
        <f t="shared" si="381"/>
        <v>1158885650.060914</v>
      </c>
      <c r="AI449" s="213">
        <f t="shared" si="393"/>
        <v>-0.27539009033670958</v>
      </c>
      <c r="AJ449" s="50"/>
      <c r="AK449" s="111"/>
      <c r="AL449" s="23">
        <f t="shared" si="394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95"/>
        <v>1.6317645683652914E-3</v>
      </c>
      <c r="AS449" s="25"/>
      <c r="AT449" s="25"/>
      <c r="AU449" s="24"/>
      <c r="AV449" s="298">
        <f t="shared" si="396"/>
        <v>0.83087649427229393</v>
      </c>
      <c r="AW449" s="298"/>
      <c r="AX449" s="24">
        <f t="shared" si="397"/>
        <v>63605.706818181818</v>
      </c>
      <c r="AY449" s="308"/>
      <c r="AZ449" s="111"/>
      <c r="BA449" s="65">
        <f t="shared" si="398"/>
        <v>659207</v>
      </c>
      <c r="BB449" s="66"/>
      <c r="BC449" s="66">
        <v>481607993</v>
      </c>
      <c r="BD449" s="66"/>
      <c r="BE449" s="66">
        <f t="shared" si="399"/>
        <v>16974</v>
      </c>
      <c r="BF449" s="66"/>
      <c r="BG449" s="144">
        <f t="shared" si="400"/>
        <v>2.5749119775730536E-2</v>
      </c>
      <c r="BH449" s="66"/>
      <c r="BI449" s="170"/>
      <c r="BJ449" s="66"/>
      <c r="BK449" s="66">
        <f t="shared" si="401"/>
        <v>5467750</v>
      </c>
      <c r="BL449" s="66"/>
      <c r="BM449" s="144">
        <f t="shared" si="402"/>
        <v>1.8801517991861368E-2</v>
      </c>
      <c r="BN449" s="65">
        <f t="shared" si="403"/>
        <v>1094563.6204545454</v>
      </c>
      <c r="BO449" s="66"/>
      <c r="BP449" s="66">
        <f t="shared" si="404"/>
        <v>32776140</v>
      </c>
      <c r="BQ449" s="66"/>
      <c r="BR449" s="435">
        <f t="shared" si="405"/>
        <v>6.8055639599818682E-2</v>
      </c>
      <c r="BS449" s="66"/>
      <c r="BT449" s="75"/>
      <c r="BU449" s="170"/>
      <c r="BV449" s="1"/>
      <c r="BW449" s="61">
        <f t="shared" si="189"/>
        <v>440</v>
      </c>
    </row>
    <row r="450" spans="2:75" x14ac:dyDescent="0.3">
      <c r="B450" s="158">
        <f t="shared" si="406"/>
        <v>44350</v>
      </c>
      <c r="C450" s="61"/>
      <c r="D450" s="17">
        <v>17821</v>
      </c>
      <c r="E450" s="16"/>
      <c r="F450" s="16"/>
      <c r="G450" s="16"/>
      <c r="H450" s="16">
        <f t="shared" si="382"/>
        <v>33700939</v>
      </c>
      <c r="I450" s="16"/>
      <c r="J450" s="436">
        <f t="shared" si="383"/>
        <v>5.2907809781742884E-4</v>
      </c>
      <c r="K450" s="16"/>
      <c r="L450" s="16"/>
      <c r="M450" s="16"/>
      <c r="N450" s="16">
        <f t="shared" si="384"/>
        <v>96230</v>
      </c>
      <c r="O450" s="16">
        <f t="shared" si="385"/>
        <v>76419.36281179139</v>
      </c>
      <c r="P450" s="41"/>
      <c r="Q450" s="17">
        <f t="shared" si="386"/>
        <v>96230</v>
      </c>
      <c r="R450" s="16"/>
      <c r="S450" s="60">
        <f t="shared" si="387"/>
        <v>-0.37182993779007906</v>
      </c>
      <c r="T450" s="16"/>
      <c r="U450" s="41"/>
      <c r="V450" s="10">
        <f t="shared" si="356"/>
        <v>342</v>
      </c>
      <c r="W450" s="34">
        <v>574</v>
      </c>
      <c r="X450" s="33">
        <v>4256</v>
      </c>
      <c r="Y450" s="33"/>
      <c r="Z450" s="33">
        <f t="shared" si="388"/>
        <v>1964</v>
      </c>
      <c r="AA450" s="33">
        <f t="shared" si="389"/>
        <v>597059</v>
      </c>
      <c r="AB450" s="33"/>
      <c r="AC450" s="46">
        <f t="shared" si="390"/>
        <v>1.7716390632320365E-2</v>
      </c>
      <c r="AD450" s="33"/>
      <c r="AE450" s="33">
        <f t="shared" si="391"/>
        <v>1353.875283446712</v>
      </c>
      <c r="AF450" s="50"/>
      <c r="AG450" s="33">
        <f t="shared" si="392"/>
        <v>2591</v>
      </c>
      <c r="AH450" s="33">
        <f t="shared" si="381"/>
        <v>1158843296.060914</v>
      </c>
      <c r="AI450" s="213">
        <f t="shared" si="393"/>
        <v>-0.28504415011037526</v>
      </c>
      <c r="AJ450" s="50"/>
      <c r="AK450" s="111"/>
      <c r="AL450" s="23">
        <f t="shared" si="394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95"/>
        <v>1.3958152911593732E-3</v>
      </c>
      <c r="AS450" s="25"/>
      <c r="AT450" s="25"/>
      <c r="AU450" s="24"/>
      <c r="AV450" s="298">
        <f t="shared" si="396"/>
        <v>0.83159626501801631</v>
      </c>
      <c r="AW450" s="298"/>
      <c r="AX450" s="24">
        <f t="shared" si="397"/>
        <v>63550.056689342404</v>
      </c>
      <c r="AY450" s="308"/>
      <c r="AZ450" s="111"/>
      <c r="BA450" s="65">
        <f t="shared" si="398"/>
        <v>782831</v>
      </c>
      <c r="BB450" s="66"/>
      <c r="BC450" s="66">
        <v>482390824</v>
      </c>
      <c r="BD450" s="66"/>
      <c r="BE450" s="66">
        <f t="shared" si="399"/>
        <v>17821</v>
      </c>
      <c r="BF450" s="66"/>
      <c r="BG450" s="144">
        <f t="shared" si="400"/>
        <v>2.2764811306654947E-2</v>
      </c>
      <c r="BH450" s="66"/>
      <c r="BI450" s="170"/>
      <c r="BJ450" s="66"/>
      <c r="BK450" s="66">
        <f t="shared" si="401"/>
        <v>5242175</v>
      </c>
      <c r="BL450" s="66"/>
      <c r="BM450" s="144">
        <f t="shared" si="402"/>
        <v>1.835688430851698E-2</v>
      </c>
      <c r="BN450" s="65">
        <f t="shared" si="403"/>
        <v>1093856.7437641723</v>
      </c>
      <c r="BO450" s="66"/>
      <c r="BP450" s="66">
        <f t="shared" si="404"/>
        <v>32793961</v>
      </c>
      <c r="BQ450" s="66"/>
      <c r="BR450" s="435">
        <f t="shared" si="405"/>
        <v>6.7982140970409499E-2</v>
      </c>
      <c r="BS450" s="66"/>
      <c r="BT450" s="75"/>
      <c r="BU450" s="170"/>
      <c r="BV450" s="1"/>
      <c r="BW450" s="61">
        <f t="shared" si="189"/>
        <v>441</v>
      </c>
    </row>
    <row r="451" spans="2:75" x14ac:dyDescent="0.3">
      <c r="B451" s="158">
        <f t="shared" si="406"/>
        <v>44351</v>
      </c>
      <c r="C451" s="61"/>
      <c r="D451" s="17">
        <v>16925</v>
      </c>
      <c r="E451" s="16"/>
      <c r="F451" s="16"/>
      <c r="G451" s="16"/>
      <c r="H451" s="16">
        <f t="shared" si="382"/>
        <v>33717864</v>
      </c>
      <c r="I451" s="16"/>
      <c r="J451" s="436">
        <f t="shared" si="383"/>
        <v>5.0221152591623636E-4</v>
      </c>
      <c r="K451" s="16"/>
      <c r="L451" s="16"/>
      <c r="M451" s="16"/>
      <c r="N451" s="16">
        <f t="shared" si="384"/>
        <v>90342</v>
      </c>
      <c r="O451" s="16">
        <f t="shared" si="385"/>
        <v>76284.760180995479</v>
      </c>
      <c r="P451" s="41"/>
      <c r="Q451" s="17">
        <f t="shared" si="386"/>
        <v>90342</v>
      </c>
      <c r="R451" s="16"/>
      <c r="S451" s="60">
        <f t="shared" si="387"/>
        <v>-0.38538676100414992</v>
      </c>
      <c r="T451" s="16"/>
      <c r="U451" s="41"/>
      <c r="V451" s="10">
        <f t="shared" si="356"/>
        <v>343</v>
      </c>
      <c r="W451" s="34">
        <v>520</v>
      </c>
      <c r="X451" s="33">
        <v>4256</v>
      </c>
      <c r="Y451" s="33"/>
      <c r="Z451" s="33">
        <f t="shared" si="388"/>
        <v>2134</v>
      </c>
      <c r="AA451" s="33">
        <f t="shared" si="389"/>
        <v>597579</v>
      </c>
      <c r="AB451" s="33"/>
      <c r="AC451" s="46">
        <f t="shared" si="390"/>
        <v>1.7722919814849483E-2</v>
      </c>
      <c r="AD451" s="33"/>
      <c r="AE451" s="33">
        <f t="shared" si="391"/>
        <v>1351.9886877828055</v>
      </c>
      <c r="AF451" s="50"/>
      <c r="AG451" s="33">
        <f t="shared" si="392"/>
        <v>2484</v>
      </c>
      <c r="AH451" s="33">
        <f t="shared" si="381"/>
        <v>1158797167.060914</v>
      </c>
      <c r="AI451" s="213">
        <f t="shared" si="393"/>
        <v>-0.30884808013355591</v>
      </c>
      <c r="AJ451" s="50"/>
      <c r="AK451" s="111"/>
      <c r="AL451" s="23">
        <f t="shared" si="394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95"/>
        <v>1.0497554465876257E-3</v>
      </c>
      <c r="AS451" s="25"/>
      <c r="AT451" s="25"/>
      <c r="AU451" s="24"/>
      <c r="AV451" s="298">
        <f t="shared" si="396"/>
        <v>0.8320513719374395</v>
      </c>
      <c r="AW451" s="298"/>
      <c r="AX451" s="24">
        <f t="shared" si="397"/>
        <v>63472.839366515836</v>
      </c>
      <c r="AY451" s="308"/>
      <c r="AZ451" s="111"/>
      <c r="BA451" s="65">
        <f t="shared" si="398"/>
        <v>973509</v>
      </c>
      <c r="BB451" s="66"/>
      <c r="BC451" s="66">
        <v>483364333</v>
      </c>
      <c r="BD451" s="66"/>
      <c r="BE451" s="66">
        <f t="shared" si="399"/>
        <v>16925</v>
      </c>
      <c r="BF451" s="66"/>
      <c r="BG451" s="144">
        <f t="shared" si="400"/>
        <v>1.7385560893633238E-2</v>
      </c>
      <c r="BH451" s="66"/>
      <c r="BI451" s="170"/>
      <c r="BJ451" s="66"/>
      <c r="BK451" s="66">
        <f t="shared" si="401"/>
        <v>5222916</v>
      </c>
      <c r="BL451" s="66"/>
      <c r="BM451" s="144">
        <f t="shared" si="402"/>
        <v>1.7297233958960857E-2</v>
      </c>
      <c r="BN451" s="65">
        <f t="shared" si="403"/>
        <v>1093584.463800905</v>
      </c>
      <c r="BO451" s="66"/>
      <c r="BP451" s="66">
        <f t="shared" si="404"/>
        <v>32810886</v>
      </c>
      <c r="BQ451" s="66"/>
      <c r="BR451" s="435">
        <f t="shared" si="405"/>
        <v>6.788023807292376E-2</v>
      </c>
      <c r="BS451" s="66"/>
      <c r="BT451" s="75"/>
      <c r="BU451" s="170"/>
      <c r="BV451" s="1"/>
      <c r="BW451" s="61">
        <f t="shared" si="189"/>
        <v>442</v>
      </c>
    </row>
    <row r="452" spans="2:75" x14ac:dyDescent="0.3">
      <c r="B452" s="158">
        <f t="shared" si="406"/>
        <v>44352</v>
      </c>
      <c r="C452" s="61"/>
      <c r="D452" s="17">
        <v>11603</v>
      </c>
      <c r="E452" s="16"/>
      <c r="F452" s="16"/>
      <c r="G452" s="16"/>
      <c r="H452" s="16">
        <f t="shared" si="382"/>
        <v>33729467</v>
      </c>
      <c r="I452" s="16"/>
      <c r="J452" s="436">
        <f t="shared" si="383"/>
        <v>3.4412025625348035E-4</v>
      </c>
      <c r="K452" s="16"/>
      <c r="L452" s="16"/>
      <c r="M452" s="16"/>
      <c r="N452" s="16">
        <f t="shared" si="384"/>
        <v>89284</v>
      </c>
      <c r="O452" s="16">
        <f t="shared" si="385"/>
        <v>76138.751693002254</v>
      </c>
      <c r="P452" s="41"/>
      <c r="Q452" s="17">
        <f t="shared" si="386"/>
        <v>89284</v>
      </c>
      <c r="R452" s="16"/>
      <c r="S452" s="60">
        <f t="shared" si="387"/>
        <v>-0.36231180184555611</v>
      </c>
      <c r="T452" s="16"/>
      <c r="U452" s="41"/>
      <c r="V452" s="10">
        <f t="shared" si="356"/>
        <v>344</v>
      </c>
      <c r="W452" s="34">
        <v>388</v>
      </c>
      <c r="X452" s="33">
        <v>4256</v>
      </c>
      <c r="Y452" s="33"/>
      <c r="Z452" s="33">
        <f t="shared" si="388"/>
        <v>2398</v>
      </c>
      <c r="AA452" s="33">
        <f t="shared" si="389"/>
        <v>597967</v>
      </c>
      <c r="AB452" s="33"/>
      <c r="AC452" s="46">
        <f t="shared" si="390"/>
        <v>1.7728326391875684E-2</v>
      </c>
      <c r="AD452" s="33"/>
      <c r="AE452" s="33">
        <f t="shared" si="391"/>
        <v>1349.8126410835214</v>
      </c>
      <c r="AF452" s="50"/>
      <c r="AG452" s="33">
        <f t="shared" si="392"/>
        <v>2522</v>
      </c>
      <c r="AH452" s="33">
        <f t="shared" si="381"/>
        <v>1158749348.060914</v>
      </c>
      <c r="AI452" s="213">
        <f t="shared" si="393"/>
        <v>-0.27445339470655927</v>
      </c>
      <c r="AJ452" s="50"/>
      <c r="AK452" s="111"/>
      <c r="AL452" s="23">
        <f t="shared" si="394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95"/>
        <v>1.7286048348966023E-3</v>
      </c>
      <c r="AS452" s="25"/>
      <c r="AT452" s="25"/>
      <c r="AU452" s="24"/>
      <c r="AV452" s="298">
        <f t="shared" si="396"/>
        <v>0.83320293795333322</v>
      </c>
      <c r="AW452" s="298"/>
      <c r="AX452" s="24">
        <f t="shared" si="397"/>
        <v>63439.031602708805</v>
      </c>
      <c r="AY452" s="308"/>
      <c r="AZ452" s="111"/>
      <c r="BA452" s="65">
        <f t="shared" si="398"/>
        <v>2921876</v>
      </c>
      <c r="BB452" s="66"/>
      <c r="BC452" s="66">
        <v>486286209</v>
      </c>
      <c r="BD452" s="66"/>
      <c r="BE452" s="66">
        <f t="shared" si="399"/>
        <v>11603</v>
      </c>
      <c r="BF452" s="66"/>
      <c r="BG452" s="144">
        <f t="shared" si="400"/>
        <v>3.971078854817932E-3</v>
      </c>
      <c r="BH452" s="66"/>
      <c r="BI452" s="170"/>
      <c r="BJ452" s="66"/>
      <c r="BK452" s="66">
        <f t="shared" si="401"/>
        <v>7369073</v>
      </c>
      <c r="BL452" s="66"/>
      <c r="BM452" s="144">
        <f t="shared" si="402"/>
        <v>1.2116042275602373E-2</v>
      </c>
      <c r="BN452" s="65">
        <f t="shared" si="403"/>
        <v>1097711.5327313771</v>
      </c>
      <c r="BO452" s="66"/>
      <c r="BP452" s="66">
        <f t="shared" si="404"/>
        <v>32822489</v>
      </c>
      <c r="BQ452" s="66"/>
      <c r="BR452" s="435">
        <f t="shared" si="405"/>
        <v>6.7496236563023726E-2</v>
      </c>
      <c r="BS452" s="66"/>
      <c r="BT452" s="75"/>
      <c r="BU452" s="170"/>
      <c r="BV452" s="1"/>
      <c r="BW452" s="61">
        <f t="shared" si="189"/>
        <v>443</v>
      </c>
    </row>
    <row r="453" spans="2:75" x14ac:dyDescent="0.3">
      <c r="B453" s="347">
        <f t="shared" si="406"/>
        <v>44353</v>
      </c>
      <c r="C453" s="61"/>
      <c r="D453" s="17">
        <v>6408</v>
      </c>
      <c r="E453" s="16"/>
      <c r="F453" s="16"/>
      <c r="G453" s="16"/>
      <c r="H453" s="16">
        <f t="shared" si="382"/>
        <v>33735875</v>
      </c>
      <c r="I453" s="16"/>
      <c r="J453" s="436">
        <f t="shared" si="383"/>
        <v>1.8998224905243834E-4</v>
      </c>
      <c r="K453" s="16"/>
      <c r="L453" s="16"/>
      <c r="M453" s="16"/>
      <c r="N453" s="16">
        <f t="shared" si="384"/>
        <v>87942</v>
      </c>
      <c r="O453" s="16">
        <f t="shared" si="385"/>
        <v>75981.700450450444</v>
      </c>
      <c r="P453" s="41"/>
      <c r="Q453" s="17">
        <f t="shared" si="386"/>
        <v>87942</v>
      </c>
      <c r="R453" s="16"/>
      <c r="S453" s="60">
        <f t="shared" si="387"/>
        <v>-0.34479701388009326</v>
      </c>
      <c r="T453" s="16"/>
      <c r="U453" s="41"/>
      <c r="V453" s="10">
        <f t="shared" si="356"/>
        <v>345</v>
      </c>
      <c r="W453" s="34">
        <v>164</v>
      </c>
      <c r="X453" s="33">
        <v>4256</v>
      </c>
      <c r="Y453" s="33"/>
      <c r="Z453" s="33">
        <f t="shared" si="388"/>
        <v>2447</v>
      </c>
      <c r="AA453" s="33">
        <f t="shared" si="389"/>
        <v>598131</v>
      </c>
      <c r="AB453" s="33"/>
      <c r="AC453" s="46">
        <f t="shared" si="390"/>
        <v>1.7729820258108021E-2</v>
      </c>
      <c r="AD453" s="33"/>
      <c r="AE453" s="33">
        <f t="shared" si="391"/>
        <v>1347.1418918918919</v>
      </c>
      <c r="AF453" s="50"/>
      <c r="AG453" s="33">
        <f t="shared" si="392"/>
        <v>2562</v>
      </c>
      <c r="AH453" s="33">
        <f t="shared" si="381"/>
        <v>1158699857.060914</v>
      </c>
      <c r="AI453" s="213">
        <f t="shared" si="393"/>
        <v>-0.2402135231316726</v>
      </c>
      <c r="AJ453" s="50"/>
      <c r="AK453" s="111"/>
      <c r="AL453" s="23">
        <f t="shared" si="394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95"/>
        <v>6.8482595276152703E-4</v>
      </c>
      <c r="AS453" s="25"/>
      <c r="AT453" s="25"/>
      <c r="AU453" s="24"/>
      <c r="AV453" s="298">
        <f t="shared" si="396"/>
        <v>0.83361516486529552</v>
      </c>
      <c r="AW453" s="298"/>
      <c r="AX453" s="24">
        <f t="shared" si="397"/>
        <v>63339.497747747744</v>
      </c>
      <c r="AY453" s="308"/>
      <c r="AZ453" s="111"/>
      <c r="BA453" s="65">
        <f t="shared" si="398"/>
        <v>582741</v>
      </c>
      <c r="BB453" s="66"/>
      <c r="BC453" s="66">
        <v>486868950</v>
      </c>
      <c r="BD453" s="66"/>
      <c r="BE453" s="66">
        <f t="shared" si="399"/>
        <v>6408</v>
      </c>
      <c r="BF453" s="66"/>
      <c r="BG453" s="144">
        <f t="shared" si="400"/>
        <v>1.0996308823302291E-2</v>
      </c>
      <c r="BH453" s="66"/>
      <c r="BI453" s="170"/>
      <c r="BJ453" s="66"/>
      <c r="BK453" s="66">
        <f t="shared" si="401"/>
        <v>7378055</v>
      </c>
      <c r="BL453" s="66"/>
      <c r="BM453" s="144">
        <f t="shared" si="402"/>
        <v>1.1919401522487973E-2</v>
      </c>
      <c r="BN453" s="65">
        <f t="shared" si="403"/>
        <v>1096551.6891891891</v>
      </c>
      <c r="BO453" s="66"/>
      <c r="BP453" s="66">
        <f t="shared" si="404"/>
        <v>32828897</v>
      </c>
      <c r="BQ453" s="66"/>
      <c r="BR453" s="435">
        <f t="shared" si="405"/>
        <v>6.7428610922918783E-2</v>
      </c>
      <c r="BS453" s="66"/>
      <c r="BT453" s="75"/>
      <c r="BU453" s="170"/>
      <c r="BV453" s="1"/>
      <c r="BW453" s="61">
        <f t="shared" si="189"/>
        <v>444</v>
      </c>
    </row>
    <row r="454" spans="2:75" x14ac:dyDescent="0.3">
      <c r="B454" s="158">
        <f t="shared" si="406"/>
        <v>44354</v>
      </c>
      <c r="C454" s="61"/>
      <c r="D454" s="17">
        <v>12283</v>
      </c>
      <c r="E454" s="16"/>
      <c r="F454" s="16"/>
      <c r="G454" s="16"/>
      <c r="H454" s="16">
        <f t="shared" si="382"/>
        <v>33748158</v>
      </c>
      <c r="I454" s="16"/>
      <c r="J454" s="436">
        <f t="shared" si="383"/>
        <v>3.6409312045411599E-4</v>
      </c>
      <c r="K454" s="16"/>
      <c r="L454" s="16"/>
      <c r="M454" s="16"/>
      <c r="N454" s="16">
        <f t="shared" si="384"/>
        <v>94990</v>
      </c>
      <c r="O454" s="16">
        <f t="shared" si="385"/>
        <v>75838.557303370791</v>
      </c>
      <c r="P454" s="41"/>
      <c r="Q454" s="17">
        <f t="shared" si="386"/>
        <v>94990</v>
      </c>
      <c r="R454" s="16"/>
      <c r="S454" s="60">
        <f t="shared" si="387"/>
        <v>-0.20236795700730539</v>
      </c>
      <c r="T454" s="16"/>
      <c r="U454" s="41"/>
      <c r="V454" s="10">
        <f t="shared" si="356"/>
        <v>346</v>
      </c>
      <c r="W454" s="34">
        <v>312</v>
      </c>
      <c r="X454" s="33">
        <v>4256</v>
      </c>
      <c r="Y454" s="33"/>
      <c r="Z454" s="33">
        <f t="shared" si="388"/>
        <v>2472</v>
      </c>
      <c r="AA454" s="33">
        <f t="shared" si="389"/>
        <v>598443</v>
      </c>
      <c r="AB454" s="33"/>
      <c r="AC454" s="46">
        <f t="shared" si="390"/>
        <v>1.7732612251015301E-2</v>
      </c>
      <c r="AD454" s="33"/>
      <c r="AE454" s="33">
        <f t="shared" si="391"/>
        <v>1344.8157303370785</v>
      </c>
      <c r="AF454" s="50"/>
      <c r="AG454" s="33">
        <f t="shared" si="392"/>
        <v>2759</v>
      </c>
      <c r="AH454" s="33">
        <f t="shared" si="381"/>
        <v>1158664102.060914</v>
      </c>
      <c r="AI454" s="213">
        <f t="shared" si="393"/>
        <v>-0.11627162075592569</v>
      </c>
      <c r="AJ454" s="50"/>
      <c r="AK454" s="111"/>
      <c r="AL454" s="23">
        <f t="shared" si="394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95"/>
        <v>1.9529393600629982E-3</v>
      </c>
      <c r="AS454" s="25"/>
      <c r="AT454" s="25"/>
      <c r="AU454" s="24"/>
      <c r="AV454" s="298">
        <f t="shared" si="396"/>
        <v>0.83493916912443045</v>
      </c>
      <c r="AW454" s="298"/>
      <c r="AX454" s="24">
        <f t="shared" si="397"/>
        <v>63320.582022471914</v>
      </c>
      <c r="AY454" s="308"/>
      <c r="AZ454" s="111"/>
      <c r="BA454" s="65">
        <f t="shared" si="398"/>
        <v>2864658</v>
      </c>
      <c r="BB454" s="66"/>
      <c r="BC454" s="66">
        <v>489733608</v>
      </c>
      <c r="BD454" s="66"/>
      <c r="BE454" s="66">
        <f t="shared" si="399"/>
        <v>12283</v>
      </c>
      <c r="BF454" s="66"/>
      <c r="BG454" s="144">
        <f t="shared" si="400"/>
        <v>4.2877718736407623E-3</v>
      </c>
      <c r="BH454" s="66"/>
      <c r="BI454" s="170"/>
      <c r="BJ454" s="66"/>
      <c r="BK454" s="66">
        <f t="shared" si="401"/>
        <v>9803485</v>
      </c>
      <c r="BL454" s="66"/>
      <c r="BM454" s="144">
        <f t="shared" si="402"/>
        <v>9.6894114694927366E-3</v>
      </c>
      <c r="BN454" s="65">
        <f t="shared" si="403"/>
        <v>1100524.9617977529</v>
      </c>
      <c r="BO454" s="66"/>
      <c r="BP454" s="66">
        <f t="shared" si="404"/>
        <v>32841180</v>
      </c>
      <c r="BQ454" s="66"/>
      <c r="BR454" s="435">
        <f t="shared" si="405"/>
        <v>6.7059273579606976E-2</v>
      </c>
      <c r="BS454" s="66"/>
      <c r="BT454" s="75"/>
      <c r="BU454" s="170"/>
      <c r="BV454" s="1"/>
      <c r="BW454" s="61">
        <f t="shared" si="189"/>
        <v>445</v>
      </c>
    </row>
    <row r="455" spans="2:75" x14ac:dyDescent="0.3">
      <c r="B455" s="158">
        <f t="shared" si="406"/>
        <v>44355</v>
      </c>
      <c r="C455" s="61"/>
      <c r="D455" s="17">
        <v>13542</v>
      </c>
      <c r="E455" s="16"/>
      <c r="F455" s="16"/>
      <c r="G455" s="16"/>
      <c r="H455" s="16">
        <f t="shared" si="382"/>
        <v>33761700</v>
      </c>
      <c r="I455" s="16"/>
      <c r="J455" s="436">
        <f t="shared" si="383"/>
        <v>4.0126634466983353E-4</v>
      </c>
      <c r="K455" s="16"/>
      <c r="L455" s="16"/>
      <c r="M455" s="16"/>
      <c r="N455" s="16">
        <f t="shared" si="384"/>
        <v>95556</v>
      </c>
      <c r="O455" s="16">
        <f t="shared" si="385"/>
        <v>75698.87892376681</v>
      </c>
      <c r="P455" s="41"/>
      <c r="Q455" s="17">
        <f t="shared" si="386"/>
        <v>95556</v>
      </c>
      <c r="R455" s="16"/>
      <c r="S455" s="60">
        <f t="shared" si="387"/>
        <v>-0.12596955949070687</v>
      </c>
      <c r="T455" s="16"/>
      <c r="U455" s="41"/>
      <c r="V455" s="10">
        <f t="shared" si="356"/>
        <v>347</v>
      </c>
      <c r="W455" s="34">
        <v>401</v>
      </c>
      <c r="X455" s="33">
        <v>4256</v>
      </c>
      <c r="Y455" s="33"/>
      <c r="Z455" s="33">
        <f t="shared" si="388"/>
        <v>2359</v>
      </c>
      <c r="AA455" s="33">
        <f t="shared" si="389"/>
        <v>598844</v>
      </c>
      <c r="AB455" s="33"/>
      <c r="AC455" s="46">
        <f t="shared" si="390"/>
        <v>1.7737376968576819E-2</v>
      </c>
      <c r="AD455" s="33"/>
      <c r="AE455" s="33">
        <f t="shared" si="391"/>
        <v>1342.6995515695066</v>
      </c>
      <c r="AF455" s="50"/>
      <c r="AG455" s="33">
        <f t="shared" si="392"/>
        <v>2873</v>
      </c>
      <c r="AH455" s="33">
        <f t="shared" si="381"/>
        <v>1158641902.060914</v>
      </c>
      <c r="AI455" s="213">
        <f t="shared" si="393"/>
        <v>4.8540145985401462E-2</v>
      </c>
      <c r="AJ455" s="50"/>
      <c r="AK455" s="111"/>
      <c r="AL455" s="23">
        <f t="shared" si="394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95"/>
        <v>1.533271447425778E-3</v>
      </c>
      <c r="AS455" s="25"/>
      <c r="AT455" s="25"/>
      <c r="AU455" s="24"/>
      <c r="AV455" s="298">
        <f t="shared" si="396"/>
        <v>0.83588394541744049</v>
      </c>
      <c r="AW455" s="298"/>
      <c r="AX455" s="24">
        <f t="shared" si="397"/>
        <v>63275.477578475336</v>
      </c>
      <c r="AY455" s="308"/>
      <c r="AZ455" s="111"/>
      <c r="BA455" s="65">
        <f t="shared" si="398"/>
        <v>589126</v>
      </c>
      <c r="BB455" s="66"/>
      <c r="BC455" s="66">
        <v>490322734</v>
      </c>
      <c r="BD455" s="66"/>
      <c r="BE455" s="66">
        <f t="shared" si="399"/>
        <v>13542</v>
      </c>
      <c r="BF455" s="66"/>
      <c r="BG455" s="144">
        <f t="shared" si="400"/>
        <v>2.2986593699819733E-2</v>
      </c>
      <c r="BH455" s="66"/>
      <c r="BI455" s="170"/>
      <c r="BJ455" s="66"/>
      <c r="BK455" s="66">
        <f t="shared" si="401"/>
        <v>9373948</v>
      </c>
      <c r="BL455" s="66"/>
      <c r="BM455" s="144">
        <f t="shared" si="402"/>
        <v>1.0193783878468282E-2</v>
      </c>
      <c r="BN455" s="65">
        <f t="shared" si="403"/>
        <v>1099378.32735426</v>
      </c>
      <c r="BO455" s="66"/>
      <c r="BP455" s="66">
        <f t="shared" si="404"/>
        <v>32854722</v>
      </c>
      <c r="BQ455" s="66"/>
      <c r="BR455" s="435">
        <f t="shared" si="405"/>
        <v>6.7006319963944405E-2</v>
      </c>
      <c r="BS455" s="66"/>
      <c r="BT455" s="75"/>
      <c r="BU455" s="170"/>
      <c r="BV455" s="1"/>
      <c r="BW455" s="61">
        <f t="shared" si="189"/>
        <v>446</v>
      </c>
    </row>
    <row r="456" spans="2:75" x14ac:dyDescent="0.3">
      <c r="B456" s="158">
        <f t="shared" si="406"/>
        <v>44356</v>
      </c>
      <c r="C456" s="61"/>
      <c r="D456" s="17">
        <v>14201</v>
      </c>
      <c r="E456" s="16"/>
      <c r="F456" s="16"/>
      <c r="G456" s="16"/>
      <c r="H456" s="16">
        <f t="shared" si="382"/>
        <v>33775901</v>
      </c>
      <c r="I456" s="16"/>
      <c r="J456" s="436">
        <f t="shared" si="383"/>
        <v>4.2062455385836616E-4</v>
      </c>
      <c r="K456" s="16"/>
      <c r="L456" s="16"/>
      <c r="M456" s="16"/>
      <c r="N456" s="16">
        <f t="shared" si="384"/>
        <v>92783</v>
      </c>
      <c r="O456" s="16">
        <f t="shared" si="385"/>
        <v>75561.299776286352</v>
      </c>
      <c r="P456" s="41"/>
      <c r="Q456" s="17">
        <f t="shared" si="386"/>
        <v>92783</v>
      </c>
      <c r="R456" s="16"/>
      <c r="S456" s="60">
        <f t="shared" si="387"/>
        <v>-9.7459193400906599E-2</v>
      </c>
      <c r="T456" s="16"/>
      <c r="U456" s="41"/>
      <c r="V456" s="10">
        <f t="shared" si="356"/>
        <v>348</v>
      </c>
      <c r="W456" s="34">
        <v>452</v>
      </c>
      <c r="X456" s="33">
        <v>4256</v>
      </c>
      <c r="Y456" s="33"/>
      <c r="Z456" s="33">
        <f t="shared" si="388"/>
        <v>2237</v>
      </c>
      <c r="AA456" s="33">
        <f t="shared" si="389"/>
        <v>599296</v>
      </c>
      <c r="AB456" s="33"/>
      <c r="AC456" s="46">
        <f t="shared" si="390"/>
        <v>1.7743301651671706E-2</v>
      </c>
      <c r="AD456" s="33"/>
      <c r="AE456" s="33">
        <f t="shared" si="391"/>
        <v>1340.7069351230425</v>
      </c>
      <c r="AF456" s="50"/>
      <c r="AG456" s="33">
        <f t="shared" si="392"/>
        <v>2811</v>
      </c>
      <c r="AH456" s="33">
        <f t="shared" si="381"/>
        <v>1158611750.060914</v>
      </c>
      <c r="AI456" s="213">
        <f t="shared" si="393"/>
        <v>6.1956932376275031E-2</v>
      </c>
      <c r="AJ456" s="50"/>
      <c r="AK456" s="111"/>
      <c r="AL456" s="23">
        <f t="shared" si="394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95"/>
        <v>1.1774267852829306E-3</v>
      </c>
      <c r="AS456" s="25"/>
      <c r="AT456" s="25"/>
      <c r="AU456" s="24"/>
      <c r="AV456" s="298">
        <f t="shared" si="396"/>
        <v>0.83651627827781705</v>
      </c>
      <c r="AW456" s="298"/>
      <c r="AX456" s="24">
        <f t="shared" si="397"/>
        <v>63208.25727069351</v>
      </c>
      <c r="AY456" s="308"/>
      <c r="AZ456" s="111"/>
      <c r="BA456" s="65">
        <f t="shared" si="398"/>
        <v>758547</v>
      </c>
      <c r="BB456" s="66"/>
      <c r="BC456" s="66">
        <v>491081281</v>
      </c>
      <c r="BD456" s="66"/>
      <c r="BE456" s="66">
        <f t="shared" si="399"/>
        <v>14201</v>
      </c>
      <c r="BF456" s="66"/>
      <c r="BG456" s="144">
        <f t="shared" si="400"/>
        <v>1.8721318520803588E-2</v>
      </c>
      <c r="BH456" s="66"/>
      <c r="BI456" s="170"/>
      <c r="BJ456" s="66"/>
      <c r="BK456" s="66">
        <f t="shared" si="401"/>
        <v>9473288</v>
      </c>
      <c r="BL456" s="66"/>
      <c r="BM456" s="144">
        <f t="shared" si="402"/>
        <v>9.7941707250956585E-3</v>
      </c>
      <c r="BN456" s="65">
        <f t="shared" si="403"/>
        <v>1098615.8411633109</v>
      </c>
      <c r="BO456" s="66"/>
      <c r="BP456" s="66">
        <f t="shared" si="404"/>
        <v>32868923</v>
      </c>
      <c r="BQ456" s="66"/>
      <c r="BR456" s="435">
        <f t="shared" si="405"/>
        <v>6.6931736703684297E-2</v>
      </c>
      <c r="BS456" s="66"/>
      <c r="BT456" s="75"/>
      <c r="BU456" s="170"/>
      <c r="BV456" s="1"/>
      <c r="BW456" s="61">
        <f t="shared" si="189"/>
        <v>447</v>
      </c>
    </row>
    <row r="457" spans="2:75" x14ac:dyDescent="0.3">
      <c r="B457" s="158">
        <f t="shared" si="406"/>
        <v>44357</v>
      </c>
      <c r="C457" s="61"/>
      <c r="D457" s="17">
        <v>16764</v>
      </c>
      <c r="E457" s="16"/>
      <c r="F457" s="16"/>
      <c r="G457" s="16"/>
      <c r="H457" s="16">
        <f t="shared" si="382"/>
        <v>33792665</v>
      </c>
      <c r="I457" s="16"/>
      <c r="J457" s="436">
        <f t="shared" si="383"/>
        <v>4.9633020892618084E-4</v>
      </c>
      <c r="K457" s="16"/>
      <c r="L457" s="16"/>
      <c r="M457" s="16"/>
      <c r="N457" s="16">
        <f t="shared" si="384"/>
        <v>91726</v>
      </c>
      <c r="O457" s="16">
        <f t="shared" si="385"/>
        <v>75430.055803571435</v>
      </c>
      <c r="P457" s="41"/>
      <c r="Q457" s="17">
        <f t="shared" si="386"/>
        <v>91726</v>
      </c>
      <c r="R457" s="16"/>
      <c r="S457" s="60">
        <f t="shared" si="387"/>
        <v>-4.6804530811597217E-2</v>
      </c>
      <c r="T457" s="16"/>
      <c r="U457" s="41"/>
      <c r="V457" s="10">
        <f t="shared" si="356"/>
        <v>349</v>
      </c>
      <c r="W457" s="34">
        <v>481</v>
      </c>
      <c r="X457" s="33">
        <v>4256</v>
      </c>
      <c r="Y457" s="33"/>
      <c r="Z457" s="33">
        <f t="shared" si="388"/>
        <v>2198</v>
      </c>
      <c r="AA457" s="33">
        <f t="shared" si="389"/>
        <v>599777</v>
      </c>
      <c r="AB457" s="33"/>
      <c r="AC457" s="46">
        <f t="shared" si="390"/>
        <v>1.7748733341984124E-2</v>
      </c>
      <c r="AD457" s="33"/>
      <c r="AE457" s="33">
        <f t="shared" si="391"/>
        <v>1338.7879464285713</v>
      </c>
      <c r="AF457" s="50"/>
      <c r="AG457" s="33">
        <f t="shared" si="392"/>
        <v>2718</v>
      </c>
      <c r="AH457" s="33">
        <f t="shared" si="381"/>
        <v>1158576846.060914</v>
      </c>
      <c r="AI457" s="213">
        <f t="shared" si="393"/>
        <v>4.901582400617522E-2</v>
      </c>
      <c r="AJ457" s="50"/>
      <c r="AK457" s="111"/>
      <c r="AL457" s="23">
        <f t="shared" si="394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95"/>
        <v>1.6248620421021509E-3</v>
      </c>
      <c r="AS457" s="25"/>
      <c r="AT457" s="25"/>
      <c r="AU457" s="24"/>
      <c r="AV457" s="298">
        <f t="shared" si="396"/>
        <v>0.83745984520605288</v>
      </c>
      <c r="AW457" s="298"/>
      <c r="AX457" s="24">
        <f t="shared" si="397"/>
        <v>63169.642857142855</v>
      </c>
      <c r="AY457" s="308"/>
      <c r="AZ457" s="111"/>
      <c r="BA457" s="65">
        <f t="shared" si="398"/>
        <v>918719</v>
      </c>
      <c r="BB457" s="66"/>
      <c r="BC457" s="66">
        <v>492000000</v>
      </c>
      <c r="BD457" s="66"/>
      <c r="BE457" s="66">
        <f t="shared" si="399"/>
        <v>16764</v>
      </c>
      <c r="BF457" s="66"/>
      <c r="BG457" s="144">
        <f t="shared" si="400"/>
        <v>1.8247146298269654E-2</v>
      </c>
      <c r="BH457" s="66"/>
      <c r="BI457" s="170"/>
      <c r="BJ457" s="66"/>
      <c r="BK457" s="66">
        <f t="shared" si="401"/>
        <v>9609176</v>
      </c>
      <c r="BL457" s="66"/>
      <c r="BM457" s="144">
        <f t="shared" si="402"/>
        <v>9.5456675993862532E-3</v>
      </c>
      <c r="BN457" s="65">
        <f t="shared" si="403"/>
        <v>1098214.2857142857</v>
      </c>
      <c r="BO457" s="66"/>
      <c r="BP457" s="66">
        <f t="shared" si="404"/>
        <v>32885687</v>
      </c>
      <c r="BQ457" s="66"/>
      <c r="BR457" s="435">
        <f t="shared" si="405"/>
        <v>6.6840827235772352E-2</v>
      </c>
      <c r="BS457" s="66"/>
      <c r="BT457" s="75"/>
      <c r="BU457" s="170"/>
      <c r="BV457" s="1"/>
      <c r="BW457" s="61">
        <f t="shared" si="189"/>
        <v>448</v>
      </c>
    </row>
    <row r="458" spans="2:75" x14ac:dyDescent="0.3">
      <c r="B458" s="158">
        <f t="shared" si="406"/>
        <v>44358</v>
      </c>
      <c r="C458" s="61"/>
      <c r="D458" s="17">
        <v>16145</v>
      </c>
      <c r="E458" s="16"/>
      <c r="F458" s="16"/>
      <c r="G458" s="16"/>
      <c r="H458" s="16">
        <f t="shared" si="382"/>
        <v>33808810</v>
      </c>
      <c r="I458" s="16"/>
      <c r="J458" s="436">
        <f t="shared" si="383"/>
        <v>4.7776640285695138E-4</v>
      </c>
      <c r="K458" s="16"/>
      <c r="L458" s="16"/>
      <c r="M458" s="16"/>
      <c r="N458" s="16">
        <f t="shared" si="384"/>
        <v>90946</v>
      </c>
      <c r="O458" s="16">
        <f t="shared" si="385"/>
        <v>75298.017817371932</v>
      </c>
      <c r="P458" s="41"/>
      <c r="Q458" s="17">
        <f t="shared" si="386"/>
        <v>90946</v>
      </c>
      <c r="R458" s="16"/>
      <c r="S458" s="60">
        <f t="shared" si="387"/>
        <v>6.6857054304753048E-3</v>
      </c>
      <c r="T458" s="16"/>
      <c r="U458" s="41"/>
      <c r="V458" s="10">
        <f t="shared" si="356"/>
        <v>350</v>
      </c>
      <c r="W458" s="34">
        <v>421</v>
      </c>
      <c r="X458" s="33">
        <v>4256</v>
      </c>
      <c r="Y458" s="33"/>
      <c r="Z458" s="33">
        <f t="shared" si="388"/>
        <v>2231</v>
      </c>
      <c r="AA458" s="33">
        <f t="shared" si="389"/>
        <v>600198</v>
      </c>
      <c r="AB458" s="33"/>
      <c r="AC458" s="46">
        <f t="shared" si="390"/>
        <v>1.7752710018483348E-2</v>
      </c>
      <c r="AD458" s="33"/>
      <c r="AE458" s="33">
        <f t="shared" si="391"/>
        <v>1336.7438752783964</v>
      </c>
      <c r="AF458" s="50"/>
      <c r="AG458" s="33">
        <f t="shared" si="392"/>
        <v>2619</v>
      </c>
      <c r="AH458" s="33">
        <f t="shared" si="381"/>
        <v>1158541030.060914</v>
      </c>
      <c r="AI458" s="213">
        <f t="shared" si="393"/>
        <v>5.434782608695652E-2</v>
      </c>
      <c r="AJ458" s="50"/>
      <c r="AK458" s="111"/>
      <c r="AL458" s="23">
        <f t="shared" si="394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95"/>
        <v>1.6368904593639577E-3</v>
      </c>
      <c r="AS458" s="25"/>
      <c r="AT458" s="25"/>
      <c r="AU458" s="24"/>
      <c r="AV458" s="298">
        <f t="shared" si="396"/>
        <v>0.83843010150312891</v>
      </c>
      <c r="AW458" s="298"/>
      <c r="AX458" s="24">
        <f t="shared" si="397"/>
        <v>63132.124721603563</v>
      </c>
      <c r="AY458" s="308"/>
      <c r="AZ458" s="111"/>
      <c r="BA458" s="65">
        <f t="shared" si="398"/>
        <v>1246114</v>
      </c>
      <c r="BB458" s="66"/>
      <c r="BC458" s="66">
        <v>493246114</v>
      </c>
      <c r="BD458" s="66"/>
      <c r="BE458" s="66">
        <f t="shared" si="399"/>
        <v>16145</v>
      </c>
      <c r="BF458" s="66"/>
      <c r="BG458" s="144">
        <f t="shared" si="400"/>
        <v>1.2956278478534066E-2</v>
      </c>
      <c r="BH458" s="66"/>
      <c r="BI458" s="170"/>
      <c r="BJ458" s="66"/>
      <c r="BK458" s="66">
        <f t="shared" si="401"/>
        <v>9881781</v>
      </c>
      <c r="BL458" s="66"/>
      <c r="BM458" s="144">
        <f t="shared" si="402"/>
        <v>9.2034016944921165E-3</v>
      </c>
      <c r="BN458" s="65">
        <f t="shared" si="403"/>
        <v>1098543.6837416482</v>
      </c>
      <c r="BO458" s="66"/>
      <c r="BP458" s="66">
        <f t="shared" si="404"/>
        <v>32901832</v>
      </c>
      <c r="BQ458" s="66"/>
      <c r="BR458" s="435">
        <f t="shared" si="405"/>
        <v>6.6704695822499674E-2</v>
      </c>
      <c r="BS458" s="66"/>
      <c r="BT458" s="75"/>
      <c r="BU458" s="170"/>
      <c r="BV458" s="1"/>
      <c r="BW458" s="61">
        <f t="shared" si="189"/>
        <v>449</v>
      </c>
    </row>
    <row r="459" spans="2:75" x14ac:dyDescent="0.3">
      <c r="B459" s="158">
        <f t="shared" si="406"/>
        <v>44359</v>
      </c>
      <c r="C459" s="61"/>
      <c r="D459" s="17">
        <v>9427</v>
      </c>
      <c r="E459" s="16"/>
      <c r="F459" s="16"/>
      <c r="G459" s="16"/>
      <c r="H459" s="16">
        <f t="shared" si="382"/>
        <v>33818237</v>
      </c>
      <c r="I459" s="16"/>
      <c r="J459" s="436">
        <f t="shared" si="383"/>
        <v>2.7883264746674018E-4</v>
      </c>
      <c r="K459" s="16"/>
      <c r="L459" s="16"/>
      <c r="M459" s="16"/>
      <c r="N459" s="16">
        <f t="shared" si="384"/>
        <v>88770</v>
      </c>
      <c r="O459" s="16">
        <f t="shared" si="385"/>
        <v>75151.637777777782</v>
      </c>
      <c r="P459" s="41"/>
      <c r="Q459" s="17">
        <f t="shared" si="386"/>
        <v>88770</v>
      </c>
      <c r="R459" s="16"/>
      <c r="S459" s="60">
        <f t="shared" si="387"/>
        <v>-5.7569105326822278E-3</v>
      </c>
      <c r="T459" s="16"/>
      <c r="U459" s="41"/>
      <c r="V459" s="10">
        <f t="shared" si="356"/>
        <v>351</v>
      </c>
      <c r="W459" s="34">
        <v>308</v>
      </c>
      <c r="X459" s="33">
        <v>4256</v>
      </c>
      <c r="Y459" s="33"/>
      <c r="Z459" s="33">
        <f t="shared" si="388"/>
        <v>2375</v>
      </c>
      <c r="AA459" s="33">
        <f t="shared" si="389"/>
        <v>600506</v>
      </c>
      <c r="AB459" s="33"/>
      <c r="AC459" s="46">
        <f t="shared" si="390"/>
        <v>1.7756868875216648E-2</v>
      </c>
      <c r="AD459" s="33"/>
      <c r="AE459" s="33">
        <f t="shared" si="391"/>
        <v>1334.4577777777777</v>
      </c>
      <c r="AF459" s="50"/>
      <c r="AG459" s="33">
        <f t="shared" si="392"/>
        <v>2539</v>
      </c>
      <c r="AH459" s="33">
        <f t="shared" si="381"/>
        <v>1158501205.060914</v>
      </c>
      <c r="AI459" s="213">
        <f t="shared" si="393"/>
        <v>6.7406819984139575E-3</v>
      </c>
      <c r="AJ459" s="50"/>
      <c r="AK459" s="111"/>
      <c r="AL459" s="23">
        <f t="shared" si="394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95"/>
        <v>1.2452761070535989E-3</v>
      </c>
      <c r="AS459" s="25"/>
      <c r="AT459" s="25"/>
      <c r="AU459" s="24"/>
      <c r="AV459" s="298">
        <f t="shared" si="396"/>
        <v>0.83924017091724801</v>
      </c>
      <c r="AW459" s="298"/>
      <c r="AX459" s="24">
        <f t="shared" si="397"/>
        <v>63070.273333333331</v>
      </c>
      <c r="AY459" s="308"/>
      <c r="AZ459" s="111"/>
      <c r="BA459" s="65">
        <f t="shared" si="398"/>
        <v>648739</v>
      </c>
      <c r="BB459" s="66"/>
      <c r="BC459" s="66">
        <v>493894853</v>
      </c>
      <c r="BD459" s="66"/>
      <c r="BE459" s="66">
        <f t="shared" si="399"/>
        <v>9427</v>
      </c>
      <c r="BF459" s="66"/>
      <c r="BG459" s="144">
        <f t="shared" si="400"/>
        <v>1.4531267582186364E-2</v>
      </c>
      <c r="BH459" s="66"/>
      <c r="BI459" s="170"/>
      <c r="BJ459" s="66"/>
      <c r="BK459" s="66">
        <f t="shared" si="401"/>
        <v>7608644</v>
      </c>
      <c r="BL459" s="66"/>
      <c r="BM459" s="144">
        <f t="shared" si="402"/>
        <v>1.1666993487932936E-2</v>
      </c>
      <c r="BN459" s="65">
        <f t="shared" si="403"/>
        <v>1097544.1177777778</v>
      </c>
      <c r="BO459" s="66"/>
      <c r="BP459" s="66">
        <f t="shared" si="404"/>
        <v>32911259</v>
      </c>
      <c r="BQ459" s="66"/>
      <c r="BR459" s="435">
        <f t="shared" si="405"/>
        <v>6.6636165167730549E-2</v>
      </c>
      <c r="BS459" s="66"/>
      <c r="BT459" s="75"/>
      <c r="BU459" s="170"/>
      <c r="BV459" s="1"/>
      <c r="BW459" s="61">
        <f t="shared" si="189"/>
        <v>450</v>
      </c>
    </row>
    <row r="460" spans="2:75" x14ac:dyDescent="0.3">
      <c r="B460" s="347">
        <f t="shared" si="406"/>
        <v>44360</v>
      </c>
      <c r="C460" s="61"/>
      <c r="D460" s="17">
        <v>5285</v>
      </c>
      <c r="E460" s="16"/>
      <c r="F460" s="16"/>
      <c r="G460" s="16"/>
      <c r="H460" s="16">
        <f t="shared" si="382"/>
        <v>33823522</v>
      </c>
      <c r="I460" s="16"/>
      <c r="J460" s="436">
        <f t="shared" si="383"/>
        <v>1.5627662672066555E-4</v>
      </c>
      <c r="K460" s="16"/>
      <c r="L460" s="16"/>
      <c r="M460" s="16"/>
      <c r="N460" s="16">
        <f t="shared" si="384"/>
        <v>87647</v>
      </c>
      <c r="O460" s="16">
        <f t="shared" si="385"/>
        <v>74996.722838137473</v>
      </c>
      <c r="P460" s="41"/>
      <c r="Q460" s="17">
        <f t="shared" si="386"/>
        <v>87647</v>
      </c>
      <c r="R460" s="16"/>
      <c r="S460" s="60">
        <f t="shared" si="387"/>
        <v>-3.3544836369425305E-3</v>
      </c>
      <c r="T460" s="16"/>
      <c r="U460" s="41"/>
      <c r="V460" s="10">
        <f t="shared" si="356"/>
        <v>352</v>
      </c>
      <c r="W460" s="34">
        <v>100</v>
      </c>
      <c r="X460" s="33">
        <v>4256</v>
      </c>
      <c r="Y460" s="33"/>
      <c r="Z460" s="33">
        <f t="shared" si="388"/>
        <v>2163</v>
      </c>
      <c r="AA460" s="33">
        <f t="shared" si="389"/>
        <v>600606</v>
      </c>
      <c r="AB460" s="33"/>
      <c r="AC460" s="46">
        <f t="shared" si="390"/>
        <v>1.7757050847632013E-2</v>
      </c>
      <c r="AD460" s="33"/>
      <c r="AE460" s="33">
        <f t="shared" si="391"/>
        <v>1331.7206208425721</v>
      </c>
      <c r="AF460" s="50"/>
      <c r="AG460" s="33">
        <f t="shared" si="392"/>
        <v>2475</v>
      </c>
      <c r="AH460" s="33">
        <f t="shared" si="381"/>
        <v>1158462110.060914</v>
      </c>
      <c r="AI460" s="213">
        <f t="shared" si="393"/>
        <v>-3.3957845433255272E-2</v>
      </c>
      <c r="AJ460" s="50"/>
      <c r="AK460" s="111"/>
      <c r="AL460" s="23">
        <f t="shared" si="394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95"/>
        <v>6.5214734196138114E-4</v>
      </c>
      <c r="AS460" s="25"/>
      <c r="AT460" s="25"/>
      <c r="AU460" s="24"/>
      <c r="AV460" s="298">
        <f t="shared" si="396"/>
        <v>0.83965626051598052</v>
      </c>
      <c r="AW460" s="298"/>
      <c r="AX460" s="24">
        <f t="shared" si="397"/>
        <v>62971.467849223947</v>
      </c>
      <c r="AY460" s="308"/>
      <c r="AZ460" s="111"/>
      <c r="BA460" s="65">
        <f t="shared" si="398"/>
        <v>454808</v>
      </c>
      <c r="BB460" s="66"/>
      <c r="BC460" s="66">
        <v>494349661</v>
      </c>
      <c r="BD460" s="66"/>
      <c r="BE460" s="66">
        <f t="shared" si="399"/>
        <v>5285</v>
      </c>
      <c r="BF460" s="66"/>
      <c r="BG460" s="144">
        <f t="shared" si="400"/>
        <v>1.1620288121580976E-2</v>
      </c>
      <c r="BH460" s="66"/>
      <c r="BI460" s="170"/>
      <c r="BJ460" s="66"/>
      <c r="BK460" s="66">
        <f t="shared" si="401"/>
        <v>7480711</v>
      </c>
      <c r="BL460" s="66"/>
      <c r="BM460" s="144">
        <f t="shared" si="402"/>
        <v>1.1716399684468495E-2</v>
      </c>
      <c r="BN460" s="65">
        <f t="shared" si="403"/>
        <v>1096118.9822616407</v>
      </c>
      <c r="BO460" s="66"/>
      <c r="BP460" s="66">
        <f t="shared" si="404"/>
        <v>32916544</v>
      </c>
      <c r="BQ460" s="66"/>
      <c r="BR460" s="435">
        <f t="shared" si="405"/>
        <v>6.6585549858402759E-2</v>
      </c>
      <c r="BS460" s="66"/>
      <c r="BT460" s="75"/>
      <c r="BU460" s="170"/>
      <c r="BV460" s="1"/>
      <c r="BW460" s="61">
        <f t="shared" si="189"/>
        <v>451</v>
      </c>
    </row>
    <row r="461" spans="2:75" x14ac:dyDescent="0.3">
      <c r="B461" s="158">
        <f t="shared" si="406"/>
        <v>44361</v>
      </c>
      <c r="C461" s="61"/>
      <c r="D461" s="17">
        <v>11521</v>
      </c>
      <c r="E461" s="16"/>
      <c r="F461" s="16"/>
      <c r="G461" s="16"/>
      <c r="H461" s="16">
        <f t="shared" si="382"/>
        <v>33835043</v>
      </c>
      <c r="I461" s="16"/>
      <c r="J461" s="436">
        <f t="shared" si="383"/>
        <v>3.4062094420563298E-4</v>
      </c>
      <c r="K461" s="16"/>
      <c r="L461" s="16"/>
      <c r="M461" s="16"/>
      <c r="N461" s="16">
        <f t="shared" si="384"/>
        <v>86885</v>
      </c>
      <c r="O461" s="16">
        <f t="shared" si="385"/>
        <v>74856.289823008847</v>
      </c>
      <c r="P461" s="41"/>
      <c r="Q461" s="17">
        <f t="shared" si="386"/>
        <v>86885</v>
      </c>
      <c r="R461" s="16"/>
      <c r="S461" s="60">
        <f t="shared" si="387"/>
        <v>-8.5324771028529325E-2</v>
      </c>
      <c r="T461" s="16"/>
      <c r="U461" s="41"/>
      <c r="V461" s="10">
        <f t="shared" si="356"/>
        <v>353</v>
      </c>
      <c r="W461" s="34">
        <v>252</v>
      </c>
      <c r="X461" s="33">
        <v>4256</v>
      </c>
      <c r="Y461" s="33"/>
      <c r="Z461" s="33">
        <f t="shared" si="388"/>
        <v>2014</v>
      </c>
      <c r="AA461" s="33">
        <f t="shared" si="389"/>
        <v>600858</v>
      </c>
      <c r="AB461" s="33"/>
      <c r="AC461" s="46">
        <f t="shared" si="390"/>
        <v>1.7758452383228832E-2</v>
      </c>
      <c r="AD461" s="33"/>
      <c r="AE461" s="33">
        <f t="shared" si="391"/>
        <v>1329.3318584070796</v>
      </c>
      <c r="AF461" s="50"/>
      <c r="AG461" s="33">
        <f t="shared" si="392"/>
        <v>2415</v>
      </c>
      <c r="AH461" s="33">
        <f t="shared" si="381"/>
        <v>1158436468.060914</v>
      </c>
      <c r="AI461" s="213">
        <f t="shared" si="393"/>
        <v>-0.12468285610728524</v>
      </c>
      <c r="AJ461" s="50"/>
      <c r="AK461" s="111"/>
      <c r="AL461" s="23">
        <f t="shared" si="394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95"/>
        <v>5.1461732642651093E-3</v>
      </c>
      <c r="AS461" s="25"/>
      <c r="AT461" s="25"/>
      <c r="AU461" s="24"/>
      <c r="AV461" s="298">
        <f t="shared" si="396"/>
        <v>0.84368989866512067</v>
      </c>
      <c r="AW461" s="298"/>
      <c r="AX461" s="24">
        <f t="shared" si="397"/>
        <v>63155.495575221241</v>
      </c>
      <c r="AY461" s="308"/>
      <c r="AZ461" s="111"/>
      <c r="BA461" s="65">
        <f t="shared" si="398"/>
        <v>1054127</v>
      </c>
      <c r="BB461" s="66"/>
      <c r="BC461" s="66">
        <v>495403788</v>
      </c>
      <c r="BD461" s="66"/>
      <c r="BE461" s="66">
        <f t="shared" si="399"/>
        <v>11521</v>
      </c>
      <c r="BF461" s="66"/>
      <c r="BG461" s="144">
        <f t="shared" si="400"/>
        <v>1.0929423115051603E-2</v>
      </c>
      <c r="BH461" s="66"/>
      <c r="BI461" s="170"/>
      <c r="BJ461" s="66"/>
      <c r="BK461" s="66">
        <f t="shared" si="401"/>
        <v>5670180</v>
      </c>
      <c r="BL461" s="66"/>
      <c r="BM461" s="144">
        <f t="shared" si="402"/>
        <v>1.5323146707864653E-2</v>
      </c>
      <c r="BN461" s="65">
        <f t="shared" si="403"/>
        <v>1096026.0796460176</v>
      </c>
      <c r="BO461" s="66"/>
      <c r="BP461" s="66">
        <f t="shared" si="404"/>
        <v>32928065</v>
      </c>
      <c r="BQ461" s="66"/>
      <c r="BR461" s="435">
        <f t="shared" si="405"/>
        <v>6.6467123985737467E-2</v>
      </c>
      <c r="BS461" s="66"/>
      <c r="BT461" s="75"/>
      <c r="BU461" s="170"/>
      <c r="BV461" s="1"/>
      <c r="BW461" s="61">
        <f t="shared" si="189"/>
        <v>452</v>
      </c>
    </row>
    <row r="462" spans="2:75" x14ac:dyDescent="0.3">
      <c r="B462" s="158">
        <f t="shared" si="406"/>
        <v>44362</v>
      </c>
      <c r="C462" s="61"/>
      <c r="D462" s="17">
        <v>12580</v>
      </c>
      <c r="E462" s="16"/>
      <c r="F462" s="16"/>
      <c r="G462" s="16"/>
      <c r="H462" s="16">
        <f t="shared" si="382"/>
        <v>33847623</v>
      </c>
      <c r="I462" s="16"/>
      <c r="J462" s="436">
        <f t="shared" si="383"/>
        <v>3.7180387209793112E-4</v>
      </c>
      <c r="K462" s="16"/>
      <c r="L462" s="16"/>
      <c r="M462" s="16"/>
      <c r="N462" s="16">
        <f t="shared" si="384"/>
        <v>85923</v>
      </c>
      <c r="O462" s="16">
        <f t="shared" si="385"/>
        <v>74718.814569536422</v>
      </c>
      <c r="P462" s="41"/>
      <c r="Q462" s="17">
        <f t="shared" si="386"/>
        <v>85923</v>
      </c>
      <c r="R462" s="16"/>
      <c r="S462" s="60">
        <f t="shared" si="387"/>
        <v>-0.10080999623257567</v>
      </c>
      <c r="T462" s="16"/>
      <c r="U462" s="41"/>
      <c r="V462" s="10">
        <f t="shared" si="356"/>
        <v>354</v>
      </c>
      <c r="W462" s="34">
        <v>353</v>
      </c>
      <c r="X462" s="33">
        <v>4256</v>
      </c>
      <c r="Y462" s="33"/>
      <c r="Z462" s="33">
        <f t="shared" si="388"/>
        <v>1915</v>
      </c>
      <c r="AA462" s="33">
        <f t="shared" si="389"/>
        <v>601211</v>
      </c>
      <c r="AB462" s="33"/>
      <c r="AC462" s="46">
        <f t="shared" si="390"/>
        <v>1.7762281268613751E-2</v>
      </c>
      <c r="AD462" s="33"/>
      <c r="AE462" s="33">
        <f t="shared" si="391"/>
        <v>1327.176600441501</v>
      </c>
      <c r="AF462" s="50"/>
      <c r="AG462" s="33">
        <f t="shared" si="392"/>
        <v>2367</v>
      </c>
      <c r="AH462" s="33">
        <f t="shared" si="381"/>
        <v>1158418634.060914</v>
      </c>
      <c r="AI462" s="213">
        <f t="shared" si="393"/>
        <v>-0.17612252001392273</v>
      </c>
      <c r="AJ462" s="50"/>
      <c r="AK462" s="111"/>
      <c r="AL462" s="23">
        <f t="shared" si="394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95"/>
        <v>1.1355943911999194E-3</v>
      </c>
      <c r="AS462" s="25"/>
      <c r="AT462" s="25"/>
      <c r="AU462" s="24"/>
      <c r="AV462" s="298">
        <f t="shared" si="396"/>
        <v>0.84433406150854373</v>
      </c>
      <c r="AW462" s="298"/>
      <c r="AX462" s="24">
        <f t="shared" si="397"/>
        <v>63087.640176600442</v>
      </c>
      <c r="AY462" s="308"/>
      <c r="AZ462" s="111"/>
      <c r="BA462" s="65">
        <f t="shared" si="398"/>
        <v>613617</v>
      </c>
      <c r="BB462" s="66"/>
      <c r="BC462" s="66">
        <v>496017405</v>
      </c>
      <c r="BD462" s="66"/>
      <c r="BE462" s="66">
        <f t="shared" si="399"/>
        <v>12580</v>
      </c>
      <c r="BF462" s="66"/>
      <c r="BG462" s="144">
        <f t="shared" si="400"/>
        <v>2.0501387673418435E-2</v>
      </c>
      <c r="BH462" s="66"/>
      <c r="BI462" s="170"/>
      <c r="BJ462" s="66"/>
      <c r="BK462" s="66">
        <f t="shared" si="401"/>
        <v>5694671</v>
      </c>
      <c r="BL462" s="66"/>
      <c r="BM462" s="144">
        <f t="shared" si="402"/>
        <v>1.5088316778967565E-2</v>
      </c>
      <c r="BN462" s="65">
        <f t="shared" si="403"/>
        <v>1094961.1589403974</v>
      </c>
      <c r="BO462" s="66"/>
      <c r="BP462" s="66">
        <f t="shared" si="404"/>
        <v>32940645</v>
      </c>
      <c r="BQ462" s="66"/>
      <c r="BR462" s="435">
        <f t="shared" si="405"/>
        <v>6.6410260341570077E-2</v>
      </c>
      <c r="BS462" s="66"/>
      <c r="BT462" s="75"/>
      <c r="BU462" s="170"/>
      <c r="BV462" s="1"/>
      <c r="BW462" s="61">
        <f t="shared" si="189"/>
        <v>453</v>
      </c>
    </row>
    <row r="463" spans="2:75" x14ac:dyDescent="0.3">
      <c r="B463" s="158">
        <f t="shared" si="406"/>
        <v>44363</v>
      </c>
      <c r="C463" s="61"/>
      <c r="D463" s="17">
        <v>14063</v>
      </c>
      <c r="E463" s="16"/>
      <c r="F463" s="16"/>
      <c r="G463" s="16"/>
      <c r="H463" s="16">
        <f t="shared" si="382"/>
        <v>33861686</v>
      </c>
      <c r="I463" s="16"/>
      <c r="J463" s="436">
        <f t="shared" si="383"/>
        <v>4.1547969262125143E-4</v>
      </c>
      <c r="K463" s="16"/>
      <c r="L463" s="16"/>
      <c r="M463" s="16"/>
      <c r="N463" s="16">
        <f t="shared" si="384"/>
        <v>85785</v>
      </c>
      <c r="O463" s="16">
        <f t="shared" si="385"/>
        <v>74585.211453744487</v>
      </c>
      <c r="P463" s="41"/>
      <c r="Q463" s="17">
        <f t="shared" si="386"/>
        <v>85785</v>
      </c>
      <c r="R463" s="16"/>
      <c r="S463" s="60">
        <f t="shared" si="387"/>
        <v>-7.5423299526852977E-2</v>
      </c>
      <c r="T463" s="16"/>
      <c r="U463" s="41"/>
      <c r="V463" s="10">
        <f t="shared" si="356"/>
        <v>355</v>
      </c>
      <c r="W463" s="34">
        <v>434</v>
      </c>
      <c r="X463" s="33">
        <v>4256</v>
      </c>
      <c r="Y463" s="33"/>
      <c r="Z463" s="33">
        <f t="shared" si="388"/>
        <v>1868</v>
      </c>
      <c r="AA463" s="33">
        <f t="shared" si="389"/>
        <v>601645</v>
      </c>
      <c r="AB463" s="33"/>
      <c r="AC463" s="46">
        <f t="shared" si="390"/>
        <v>1.7767721311927588E-2</v>
      </c>
      <c r="AD463" s="33"/>
      <c r="AE463" s="33">
        <f t="shared" si="391"/>
        <v>1325.2092511013216</v>
      </c>
      <c r="AF463" s="50"/>
      <c r="AG463" s="33">
        <f t="shared" si="392"/>
        <v>2349</v>
      </c>
      <c r="AH463" s="33">
        <f t="shared" si="381"/>
        <v>1158393604.060914</v>
      </c>
      <c r="AI463" s="213">
        <f t="shared" si="393"/>
        <v>-0.16435432230522945</v>
      </c>
      <c r="AJ463" s="50"/>
      <c r="AK463" s="111"/>
      <c r="AL463" s="23">
        <f t="shared" si="394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95"/>
        <v>1.3224533893265477E-3</v>
      </c>
      <c r="AS463" s="25"/>
      <c r="AT463" s="25"/>
      <c r="AU463" s="24"/>
      <c r="AV463" s="298">
        <f t="shared" si="396"/>
        <v>0.84509953225601353</v>
      </c>
      <c r="AW463" s="298"/>
      <c r="AX463" s="24">
        <f t="shared" si="397"/>
        <v>63031.927312775333</v>
      </c>
      <c r="AY463" s="308"/>
      <c r="AZ463" s="111"/>
      <c r="BA463" s="65">
        <f t="shared" si="398"/>
        <v>607828</v>
      </c>
      <c r="BB463" s="66"/>
      <c r="BC463" s="66">
        <v>496625233</v>
      </c>
      <c r="BD463" s="66"/>
      <c r="BE463" s="66">
        <f t="shared" si="399"/>
        <v>14063</v>
      </c>
      <c r="BF463" s="66"/>
      <c r="BG463" s="144">
        <f t="shared" si="400"/>
        <v>2.3136479398777287E-2</v>
      </c>
      <c r="BH463" s="66"/>
      <c r="BI463" s="170"/>
      <c r="BJ463" s="66"/>
      <c r="BK463" s="66">
        <f t="shared" si="401"/>
        <v>5543952</v>
      </c>
      <c r="BL463" s="66"/>
      <c r="BM463" s="144">
        <f t="shared" si="402"/>
        <v>1.5473618819210557E-2</v>
      </c>
      <c r="BN463" s="65">
        <f t="shared" si="403"/>
        <v>1093888.1784140968</v>
      </c>
      <c r="BO463" s="66"/>
      <c r="BP463" s="66">
        <f t="shared" si="404"/>
        <v>32954708</v>
      </c>
      <c r="BQ463" s="66"/>
      <c r="BR463" s="435">
        <f t="shared" si="405"/>
        <v>6.6357296831109663E-2</v>
      </c>
      <c r="BS463" s="66"/>
      <c r="BT463" s="75"/>
      <c r="BU463" s="170"/>
      <c r="BV463" s="1"/>
      <c r="BW463" s="61">
        <f t="shared" si="189"/>
        <v>454</v>
      </c>
    </row>
    <row r="464" spans="2:75" x14ac:dyDescent="0.3">
      <c r="B464" s="158">
        <f t="shared" si="406"/>
        <v>44364</v>
      </c>
      <c r="C464" s="61"/>
      <c r="D464" s="17">
        <v>13733</v>
      </c>
      <c r="E464" s="16"/>
      <c r="F464" s="16"/>
      <c r="G464" s="16"/>
      <c r="H464" s="16">
        <f t="shared" si="382"/>
        <v>33875419</v>
      </c>
      <c r="I464" s="16"/>
      <c r="J464" s="436">
        <f t="shared" si="383"/>
        <v>4.0556161320496562E-4</v>
      </c>
      <c r="K464" s="16"/>
      <c r="L464" s="16"/>
      <c r="M464" s="16"/>
      <c r="N464" s="16">
        <f t="shared" si="384"/>
        <v>82754</v>
      </c>
      <c r="O464" s="16">
        <f t="shared" si="385"/>
        <v>74451.470329670323</v>
      </c>
      <c r="P464" s="41"/>
      <c r="Q464" s="17">
        <f t="shared" si="386"/>
        <v>82754</v>
      </c>
      <c r="R464" s="16"/>
      <c r="S464" s="60">
        <f t="shared" si="387"/>
        <v>-9.7813051915487434E-2</v>
      </c>
      <c r="T464" s="16"/>
      <c r="U464" s="41"/>
      <c r="V464" s="10">
        <f t="shared" si="356"/>
        <v>356</v>
      </c>
      <c r="W464" s="34">
        <v>375</v>
      </c>
      <c r="X464" s="33">
        <v>4256</v>
      </c>
      <c r="Y464" s="33"/>
      <c r="Z464" s="33">
        <f t="shared" si="388"/>
        <v>1822</v>
      </c>
      <c r="AA464" s="33">
        <f t="shared" si="389"/>
        <v>602020</v>
      </c>
      <c r="AB464" s="33"/>
      <c r="AC464" s="46">
        <f t="shared" si="390"/>
        <v>1.7771588301239906E-2</v>
      </c>
      <c r="AD464" s="33"/>
      <c r="AE464" s="33">
        <f t="shared" si="391"/>
        <v>1323.1208791208792</v>
      </c>
      <c r="AF464" s="50"/>
      <c r="AG464" s="33">
        <f t="shared" si="392"/>
        <v>2243</v>
      </c>
      <c r="AH464" s="33">
        <f t="shared" si="381"/>
        <v>1158366098.060914</v>
      </c>
      <c r="AI464" s="213">
        <f t="shared" si="393"/>
        <v>-0.17476085356880058</v>
      </c>
      <c r="AJ464" s="50"/>
      <c r="AK464" s="111"/>
      <c r="AL464" s="23">
        <f t="shared" si="394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95"/>
        <v>1.0241645596359723E-3</v>
      </c>
      <c r="AS464" s="25"/>
      <c r="AT464" s="25"/>
      <c r="AU464" s="24"/>
      <c r="AV464" s="298">
        <f t="shared" si="396"/>
        <v>0.84562210138271643</v>
      </c>
      <c r="AW464" s="298"/>
      <c r="AX464" s="24">
        <f t="shared" si="397"/>
        <v>62957.808791208794</v>
      </c>
      <c r="AY464" s="308"/>
      <c r="AZ464" s="111"/>
      <c r="BA464" s="65">
        <f t="shared" si="398"/>
        <v>784478</v>
      </c>
      <c r="BB464" s="66"/>
      <c r="BC464" s="66">
        <v>497409711</v>
      </c>
      <c r="BD464" s="66"/>
      <c r="BE464" s="66">
        <f t="shared" si="399"/>
        <v>13733</v>
      </c>
      <c r="BF464" s="66"/>
      <c r="BG464" s="144">
        <f t="shared" si="400"/>
        <v>1.750590838748824E-2</v>
      </c>
      <c r="BH464" s="66"/>
      <c r="BI464" s="170"/>
      <c r="BJ464" s="66"/>
      <c r="BK464" s="66">
        <f t="shared" si="401"/>
        <v>5409711</v>
      </c>
      <c r="BL464" s="66"/>
      <c r="BM464" s="144">
        <f t="shared" si="402"/>
        <v>1.5297305161033557E-2</v>
      </c>
      <c r="BN464" s="65">
        <f t="shared" si="403"/>
        <v>1093208.1560439561</v>
      </c>
      <c r="BO464" s="66"/>
      <c r="BP464" s="66">
        <f t="shared" si="404"/>
        <v>32968441</v>
      </c>
      <c r="BQ464" s="66"/>
      <c r="BR464" s="435">
        <f t="shared" si="405"/>
        <v>6.6280252015425575E-2</v>
      </c>
      <c r="BS464" s="66"/>
      <c r="BT464" s="75"/>
      <c r="BU464" s="170"/>
      <c r="BV464" s="1"/>
      <c r="BW464" s="61">
        <f t="shared" si="189"/>
        <v>455</v>
      </c>
    </row>
    <row r="465" spans="2:75" x14ac:dyDescent="0.3">
      <c r="B465" s="158">
        <f t="shared" si="406"/>
        <v>44365</v>
      </c>
      <c r="C465" s="61"/>
      <c r="D465" s="17">
        <v>13389</v>
      </c>
      <c r="E465" s="16"/>
      <c r="F465" s="16"/>
      <c r="G465" s="16"/>
      <c r="H465" s="16">
        <f t="shared" si="382"/>
        <v>33888808</v>
      </c>
      <c r="I465" s="16"/>
      <c r="J465" s="436">
        <f t="shared" si="383"/>
        <v>3.952423437183168E-4</v>
      </c>
      <c r="K465" s="16"/>
      <c r="L465" s="16"/>
      <c r="M465" s="16"/>
      <c r="N465" s="16">
        <f t="shared" si="384"/>
        <v>79998</v>
      </c>
      <c r="O465" s="16">
        <f t="shared" si="385"/>
        <v>74317.561403508778</v>
      </c>
      <c r="P465" s="41"/>
      <c r="Q465" s="17">
        <f t="shared" si="386"/>
        <v>79998</v>
      </c>
      <c r="R465" s="16"/>
      <c r="S465" s="60">
        <f t="shared" si="387"/>
        <v>-0.12037912607481363</v>
      </c>
      <c r="T465" s="16"/>
      <c r="U465" s="41"/>
      <c r="V465" s="10">
        <f t="shared" si="356"/>
        <v>357</v>
      </c>
      <c r="W465" s="34">
        <v>393</v>
      </c>
      <c r="X465" s="33">
        <v>4256</v>
      </c>
      <c r="Y465" s="33"/>
      <c r="Z465" s="33">
        <f t="shared" si="388"/>
        <v>1907</v>
      </c>
      <c r="AA465" s="33">
        <f t="shared" si="389"/>
        <v>602413</v>
      </c>
      <c r="AB465" s="33"/>
      <c r="AC465" s="46">
        <f t="shared" si="390"/>
        <v>1.7776163741138374E-2</v>
      </c>
      <c r="AD465" s="33"/>
      <c r="AE465" s="33">
        <f t="shared" si="391"/>
        <v>1321.0811403508771</v>
      </c>
      <c r="AF465" s="50"/>
      <c r="AG465" s="33">
        <f t="shared" si="392"/>
        <v>2215</v>
      </c>
      <c r="AH465" s="33">
        <f t="shared" si="381"/>
        <v>1158337557.060914</v>
      </c>
      <c r="AI465" s="213">
        <f t="shared" si="393"/>
        <v>-0.15425735013363878</v>
      </c>
      <c r="AJ465" s="50"/>
      <c r="AK465" s="111"/>
      <c r="AL465" s="23">
        <f t="shared" si="394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95"/>
        <v>1.0516723863527233E-3</v>
      </c>
      <c r="AS465" s="25"/>
      <c r="AT465" s="25"/>
      <c r="AU465" s="24"/>
      <c r="AV465" s="298">
        <f t="shared" si="396"/>
        <v>0.8461769738256949</v>
      </c>
      <c r="AW465" s="298"/>
      <c r="AX465" s="24">
        <f t="shared" si="397"/>
        <v>62885.809210526313</v>
      </c>
      <c r="AY465" s="308"/>
      <c r="AZ465" s="111"/>
      <c r="BA465" s="65">
        <f t="shared" si="398"/>
        <v>820364</v>
      </c>
      <c r="BB465" s="66"/>
      <c r="BC465" s="66">
        <v>498230075</v>
      </c>
      <c r="BD465" s="66"/>
      <c r="BE465" s="66">
        <f t="shared" si="399"/>
        <v>13389</v>
      </c>
      <c r="BF465" s="66"/>
      <c r="BG465" s="144">
        <f t="shared" si="400"/>
        <v>1.6320803935813859E-2</v>
      </c>
      <c r="BH465" s="66"/>
      <c r="BI465" s="170"/>
      <c r="BJ465" s="66"/>
      <c r="BK465" s="66">
        <f t="shared" si="401"/>
        <v>4983961</v>
      </c>
      <c r="BL465" s="66"/>
      <c r="BM465" s="144">
        <f t="shared" si="402"/>
        <v>1.6051088682275002E-2</v>
      </c>
      <c r="BN465" s="65">
        <f t="shared" si="403"/>
        <v>1092609.8135964912</v>
      </c>
      <c r="BO465" s="66"/>
      <c r="BP465" s="66">
        <f t="shared" si="404"/>
        <v>32981830</v>
      </c>
      <c r="BQ465" s="66"/>
      <c r="BR465" s="435">
        <f t="shared" si="405"/>
        <v>6.619799095829372E-2</v>
      </c>
      <c r="BS465" s="66"/>
      <c r="BT465" s="75"/>
      <c r="BU465" s="170"/>
      <c r="BV465" s="1"/>
      <c r="BW465" s="61">
        <f t="shared" si="189"/>
        <v>456</v>
      </c>
    </row>
    <row r="466" spans="2:75" x14ac:dyDescent="0.3">
      <c r="B466" s="158">
        <f t="shared" si="406"/>
        <v>44366</v>
      </c>
      <c r="C466" s="61"/>
      <c r="D466" s="17">
        <v>7782</v>
      </c>
      <c r="E466" s="16"/>
      <c r="F466" s="16"/>
      <c r="G466" s="16"/>
      <c r="H466" s="16">
        <f t="shared" si="382"/>
        <v>33896590</v>
      </c>
      <c r="I466" s="16"/>
      <c r="J466" s="436">
        <f t="shared" si="383"/>
        <v>2.2963333499366516E-4</v>
      </c>
      <c r="K466" s="16"/>
      <c r="L466" s="16"/>
      <c r="M466" s="16"/>
      <c r="N466" s="16">
        <f t="shared" si="384"/>
        <v>78353</v>
      </c>
      <c r="O466" s="16">
        <f t="shared" si="385"/>
        <v>74171.969365426703</v>
      </c>
      <c r="P466" s="41"/>
      <c r="Q466" s="17">
        <f t="shared" si="386"/>
        <v>78353</v>
      </c>
      <c r="R466" s="16"/>
      <c r="S466" s="60">
        <f t="shared" si="387"/>
        <v>-0.11734820322180917</v>
      </c>
      <c r="T466" s="16"/>
      <c r="U466" s="41"/>
      <c r="V466" s="10">
        <f t="shared" si="356"/>
        <v>358</v>
      </c>
      <c r="W466" s="34">
        <v>170</v>
      </c>
      <c r="X466" s="33">
        <v>4256</v>
      </c>
      <c r="Y466" s="33"/>
      <c r="Z466" s="33">
        <f t="shared" si="388"/>
        <v>1977</v>
      </c>
      <c r="AA466" s="33">
        <f t="shared" si="389"/>
        <v>602583</v>
      </c>
      <c r="AB466" s="33"/>
      <c r="AC466" s="46">
        <f t="shared" si="390"/>
        <v>1.7777097932269881E-2</v>
      </c>
      <c r="AD466" s="33"/>
      <c r="AE466" s="33">
        <f t="shared" si="391"/>
        <v>1318.562363238512</v>
      </c>
      <c r="AF466" s="50"/>
      <c r="AG466" s="33">
        <f t="shared" si="392"/>
        <v>2077</v>
      </c>
      <c r="AH466" s="33">
        <f t="shared" si="381"/>
        <v>1158307343.060914</v>
      </c>
      <c r="AI466" s="213">
        <f t="shared" si="393"/>
        <v>-0.18196140212682158</v>
      </c>
      <c r="AJ466" s="50"/>
      <c r="AK466" s="111"/>
      <c r="AL466" s="23">
        <f t="shared" si="394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95"/>
        <v>6.5957758508887368E-4</v>
      </c>
      <c r="AS466" s="25"/>
      <c r="AT466" s="25"/>
      <c r="AU466" s="24"/>
      <c r="AV466" s="298">
        <f t="shared" si="396"/>
        <v>0.84654069922667741</v>
      </c>
      <c r="AW466" s="298"/>
      <c r="AX466" s="24">
        <f t="shared" si="397"/>
        <v>62789.590809628011</v>
      </c>
      <c r="AY466" s="308"/>
      <c r="AZ466" s="111"/>
      <c r="BA466" s="65">
        <f t="shared" si="398"/>
        <v>459136</v>
      </c>
      <c r="BB466" s="66"/>
      <c r="BC466" s="66">
        <v>498689211</v>
      </c>
      <c r="BD466" s="66"/>
      <c r="BE466" s="66">
        <f t="shared" si="399"/>
        <v>7782</v>
      </c>
      <c r="BF466" s="66"/>
      <c r="BG466" s="144">
        <f t="shared" si="400"/>
        <v>1.6949226373013659E-2</v>
      </c>
      <c r="BH466" s="66"/>
      <c r="BI466" s="170"/>
      <c r="BJ466" s="66"/>
      <c r="BK466" s="66">
        <f t="shared" si="401"/>
        <v>4794358</v>
      </c>
      <c r="BL466" s="66"/>
      <c r="BM466" s="144">
        <f t="shared" si="402"/>
        <v>1.6342751208816696E-2</v>
      </c>
      <c r="BN466" s="65">
        <f t="shared" si="403"/>
        <v>1091223.6564551422</v>
      </c>
      <c r="BO466" s="66"/>
      <c r="BP466" s="66">
        <f t="shared" si="404"/>
        <v>32989612</v>
      </c>
      <c r="BQ466" s="66"/>
      <c r="BR466" s="435">
        <f t="shared" si="405"/>
        <v>6.6152648327497107E-2</v>
      </c>
      <c r="BS466" s="66"/>
      <c r="BT466" s="75"/>
      <c r="BU466" s="170"/>
      <c r="BV466" s="1"/>
      <c r="BW466" s="61">
        <f t="shared" si="189"/>
        <v>457</v>
      </c>
    </row>
    <row r="467" spans="2:75" x14ac:dyDescent="0.3">
      <c r="B467" s="347">
        <f t="shared" si="406"/>
        <v>44367</v>
      </c>
      <c r="C467" s="61"/>
      <c r="D467" s="17">
        <v>4422</v>
      </c>
      <c r="E467" s="16"/>
      <c r="F467" s="16"/>
      <c r="G467" s="16"/>
      <c r="H467" s="16">
        <f t="shared" si="382"/>
        <v>33901012</v>
      </c>
      <c r="I467" s="16"/>
      <c r="J467" s="436">
        <f t="shared" si="383"/>
        <v>1.3045560040110229E-4</v>
      </c>
      <c r="K467" s="16"/>
      <c r="L467" s="16"/>
      <c r="M467" s="16"/>
      <c r="N467" s="16">
        <f t="shared" si="384"/>
        <v>77490</v>
      </c>
      <c r="O467" s="16">
        <f t="shared" si="385"/>
        <v>74019.676855895203</v>
      </c>
      <c r="P467" s="41"/>
      <c r="Q467" s="17">
        <f t="shared" si="386"/>
        <v>77490</v>
      </c>
      <c r="R467" s="16"/>
      <c r="S467" s="60">
        <f t="shared" si="387"/>
        <v>-0.11588531267470649</v>
      </c>
      <c r="T467" s="16"/>
      <c r="U467" s="41"/>
      <c r="V467" s="10">
        <f t="shared" si="356"/>
        <v>359</v>
      </c>
      <c r="W467" s="34">
        <v>86</v>
      </c>
      <c r="X467" s="33">
        <v>4256</v>
      </c>
      <c r="Y467" s="33"/>
      <c r="Z467" s="33">
        <f t="shared" si="388"/>
        <v>1811</v>
      </c>
      <c r="AA467" s="33">
        <f t="shared" si="389"/>
        <v>602669</v>
      </c>
      <c r="AB467" s="33"/>
      <c r="AC467" s="46">
        <f t="shared" si="390"/>
        <v>1.7777315910215304E-2</v>
      </c>
      <c r="AD467" s="33"/>
      <c r="AE467" s="33">
        <f t="shared" si="391"/>
        <v>1315.8711790393013</v>
      </c>
      <c r="AF467" s="50"/>
      <c r="AG467" s="33">
        <f t="shared" si="392"/>
        <v>2063</v>
      </c>
      <c r="AH467" s="33">
        <f t="shared" si="381"/>
        <v>1158278329.060914</v>
      </c>
      <c r="AI467" s="213">
        <f t="shared" si="393"/>
        <v>-0.16646464646464645</v>
      </c>
      <c r="AJ467" s="50"/>
      <c r="AK467" s="111"/>
      <c r="AL467" s="23">
        <f t="shared" si="394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95"/>
        <v>5.7404042949459597E-4</v>
      </c>
      <c r="AS467" s="25"/>
      <c r="AT467" s="25"/>
      <c r="AU467" s="24"/>
      <c r="AV467" s="298">
        <f t="shared" si="396"/>
        <v>0.84691616285673121</v>
      </c>
      <c r="AW467" s="298"/>
      <c r="AX467" s="24">
        <f t="shared" si="397"/>
        <v>62688.46069868996</v>
      </c>
      <c r="AY467" s="308"/>
      <c r="AZ467" s="111"/>
      <c r="BA467" s="65">
        <f t="shared" si="398"/>
        <v>372514</v>
      </c>
      <c r="BB467" s="66"/>
      <c r="BC467" s="66">
        <v>499061725</v>
      </c>
      <c r="BD467" s="66"/>
      <c r="BE467" s="66">
        <f t="shared" si="399"/>
        <v>4422</v>
      </c>
      <c r="BF467" s="66"/>
      <c r="BG467" s="144">
        <f t="shared" si="400"/>
        <v>1.1870694792678932E-2</v>
      </c>
      <c r="BH467" s="66"/>
      <c r="BI467" s="170"/>
      <c r="BJ467" s="66"/>
      <c r="BK467" s="66">
        <f t="shared" si="401"/>
        <v>4712064</v>
      </c>
      <c r="BL467" s="66"/>
      <c r="BM467" s="144">
        <f t="shared" si="402"/>
        <v>1.6445022818026241E-2</v>
      </c>
      <c r="BN467" s="65">
        <f t="shared" si="403"/>
        <v>1089654.4213973798</v>
      </c>
      <c r="BO467" s="66"/>
      <c r="BP467" s="66">
        <f t="shared" si="404"/>
        <v>32994034</v>
      </c>
      <c r="BQ467" s="66"/>
      <c r="BR467" s="435">
        <f t="shared" si="405"/>
        <v>6.6112130718900555E-2</v>
      </c>
      <c r="BS467" s="66"/>
      <c r="BT467" s="75"/>
      <c r="BU467" s="170"/>
      <c r="BV467" s="1"/>
      <c r="BW467" s="61">
        <f t="shared" si="189"/>
        <v>458</v>
      </c>
    </row>
    <row r="468" spans="2:75" x14ac:dyDescent="0.3">
      <c r="B468" s="158">
        <f t="shared" si="406"/>
        <v>44368</v>
      </c>
      <c r="C468" s="61"/>
      <c r="D468" s="17">
        <v>9755</v>
      </c>
      <c r="E468" s="16"/>
      <c r="F468" s="16"/>
      <c r="G468" s="16"/>
      <c r="H468" s="16">
        <f t="shared" si="382"/>
        <v>33910767</v>
      </c>
      <c r="I468" s="16"/>
      <c r="J468" s="436">
        <f t="shared" si="383"/>
        <v>2.8774952204966626E-4</v>
      </c>
      <c r="K468" s="16"/>
      <c r="L468" s="16"/>
      <c r="M468" s="16"/>
      <c r="N468" s="16">
        <f t="shared" si="384"/>
        <v>75724</v>
      </c>
      <c r="O468" s="16">
        <f t="shared" si="385"/>
        <v>73879.666666666672</v>
      </c>
      <c r="P468" s="41"/>
      <c r="Q468" s="17">
        <f t="shared" si="386"/>
        <v>75724</v>
      </c>
      <c r="R468" s="16"/>
      <c r="S468" s="60">
        <f t="shared" si="387"/>
        <v>-0.12845715601081889</v>
      </c>
      <c r="T468" s="16"/>
      <c r="U468" s="41"/>
      <c r="V468" s="10">
        <f t="shared" si="356"/>
        <v>360</v>
      </c>
      <c r="W468" s="34">
        <v>237</v>
      </c>
      <c r="X468" s="33">
        <v>4256</v>
      </c>
      <c r="Y468" s="33"/>
      <c r="Z468" s="33">
        <f t="shared" si="388"/>
        <v>1695</v>
      </c>
      <c r="AA468" s="33">
        <f t="shared" si="389"/>
        <v>602906</v>
      </c>
      <c r="AB468" s="33"/>
      <c r="AC468" s="46">
        <f t="shared" si="390"/>
        <v>1.7779190898277234E-2</v>
      </c>
      <c r="AD468" s="33"/>
      <c r="AE468" s="33">
        <f t="shared" si="391"/>
        <v>1313.520697167756</v>
      </c>
      <c r="AF468" s="50"/>
      <c r="AG468" s="33">
        <f t="shared" si="392"/>
        <v>2048</v>
      </c>
      <c r="AH468" s="33">
        <f t="shared" si="381"/>
        <v>1158258690.060914</v>
      </c>
      <c r="AI468" s="213">
        <f t="shared" si="393"/>
        <v>-0.15196687370600415</v>
      </c>
      <c r="AJ468" s="50"/>
      <c r="AK468" s="111"/>
      <c r="AL468" s="23">
        <f t="shared" si="394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95"/>
        <v>2.8150922380253221E-3</v>
      </c>
      <c r="AS468" s="25"/>
      <c r="AT468" s="25"/>
      <c r="AU468" s="24"/>
      <c r="AV468" s="298">
        <f t="shared" si="396"/>
        <v>0.84905599451643188</v>
      </c>
      <c r="AW468" s="298"/>
      <c r="AX468" s="24">
        <f t="shared" si="397"/>
        <v>62727.973856209152</v>
      </c>
      <c r="AY468" s="308"/>
      <c r="AZ468" s="111"/>
      <c r="BA468" s="65">
        <f t="shared" si="398"/>
        <v>1247281</v>
      </c>
      <c r="BB468" s="66"/>
      <c r="BC468" s="66">
        <v>500309006</v>
      </c>
      <c r="BD468" s="66"/>
      <c r="BE468" s="66">
        <f t="shared" si="399"/>
        <v>9755</v>
      </c>
      <c r="BF468" s="66"/>
      <c r="BG468" s="144">
        <f t="shared" si="400"/>
        <v>7.8210122658807432E-3</v>
      </c>
      <c r="BH468" s="66"/>
      <c r="BI468" s="170"/>
      <c r="BJ468" s="66"/>
      <c r="BK468" s="66">
        <f t="shared" si="401"/>
        <v>4905218</v>
      </c>
      <c r="BL468" s="66"/>
      <c r="BM468" s="144">
        <f t="shared" si="402"/>
        <v>1.5437438254528138E-2</v>
      </c>
      <c r="BN468" s="65">
        <f t="shared" si="403"/>
        <v>1089997.834422658</v>
      </c>
      <c r="BO468" s="66"/>
      <c r="BP468" s="66">
        <f t="shared" si="404"/>
        <v>33003789</v>
      </c>
      <c r="BQ468" s="66"/>
      <c r="BR468" s="435">
        <f t="shared" si="405"/>
        <v>6.5966809719991332E-2</v>
      </c>
      <c r="BS468" s="66"/>
      <c r="BT468" s="75"/>
      <c r="BU468" s="170"/>
      <c r="BV468" s="1"/>
      <c r="BW468" s="61">
        <f t="shared" si="189"/>
        <v>459</v>
      </c>
    </row>
    <row r="469" spans="2:75" x14ac:dyDescent="0.3">
      <c r="B469" s="158">
        <f t="shared" si="406"/>
        <v>44369</v>
      </c>
      <c r="C469" s="61"/>
      <c r="D469" s="17">
        <v>12874</v>
      </c>
      <c r="E469" s="16"/>
      <c r="F469" s="16"/>
      <c r="G469" s="16"/>
      <c r="H469" s="16">
        <f t="shared" si="382"/>
        <v>33923641</v>
      </c>
      <c r="I469" s="16"/>
      <c r="J469" s="436">
        <f t="shared" si="383"/>
        <v>3.7964343301347326E-4</v>
      </c>
      <c r="K469" s="16"/>
      <c r="L469" s="16"/>
      <c r="M469" s="16"/>
      <c r="N469" s="16">
        <f t="shared" si="384"/>
        <v>76018</v>
      </c>
      <c r="O469" s="16">
        <f t="shared" si="385"/>
        <v>73747.045652173911</v>
      </c>
      <c r="P469" s="41"/>
      <c r="Q469" s="17">
        <f t="shared" si="386"/>
        <v>76018</v>
      </c>
      <c r="R469" s="16"/>
      <c r="S469" s="60">
        <f t="shared" si="387"/>
        <v>-0.11527763229868604</v>
      </c>
      <c r="T469" s="16"/>
      <c r="U469" s="41"/>
      <c r="V469" s="10">
        <f t="shared" si="356"/>
        <v>361</v>
      </c>
      <c r="W469" s="34">
        <v>431</v>
      </c>
      <c r="X469" s="33">
        <v>4256</v>
      </c>
      <c r="Y469" s="33"/>
      <c r="Z469" s="33">
        <f t="shared" si="388"/>
        <v>1692</v>
      </c>
      <c r="AA469" s="33">
        <f t="shared" si="389"/>
        <v>603337</v>
      </c>
      <c r="AB469" s="33"/>
      <c r="AC469" s="46">
        <f t="shared" si="390"/>
        <v>1.7785148710894566E-2</v>
      </c>
      <c r="AD469" s="33"/>
      <c r="AE469" s="33">
        <f t="shared" si="391"/>
        <v>1311.6021739130435</v>
      </c>
      <c r="AF469" s="50"/>
      <c r="AG469" s="33">
        <f t="shared" si="392"/>
        <v>2126</v>
      </c>
      <c r="AH469" s="33">
        <f t="shared" si="381"/>
        <v>1158245149.060914</v>
      </c>
      <c r="AI469" s="213">
        <f t="shared" si="393"/>
        <v>-0.10181664554288128</v>
      </c>
      <c r="AJ469" s="50"/>
      <c r="AK469" s="111"/>
      <c r="AL469" s="23">
        <f t="shared" si="394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95"/>
        <v>1.0292739615742352E-3</v>
      </c>
      <c r="AS469" s="25"/>
      <c r="AT469" s="25"/>
      <c r="AU469" s="24"/>
      <c r="AV469" s="298">
        <f t="shared" si="396"/>
        <v>0.84960735788944353</v>
      </c>
      <c r="AW469" s="298"/>
      <c r="AX469" s="24">
        <f t="shared" si="397"/>
        <v>62656.032608695656</v>
      </c>
      <c r="AY469" s="308"/>
      <c r="AZ469" s="111"/>
      <c r="BA469" s="65">
        <f t="shared" si="398"/>
        <v>481846</v>
      </c>
      <c r="BB469" s="66"/>
      <c r="BC469" s="66">
        <v>500790852</v>
      </c>
      <c r="BD469" s="66"/>
      <c r="BE469" s="66">
        <f t="shared" si="399"/>
        <v>12874</v>
      </c>
      <c r="BF469" s="66"/>
      <c r="BG469" s="144">
        <f t="shared" si="400"/>
        <v>2.6718080050472558E-2</v>
      </c>
      <c r="BH469" s="66"/>
      <c r="BI469" s="170"/>
      <c r="BJ469" s="66"/>
      <c r="BK469" s="66">
        <f t="shared" si="401"/>
        <v>4773447</v>
      </c>
      <c r="BL469" s="66"/>
      <c r="BM469" s="144">
        <f t="shared" si="402"/>
        <v>1.5925179435322106E-2</v>
      </c>
      <c r="BN469" s="65">
        <f t="shared" si="403"/>
        <v>1088675.7652173913</v>
      </c>
      <c r="BO469" s="66"/>
      <c r="BP469" s="66">
        <f t="shared" si="404"/>
        <v>33016663</v>
      </c>
      <c r="BQ469" s="66"/>
      <c r="BR469" s="435">
        <f t="shared" si="405"/>
        <v>6.5929045764597946E-2</v>
      </c>
      <c r="BS469" s="66"/>
      <c r="BT469" s="75"/>
      <c r="BU469" s="170"/>
      <c r="BV469" s="1"/>
      <c r="BW469" s="61">
        <f t="shared" si="189"/>
        <v>460</v>
      </c>
    </row>
    <row r="470" spans="2:75" x14ac:dyDescent="0.3">
      <c r="B470" s="158">
        <f t="shared" si="406"/>
        <v>44370</v>
      </c>
      <c r="C470" s="61"/>
      <c r="D470" s="17">
        <v>13365</v>
      </c>
      <c r="E470" s="16"/>
      <c r="F470" s="16"/>
      <c r="G470" s="16"/>
      <c r="H470" s="16">
        <f t="shared" si="382"/>
        <v>33937006</v>
      </c>
      <c r="I470" s="16"/>
      <c r="J470" s="436">
        <f t="shared" si="383"/>
        <v>3.9397304080655729E-4</v>
      </c>
      <c r="K470" s="16"/>
      <c r="L470" s="16"/>
      <c r="M470" s="16"/>
      <c r="N470" s="16">
        <f t="shared" si="384"/>
        <v>75320</v>
      </c>
      <c r="O470" s="16">
        <f t="shared" si="385"/>
        <v>73616.065075921913</v>
      </c>
      <c r="P470" s="41"/>
      <c r="Q470" s="17">
        <f t="shared" si="386"/>
        <v>75320</v>
      </c>
      <c r="R470" s="16"/>
      <c r="S470" s="60">
        <f t="shared" si="387"/>
        <v>-0.12199102407180742</v>
      </c>
      <c r="T470" s="16"/>
      <c r="U470" s="41"/>
      <c r="V470" s="10">
        <f t="shared" si="356"/>
        <v>362</v>
      </c>
      <c r="W470" s="34">
        <v>329</v>
      </c>
      <c r="X470" s="33">
        <v>4256</v>
      </c>
      <c r="Y470" s="33"/>
      <c r="Z470" s="33">
        <f t="shared" si="388"/>
        <v>1646</v>
      </c>
      <c r="AA470" s="33">
        <f t="shared" si="389"/>
        <v>603666</v>
      </c>
      <c r="AB470" s="33"/>
      <c r="AC470" s="46">
        <f t="shared" si="390"/>
        <v>1.7787839033295984E-2</v>
      </c>
      <c r="AD470" s="33"/>
      <c r="AE470" s="33">
        <f t="shared" si="391"/>
        <v>1309.4707158351409</v>
      </c>
      <c r="AF470" s="50"/>
      <c r="AG470" s="33">
        <f t="shared" si="392"/>
        <v>2021</v>
      </c>
      <c r="AH470" s="33">
        <f t="shared" si="381"/>
        <v>1158224783.060914</v>
      </c>
      <c r="AI470" s="213">
        <f t="shared" si="393"/>
        <v>-0.13963388676032354</v>
      </c>
      <c r="AJ470" s="50"/>
      <c r="AK470" s="111"/>
      <c r="AL470" s="23">
        <f t="shared" si="394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95"/>
        <v>1.0216927999750188E-3</v>
      </c>
      <c r="AS470" s="25"/>
      <c r="AT470" s="25"/>
      <c r="AU470" s="24"/>
      <c r="AV470" s="298">
        <f t="shared" si="396"/>
        <v>0.85014046318641068</v>
      </c>
      <c r="AW470" s="298"/>
      <c r="AX470" s="24">
        <f t="shared" si="397"/>
        <v>62583.995661605208</v>
      </c>
      <c r="AY470" s="308"/>
      <c r="AZ470" s="111"/>
      <c r="BA470" s="65">
        <f t="shared" si="398"/>
        <v>889271</v>
      </c>
      <c r="BB470" s="66"/>
      <c r="BC470" s="66">
        <f>502180123-500000</f>
        <v>501680123</v>
      </c>
      <c r="BD470" s="66"/>
      <c r="BE470" s="66">
        <f t="shared" si="399"/>
        <v>13365</v>
      </c>
      <c r="BF470" s="66"/>
      <c r="BG470" s="144">
        <f t="shared" si="400"/>
        <v>1.5029164337980211E-2</v>
      </c>
      <c r="BH470" s="66"/>
      <c r="BI470" s="170"/>
      <c r="BJ470" s="66"/>
      <c r="BK470" s="66">
        <f t="shared" si="401"/>
        <v>5054890</v>
      </c>
      <c r="BL470" s="66"/>
      <c r="BM470" s="144">
        <f t="shared" si="402"/>
        <v>1.4900423154608705E-2</v>
      </c>
      <c r="BN470" s="65">
        <f t="shared" si="403"/>
        <v>1088243.2169197397</v>
      </c>
      <c r="BO470" s="66"/>
      <c r="BP470" s="66">
        <f t="shared" si="404"/>
        <v>33030028</v>
      </c>
      <c r="BQ470" s="66"/>
      <c r="BR470" s="435">
        <f t="shared" si="405"/>
        <v>6.5838821363867345E-2</v>
      </c>
      <c r="BS470" s="66"/>
      <c r="BT470" s="75"/>
      <c r="BU470" s="170"/>
      <c r="BV470" s="1"/>
      <c r="BW470" s="61">
        <f t="shared" si="189"/>
        <v>461</v>
      </c>
    </row>
    <row r="471" spans="2:75" x14ac:dyDescent="0.3">
      <c r="B471" s="158">
        <f t="shared" si="406"/>
        <v>44371</v>
      </c>
      <c r="C471" s="61"/>
      <c r="D471" s="17">
        <v>15460</v>
      </c>
      <c r="E471" s="16"/>
      <c r="F471" s="16"/>
      <c r="G471" s="16"/>
      <c r="H471" s="16">
        <f t="shared" si="382"/>
        <v>33952466</v>
      </c>
      <c r="I471" s="16"/>
      <c r="J471" s="436">
        <f t="shared" si="383"/>
        <v>4.555499091463755E-4</v>
      </c>
      <c r="K471" s="16"/>
      <c r="L471" s="16"/>
      <c r="M471" s="16"/>
      <c r="N471" s="16">
        <f t="shared" si="384"/>
        <v>77047</v>
      </c>
      <c r="O471" s="16">
        <f t="shared" si="385"/>
        <v>73490.186147186148</v>
      </c>
      <c r="P471" s="41"/>
      <c r="Q471" s="17">
        <f t="shared" si="386"/>
        <v>77047</v>
      </c>
      <c r="R471" s="16"/>
      <c r="S471" s="60">
        <f t="shared" si="387"/>
        <v>-6.8963433791720041E-2</v>
      </c>
      <c r="T471" s="16"/>
      <c r="U471" s="41"/>
      <c r="V471" s="10">
        <f t="shared" si="356"/>
        <v>363</v>
      </c>
      <c r="W471" s="34">
        <v>380</v>
      </c>
      <c r="X471" s="33">
        <v>4256</v>
      </c>
      <c r="Y471" s="33"/>
      <c r="Z471" s="33">
        <f t="shared" si="388"/>
        <v>1633</v>
      </c>
      <c r="AA471" s="33">
        <f t="shared" si="389"/>
        <v>604046</v>
      </c>
      <c r="AB471" s="33"/>
      <c r="AC471" s="46">
        <f t="shared" si="390"/>
        <v>1.7790931592421004E-2</v>
      </c>
      <c r="AD471" s="33"/>
      <c r="AE471" s="33">
        <f t="shared" si="391"/>
        <v>1307.4588744588746</v>
      </c>
      <c r="AF471" s="50"/>
      <c r="AG471" s="33">
        <f t="shared" si="392"/>
        <v>2026</v>
      </c>
      <c r="AH471" s="33">
        <f t="shared" si="381"/>
        <v>1158202045.060914</v>
      </c>
      <c r="AI471" s="213">
        <f t="shared" si="393"/>
        <v>-9.6745430227374057E-2</v>
      </c>
      <c r="AJ471" s="50"/>
      <c r="AK471" s="111" t="s">
        <v>26</v>
      </c>
      <c r="AL471" s="23">
        <f t="shared" si="394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95"/>
        <v>8.0807669082439554E-4</v>
      </c>
      <c r="AS471" s="25"/>
      <c r="AT471" s="25"/>
      <c r="AU471" s="24"/>
      <c r="AV471" s="298">
        <f t="shared" si="396"/>
        <v>0.85044002400296936</v>
      </c>
      <c r="AW471" s="298"/>
      <c r="AX471" s="24">
        <f t="shared" si="397"/>
        <v>62498.995670995668</v>
      </c>
      <c r="AY471" s="308"/>
      <c r="AZ471" s="111" t="s">
        <v>26</v>
      </c>
      <c r="BA471" s="65">
        <f t="shared" si="398"/>
        <v>500000</v>
      </c>
      <c r="BB471" s="66"/>
      <c r="BC471" s="66">
        <v>502180123</v>
      </c>
      <c r="BD471" s="66"/>
      <c r="BE471" s="66">
        <f t="shared" si="399"/>
        <v>15460</v>
      </c>
      <c r="BF471" s="66"/>
      <c r="BG471" s="144">
        <f t="shared" si="400"/>
        <v>3.092E-2</v>
      </c>
      <c r="BH471" s="66"/>
      <c r="BI471" s="170"/>
      <c r="BJ471" s="66"/>
      <c r="BK471" s="66">
        <f t="shared" si="401"/>
        <v>4770412</v>
      </c>
      <c r="BL471" s="66"/>
      <c r="BM471" s="144">
        <f t="shared" si="402"/>
        <v>1.6151015887097383E-2</v>
      </c>
      <c r="BN471" s="65">
        <f t="shared" si="403"/>
        <v>1086969.9632034632</v>
      </c>
      <c r="BO471" s="66"/>
      <c r="BP471" s="66">
        <f t="shared" si="404"/>
        <v>33045488</v>
      </c>
      <c r="BQ471" s="66"/>
      <c r="BR471" s="435">
        <f t="shared" si="405"/>
        <v>6.580405413616898E-2</v>
      </c>
      <c r="BS471" s="66"/>
      <c r="BT471" s="75"/>
      <c r="BU471" s="170"/>
      <c r="BV471" s="1"/>
      <c r="BW471" s="61">
        <f t="shared" ref="BW471:BW725" si="407">+BW470+1</f>
        <v>462</v>
      </c>
    </row>
    <row r="472" spans="2:75" x14ac:dyDescent="0.3">
      <c r="B472" s="158">
        <f t="shared" si="406"/>
        <v>44372</v>
      </c>
      <c r="C472" s="61"/>
      <c r="D472" s="17">
        <v>15537</v>
      </c>
      <c r="E472" s="16"/>
      <c r="F472" s="16"/>
      <c r="G472" s="16"/>
      <c r="H472" s="16">
        <f t="shared" ref="H472:H503" si="408">+H471+D472</f>
        <v>33968003</v>
      </c>
      <c r="I472" s="16"/>
      <c r="J472" s="436">
        <f t="shared" ref="J472:J503" si="409">+D472/H471</f>
        <v>4.5761035442904206E-4</v>
      </c>
      <c r="K472" s="16"/>
      <c r="L472" s="16"/>
      <c r="M472" s="16"/>
      <c r="N472" s="16">
        <f t="shared" ref="N472:N503" si="410">SUM(D466:D472)</f>
        <v>79195</v>
      </c>
      <c r="O472" s="16">
        <f t="shared" ref="O472:O503" si="411">+H472/BW472</f>
        <v>73365.017278617714</v>
      </c>
      <c r="P472" s="41"/>
      <c r="Q472" s="17">
        <f t="shared" ref="Q472:Q503" si="412">SUM(D466:D472)</f>
        <v>79195</v>
      </c>
      <c r="R472" s="16"/>
      <c r="S472" s="60">
        <f t="shared" ref="S472:S503" si="413">+(Q472-Q465)/Q465</f>
        <v>-1.0037750943773594E-2</v>
      </c>
      <c r="T472" s="16"/>
      <c r="U472" s="41"/>
      <c r="V472" s="10">
        <f t="shared" si="356"/>
        <v>364</v>
      </c>
      <c r="W472" s="34">
        <v>387</v>
      </c>
      <c r="X472" s="33">
        <v>4256</v>
      </c>
      <c r="Y472" s="33"/>
      <c r="Z472" s="33">
        <f t="shared" ref="Z472:Z503" si="414">SUM(W467:W472)</f>
        <v>1850</v>
      </c>
      <c r="AA472" s="33">
        <f t="shared" ref="AA472:AA503" si="415">+AA471+W472</f>
        <v>604433</v>
      </c>
      <c r="AB472" s="33"/>
      <c r="AC472" s="46">
        <f t="shared" ref="AC472:AC503" si="416">+AA472/H472</f>
        <v>1.7794187076584984E-2</v>
      </c>
      <c r="AD472" s="33"/>
      <c r="AE472" s="33">
        <f t="shared" ref="AE472:AE503" si="417">+AA472/BW472</f>
        <v>1305.4708423326133</v>
      </c>
      <c r="AF472" s="50"/>
      <c r="AG472" s="33">
        <f t="shared" ref="AG472:AG503" si="418">SUM(W466:W472)</f>
        <v>2020</v>
      </c>
      <c r="AH472" s="33">
        <f t="shared" si="381"/>
        <v>1158178545.060914</v>
      </c>
      <c r="AI472" s="213">
        <f t="shared" ref="AI472:AI503" si="419">+(AG472-AG465)/AG465</f>
        <v>-8.8036117381489837E-2</v>
      </c>
      <c r="AJ472" s="50"/>
      <c r="AK472" s="111"/>
      <c r="AL472" s="23">
        <f t="shared" ref="AL472:AL503" si="420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21">+AL472/AP471</f>
        <v>7.9391751957503317E-4</v>
      </c>
      <c r="AS472" s="25"/>
      <c r="AT472" s="25"/>
      <c r="AU472" s="24"/>
      <c r="AV472" s="298">
        <f t="shared" ref="AV472:AV503" si="422">+AP472/H472</f>
        <v>0.85072590225571987</v>
      </c>
      <c r="AW472" s="298"/>
      <c r="AX472" s="24">
        <f t="shared" ref="AX472:AX503" si="423">+AP472/BW472</f>
        <v>62413.520518358535</v>
      </c>
      <c r="AY472" s="308"/>
      <c r="AZ472" s="111"/>
      <c r="BA472" s="65">
        <f t="shared" ref="BA472:BA503" si="424">+BC472-BC471</f>
        <v>826269</v>
      </c>
      <c r="BB472" s="66"/>
      <c r="BC472" s="66">
        <v>503006392</v>
      </c>
      <c r="BD472" s="66"/>
      <c r="BE472" s="66">
        <f t="shared" ref="BE472:BE503" si="425">+D472</f>
        <v>15537</v>
      </c>
      <c r="BF472" s="66"/>
      <c r="BG472" s="144">
        <f t="shared" ref="BG472:BG503" si="426">+BE472/BA472</f>
        <v>1.8803803603911075E-2</v>
      </c>
      <c r="BH472" s="66"/>
      <c r="BI472" s="170"/>
      <c r="BJ472" s="66"/>
      <c r="BK472" s="66">
        <f t="shared" ref="BK472:BK503" si="427">SUM(BA466:BA472)</f>
        <v>4776317</v>
      </c>
      <c r="BL472" s="66"/>
      <c r="BM472" s="144">
        <f t="shared" ref="BM472:BM503" si="428">+Q472/BK472</f>
        <v>1.6580767147574168E-2</v>
      </c>
      <c r="BN472" s="65">
        <f t="shared" ref="BN472:BN503" si="429">+BC472/BW472</f>
        <v>1086406.8941684666</v>
      </c>
      <c r="BO472" s="66"/>
      <c r="BP472" s="66">
        <f t="shared" ref="BP472:BP503" si="430">+BP471+BE472</f>
        <v>33061025</v>
      </c>
      <c r="BQ472" s="66"/>
      <c r="BR472" s="435">
        <f t="shared" ref="BR472:BR503" si="431">+BP472/BC472</f>
        <v>6.5726848656030595E-2</v>
      </c>
      <c r="BS472" s="66"/>
      <c r="BT472" s="75"/>
      <c r="BU472" s="170"/>
      <c r="BV472" s="1"/>
      <c r="BW472" s="61">
        <f t="shared" si="407"/>
        <v>463</v>
      </c>
    </row>
    <row r="473" spans="2:75" x14ac:dyDescent="0.3">
      <c r="B473" s="158">
        <f t="shared" si="406"/>
        <v>44373</v>
      </c>
      <c r="C473" s="61"/>
      <c r="D473" s="17">
        <v>6586</v>
      </c>
      <c r="E473" s="16"/>
      <c r="F473" s="16"/>
      <c r="G473" s="16"/>
      <c r="H473" s="16">
        <f t="shared" si="408"/>
        <v>33974589</v>
      </c>
      <c r="I473" s="16"/>
      <c r="J473" s="436">
        <f t="shared" si="409"/>
        <v>1.9388834839657781E-4</v>
      </c>
      <c r="K473" s="16"/>
      <c r="L473" s="16"/>
      <c r="M473" s="16"/>
      <c r="N473" s="16">
        <f t="shared" si="410"/>
        <v>77999</v>
      </c>
      <c r="O473" s="16">
        <f t="shared" si="411"/>
        <v>73221.096982758623</v>
      </c>
      <c r="P473" s="41"/>
      <c r="Q473" s="17">
        <f t="shared" si="412"/>
        <v>77999</v>
      </c>
      <c r="R473" s="16"/>
      <c r="S473" s="60">
        <f t="shared" si="413"/>
        <v>-4.5180146261151457E-3</v>
      </c>
      <c r="T473" s="16"/>
      <c r="U473" s="41"/>
      <c r="V473" s="10">
        <f t="shared" si="356"/>
        <v>365</v>
      </c>
      <c r="W473" s="34">
        <v>149</v>
      </c>
      <c r="X473" s="33">
        <v>4256</v>
      </c>
      <c r="Y473" s="33"/>
      <c r="Z473" s="33">
        <f t="shared" si="414"/>
        <v>1913</v>
      </c>
      <c r="AA473" s="33">
        <f t="shared" si="415"/>
        <v>604582</v>
      </c>
      <c r="AB473" s="33"/>
      <c r="AC473" s="46">
        <f t="shared" si="416"/>
        <v>1.7795123290527518E-2</v>
      </c>
      <c r="AD473" s="33"/>
      <c r="AE473" s="33">
        <f t="shared" si="417"/>
        <v>1302.9784482758621</v>
      </c>
      <c r="AF473" s="50"/>
      <c r="AG473" s="33">
        <f t="shared" si="418"/>
        <v>1999</v>
      </c>
      <c r="AH473" s="33">
        <f t="shared" si="381"/>
        <v>1158154152.060914</v>
      </c>
      <c r="AI473" s="213">
        <f t="shared" si="419"/>
        <v>-3.7554164660568129E-2</v>
      </c>
      <c r="AJ473" s="50"/>
      <c r="AK473" s="111"/>
      <c r="AL473" s="23">
        <f t="shared" si="420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21"/>
        <v>5.3451064557230978E-4</v>
      </c>
      <c r="AS473" s="25"/>
      <c r="AT473" s="25"/>
      <c r="AU473" s="24"/>
      <c r="AV473" s="298">
        <f t="shared" si="422"/>
        <v>0.85101562229347349</v>
      </c>
      <c r="AW473" s="298"/>
      <c r="AX473" s="24">
        <f t="shared" si="423"/>
        <v>62312.297413793101</v>
      </c>
      <c r="AY473" s="308"/>
      <c r="AZ473" s="111"/>
      <c r="BA473" s="65">
        <f t="shared" si="424"/>
        <v>451282</v>
      </c>
      <c r="BB473" s="66"/>
      <c r="BC473" s="66">
        <v>503457674</v>
      </c>
      <c r="BD473" s="66"/>
      <c r="BE473" s="66">
        <f t="shared" si="425"/>
        <v>6586</v>
      </c>
      <c r="BF473" s="66"/>
      <c r="BG473" s="144">
        <f t="shared" si="426"/>
        <v>1.4593978931133969E-2</v>
      </c>
      <c r="BH473" s="66"/>
      <c r="BI473" s="170"/>
      <c r="BJ473" s="66"/>
      <c r="BK473" s="66">
        <f t="shared" si="427"/>
        <v>4768463</v>
      </c>
      <c r="BL473" s="66"/>
      <c r="BM473" s="144">
        <f t="shared" si="428"/>
        <v>1.6357262287659567E-2</v>
      </c>
      <c r="BN473" s="65">
        <f t="shared" si="429"/>
        <v>1085038.0905172413</v>
      </c>
      <c r="BO473" s="66"/>
      <c r="BP473" s="66">
        <f t="shared" si="430"/>
        <v>33067611</v>
      </c>
      <c r="BQ473" s="66"/>
      <c r="BR473" s="435">
        <f t="shared" si="431"/>
        <v>6.56810149248018E-2</v>
      </c>
      <c r="BS473" s="66"/>
      <c r="BT473" s="75"/>
      <c r="BU473" s="170"/>
      <c r="BV473" s="1"/>
      <c r="BW473" s="61">
        <f t="shared" si="407"/>
        <v>464</v>
      </c>
    </row>
    <row r="474" spans="2:75" x14ac:dyDescent="0.3">
      <c r="B474" s="347">
        <f t="shared" si="406"/>
        <v>44374</v>
      </c>
      <c r="C474" s="61"/>
      <c r="D474" s="17">
        <v>7306</v>
      </c>
      <c r="E474" s="16"/>
      <c r="F474" s="16"/>
      <c r="G474" s="16"/>
      <c r="H474" s="16">
        <f t="shared" si="408"/>
        <v>33981895</v>
      </c>
      <c r="I474" s="16"/>
      <c r="J474" s="436">
        <f t="shared" si="409"/>
        <v>2.1504307233856458E-4</v>
      </c>
      <c r="K474" s="16"/>
      <c r="L474" s="16"/>
      <c r="M474" s="16"/>
      <c r="N474" s="16">
        <f t="shared" si="410"/>
        <v>80883</v>
      </c>
      <c r="O474" s="16">
        <f t="shared" si="411"/>
        <v>73079.344086021505</v>
      </c>
      <c r="P474" s="41"/>
      <c r="Q474" s="17">
        <f t="shared" si="412"/>
        <v>80883</v>
      </c>
      <c r="R474" s="16"/>
      <c r="S474" s="60">
        <f t="shared" si="413"/>
        <v>4.3786295005807198E-2</v>
      </c>
      <c r="T474" s="16"/>
      <c r="U474" s="41"/>
      <c r="V474" s="10">
        <f t="shared" si="356"/>
        <v>366</v>
      </c>
      <c r="W474" s="34">
        <v>106</v>
      </c>
      <c r="X474" s="33">
        <v>4256</v>
      </c>
      <c r="Y474" s="33"/>
      <c r="Z474" s="33">
        <f t="shared" si="414"/>
        <v>1782</v>
      </c>
      <c r="AA474" s="33">
        <f t="shared" si="415"/>
        <v>604688</v>
      </c>
      <c r="AB474" s="33"/>
      <c r="AC474" s="46">
        <f t="shared" si="416"/>
        <v>1.779441670336513E-2</v>
      </c>
      <c r="AD474" s="33"/>
      <c r="AE474" s="33">
        <f t="shared" si="417"/>
        <v>1300.4043010752689</v>
      </c>
      <c r="AF474" s="50"/>
      <c r="AG474" s="33">
        <f t="shared" si="418"/>
        <v>2019</v>
      </c>
      <c r="AH474" s="33">
        <f t="shared" si="381"/>
        <v>1158131339.060914</v>
      </c>
      <c r="AI474" s="213">
        <f t="shared" si="419"/>
        <v>-2.1328162869607366E-2</v>
      </c>
      <c r="AJ474" s="50"/>
      <c r="AK474" s="111"/>
      <c r="AL474" s="23">
        <f t="shared" si="420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21"/>
        <v>5.6037258932049242E-4</v>
      </c>
      <c r="AS474" s="25"/>
      <c r="AT474" s="25"/>
      <c r="AU474" s="24"/>
      <c r="AV474" s="298">
        <f t="shared" si="422"/>
        <v>0.85130943992381825</v>
      </c>
      <c r="AW474" s="298"/>
      <c r="AX474" s="24">
        <f t="shared" si="423"/>
        <v>62213.135483870967</v>
      </c>
      <c r="AY474" s="308"/>
      <c r="AZ474" s="111"/>
      <c r="BA474" s="65">
        <f t="shared" si="424"/>
        <v>366543</v>
      </c>
      <c r="BB474" s="66"/>
      <c r="BC474" s="66">
        <v>503824217</v>
      </c>
      <c r="BD474" s="66"/>
      <c r="BE474" s="66">
        <f t="shared" si="425"/>
        <v>7306</v>
      </c>
      <c r="BF474" s="66"/>
      <c r="BG474" s="144">
        <f t="shared" si="426"/>
        <v>1.9932177125194041E-2</v>
      </c>
      <c r="BH474" s="66"/>
      <c r="BI474" s="170"/>
      <c r="BJ474" s="66"/>
      <c r="BK474" s="66">
        <f t="shared" si="427"/>
        <v>4762492</v>
      </c>
      <c r="BL474" s="66"/>
      <c r="BM474" s="144">
        <f t="shared" si="428"/>
        <v>1.6983335615051953E-2</v>
      </c>
      <c r="BN474" s="65">
        <f t="shared" si="429"/>
        <v>1083492.9397849462</v>
      </c>
      <c r="BO474" s="66"/>
      <c r="BP474" s="66">
        <f t="shared" si="430"/>
        <v>33074917</v>
      </c>
      <c r="BQ474" s="66"/>
      <c r="BR474" s="435">
        <f t="shared" si="431"/>
        <v>6.5647731657170416E-2</v>
      </c>
      <c r="BS474" s="66"/>
      <c r="BT474" s="75"/>
      <c r="BU474" s="170"/>
      <c r="BV474" s="1"/>
      <c r="BW474" s="61">
        <f t="shared" si="407"/>
        <v>465</v>
      </c>
    </row>
    <row r="475" spans="2:75" x14ac:dyDescent="0.3">
      <c r="B475" s="158">
        <f t="shared" si="406"/>
        <v>44375</v>
      </c>
      <c r="C475" s="61"/>
      <c r="D475" s="17">
        <v>11982</v>
      </c>
      <c r="E475" s="16"/>
      <c r="F475" s="16"/>
      <c r="G475" s="16"/>
      <c r="H475" s="16">
        <f t="shared" si="408"/>
        <v>33993877</v>
      </c>
      <c r="I475" s="16"/>
      <c r="J475" s="436">
        <f t="shared" si="409"/>
        <v>3.52599523952387E-4</v>
      </c>
      <c r="K475" s="16"/>
      <c r="L475" s="16"/>
      <c r="M475" s="16"/>
      <c r="N475" s="16">
        <f t="shared" si="410"/>
        <v>83110</v>
      </c>
      <c r="O475" s="16">
        <f t="shared" si="411"/>
        <v>72948.2339055794</v>
      </c>
      <c r="P475" s="41"/>
      <c r="Q475" s="17">
        <f t="shared" si="412"/>
        <v>83110</v>
      </c>
      <c r="R475" s="16"/>
      <c r="S475" s="60">
        <f t="shared" si="413"/>
        <v>9.7538429031746865E-2</v>
      </c>
      <c r="T475" s="16"/>
      <c r="U475" s="41"/>
      <c r="V475" s="10">
        <f t="shared" si="356"/>
        <v>367</v>
      </c>
      <c r="W475" s="34">
        <v>164</v>
      </c>
      <c r="X475" s="33">
        <v>4256</v>
      </c>
      <c r="Y475" s="33"/>
      <c r="Z475" s="33">
        <f t="shared" si="414"/>
        <v>1515</v>
      </c>
      <c r="AA475" s="33">
        <f t="shared" si="415"/>
        <v>604852</v>
      </c>
      <c r="AB475" s="33"/>
      <c r="AC475" s="46">
        <f t="shared" si="416"/>
        <v>1.7792969010272056E-2</v>
      </c>
      <c r="AD475" s="33"/>
      <c r="AE475" s="33">
        <f t="shared" si="417"/>
        <v>1297.9656652360516</v>
      </c>
      <c r="AF475" s="50"/>
      <c r="AG475" s="33">
        <f t="shared" si="418"/>
        <v>1946</v>
      </c>
      <c r="AH475" s="33">
        <f t="shared" si="381"/>
        <v>1158118678.060914</v>
      </c>
      <c r="AI475" s="213">
        <f t="shared" si="419"/>
        <v>-4.98046875E-2</v>
      </c>
      <c r="AJ475" s="50"/>
      <c r="AK475" s="111"/>
      <c r="AL475" s="23">
        <f t="shared" si="420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21"/>
        <v>1.7197903232965221E-3</v>
      </c>
      <c r="AS475" s="25"/>
      <c r="AT475" s="25"/>
      <c r="AU475" s="24"/>
      <c r="AV475" s="298">
        <f t="shared" si="422"/>
        <v>0.85247293211068564</v>
      </c>
      <c r="AW475" s="298"/>
      <c r="AX475" s="24">
        <f t="shared" si="423"/>
        <v>62186.394849785407</v>
      </c>
      <c r="AY475" s="308"/>
      <c r="AZ475" s="111"/>
      <c r="BA475" s="65">
        <f t="shared" si="424"/>
        <v>1053856</v>
      </c>
      <c r="BB475" s="66"/>
      <c r="BC475" s="66">
        <v>504878073</v>
      </c>
      <c r="BD475" s="66"/>
      <c r="BE475" s="66">
        <f t="shared" si="425"/>
        <v>11982</v>
      </c>
      <c r="BF475" s="66"/>
      <c r="BG475" s="144">
        <f t="shared" si="426"/>
        <v>1.1369674794279295E-2</v>
      </c>
      <c r="BH475" s="66"/>
      <c r="BI475" s="170"/>
      <c r="BJ475" s="66"/>
      <c r="BK475" s="66">
        <f t="shared" si="427"/>
        <v>4569067</v>
      </c>
      <c r="BL475" s="66"/>
      <c r="BM475" s="144">
        <f t="shared" si="428"/>
        <v>1.8189709190081914E-2</v>
      </c>
      <c r="BN475" s="65">
        <f t="shared" si="429"/>
        <v>1083429.3412017168</v>
      </c>
      <c r="BO475" s="66"/>
      <c r="BP475" s="66">
        <f t="shared" si="430"/>
        <v>33086899</v>
      </c>
      <c r="BQ475" s="66"/>
      <c r="BR475" s="435">
        <f t="shared" si="431"/>
        <v>6.5534434489096932E-2</v>
      </c>
      <c r="BS475" s="66"/>
      <c r="BT475" s="75"/>
      <c r="BU475" s="170"/>
      <c r="BV475" s="1"/>
      <c r="BW475" s="61">
        <f t="shared" si="407"/>
        <v>466</v>
      </c>
    </row>
    <row r="476" spans="2:75" x14ac:dyDescent="0.3">
      <c r="B476" s="158">
        <f t="shared" si="406"/>
        <v>44376</v>
      </c>
      <c r="C476" s="61"/>
      <c r="D476" s="17">
        <v>11427</v>
      </c>
      <c r="E476" s="16"/>
      <c r="F476" s="16"/>
      <c r="G476" s="16"/>
      <c r="H476" s="16">
        <f t="shared" si="408"/>
        <v>34005304</v>
      </c>
      <c r="I476" s="16"/>
      <c r="J476" s="436">
        <f t="shared" si="409"/>
        <v>3.3614877173321534E-4</v>
      </c>
      <c r="K476" s="16"/>
      <c r="L476" s="16"/>
      <c r="M476" s="16"/>
      <c r="N476" s="16">
        <f t="shared" si="410"/>
        <v>81663</v>
      </c>
      <c r="O476" s="16">
        <f t="shared" si="411"/>
        <v>72816.496788008561</v>
      </c>
      <c r="P476" s="41"/>
      <c r="Q476" s="17">
        <f t="shared" si="412"/>
        <v>81663</v>
      </c>
      <c r="R476" s="16"/>
      <c r="S476" s="60">
        <f t="shared" si="413"/>
        <v>7.4258728195953597E-2</v>
      </c>
      <c r="T476" s="16"/>
      <c r="U476" s="41"/>
      <c r="V476" s="10">
        <f t="shared" si="356"/>
        <v>368</v>
      </c>
      <c r="W476" s="34">
        <v>294</v>
      </c>
      <c r="X476" s="33">
        <v>4256</v>
      </c>
      <c r="Y476" s="33"/>
      <c r="Z476" s="33">
        <f t="shared" si="414"/>
        <v>1480</v>
      </c>
      <c r="AA476" s="33">
        <f t="shared" si="415"/>
        <v>605146</v>
      </c>
      <c r="AB476" s="33"/>
      <c r="AC476" s="46">
        <f t="shared" si="416"/>
        <v>1.7795635645545177E-2</v>
      </c>
      <c r="AD476" s="33"/>
      <c r="AE476" s="33">
        <f t="shared" si="417"/>
        <v>1295.8158458244111</v>
      </c>
      <c r="AF476" s="50"/>
      <c r="AG476" s="33">
        <f t="shared" si="418"/>
        <v>1809</v>
      </c>
      <c r="AH476" s="33">
        <f t="shared" si="381"/>
        <v>1158110928.060914</v>
      </c>
      <c r="AI476" s="213">
        <f t="shared" si="419"/>
        <v>-0.14910630291627469</v>
      </c>
      <c r="AJ476" s="50"/>
      <c r="AK476" s="111"/>
      <c r="AL476" s="23">
        <f t="shared" si="420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21"/>
        <v>9.8392414332378834E-4</v>
      </c>
      <c r="AS476" s="25"/>
      <c r="AT476" s="25"/>
      <c r="AU476" s="24"/>
      <c r="AV476" s="298">
        <f t="shared" si="422"/>
        <v>0.8530249575183918</v>
      </c>
      <c r="AW476" s="298"/>
      <c r="AX476" s="24">
        <f t="shared" si="423"/>
        <v>62114.289079229122</v>
      </c>
      <c r="AY476" s="308"/>
      <c r="AZ476" s="111"/>
      <c r="BA476" s="65">
        <f t="shared" si="424"/>
        <v>514526</v>
      </c>
      <c r="BB476" s="66"/>
      <c r="BC476" s="66">
        <v>505392599</v>
      </c>
      <c r="BD476" s="66"/>
      <c r="BE476" s="66">
        <f t="shared" si="425"/>
        <v>11427</v>
      </c>
      <c r="BF476" s="66"/>
      <c r="BG476" s="144">
        <f t="shared" si="426"/>
        <v>2.2208790226344248E-2</v>
      </c>
      <c r="BH476" s="66"/>
      <c r="BI476" s="170"/>
      <c r="BJ476" s="66"/>
      <c r="BK476" s="66">
        <f t="shared" si="427"/>
        <v>4601747</v>
      </c>
      <c r="BL476" s="66"/>
      <c r="BM476" s="144">
        <f t="shared" si="428"/>
        <v>1.7746086431957256E-2</v>
      </c>
      <c r="BN476" s="65">
        <f t="shared" si="429"/>
        <v>1082211.1327623127</v>
      </c>
      <c r="BO476" s="66"/>
      <c r="BP476" s="66">
        <f t="shared" si="430"/>
        <v>33098326</v>
      </c>
      <c r="BQ476" s="66"/>
      <c r="BR476" s="435">
        <f t="shared" si="431"/>
        <v>6.5490325868424515E-2</v>
      </c>
      <c r="BS476" s="66"/>
      <c r="BT476" s="75"/>
      <c r="BU476" s="170"/>
      <c r="BV476" s="1"/>
      <c r="BW476" s="61">
        <f t="shared" si="407"/>
        <v>467</v>
      </c>
    </row>
    <row r="477" spans="2:75" x14ac:dyDescent="0.3">
      <c r="B477" s="158">
        <f t="shared" si="406"/>
        <v>44377</v>
      </c>
      <c r="C477" s="61"/>
      <c r="D477" s="17">
        <v>14197</v>
      </c>
      <c r="E477" s="16"/>
      <c r="F477" s="16"/>
      <c r="G477" s="16"/>
      <c r="H477" s="16">
        <f t="shared" si="408"/>
        <v>34019501</v>
      </c>
      <c r="I477" s="16"/>
      <c r="J477" s="436">
        <f t="shared" si="409"/>
        <v>4.1749369451306772E-4</v>
      </c>
      <c r="K477" s="16"/>
      <c r="L477" s="16"/>
      <c r="M477" s="16"/>
      <c r="N477" s="16">
        <f t="shared" si="410"/>
        <v>82495</v>
      </c>
      <c r="O477" s="16">
        <f t="shared" si="411"/>
        <v>72691.241452991453</v>
      </c>
      <c r="P477" s="41"/>
      <c r="Q477" s="17">
        <f t="shared" si="412"/>
        <v>82495</v>
      </c>
      <c r="R477" s="16"/>
      <c r="S477" s="60">
        <f t="shared" si="413"/>
        <v>9.5260223048327139E-2</v>
      </c>
      <c r="T477" s="16"/>
      <c r="U477" s="41"/>
      <c r="V477" s="10">
        <f t="shared" si="356"/>
        <v>369</v>
      </c>
      <c r="W477" s="34">
        <v>249</v>
      </c>
      <c r="X477" s="33">
        <v>4256</v>
      </c>
      <c r="Y477" s="33"/>
      <c r="Z477" s="33">
        <f t="shared" si="414"/>
        <v>1349</v>
      </c>
      <c r="AA477" s="33">
        <f t="shared" si="415"/>
        <v>605395</v>
      </c>
      <c r="AB477" s="33"/>
      <c r="AC477" s="46">
        <f t="shared" si="416"/>
        <v>1.7795528511720379E-2</v>
      </c>
      <c r="AD477" s="33"/>
      <c r="AE477" s="33">
        <f t="shared" si="417"/>
        <v>1293.5790598290598</v>
      </c>
      <c r="AF477" s="50"/>
      <c r="AG477" s="33">
        <f t="shared" si="418"/>
        <v>1729</v>
      </c>
      <c r="AH477" s="33">
        <f t="shared" si="381"/>
        <v>1158105693.060914</v>
      </c>
      <c r="AI477" s="213">
        <f t="shared" si="419"/>
        <v>-0.14448292924294903</v>
      </c>
      <c r="AJ477" s="50"/>
      <c r="AK477" s="111"/>
      <c r="AL477" s="23">
        <f t="shared" si="420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21"/>
        <v>6.6586519227370224E-4</v>
      </c>
      <c r="AS477" s="25"/>
      <c r="AT477" s="25"/>
      <c r="AU477" s="24"/>
      <c r="AV477" s="298">
        <f t="shared" si="422"/>
        <v>0.85323673618845852</v>
      </c>
      <c r="AW477" s="298"/>
      <c r="AX477" s="24">
        <f t="shared" si="423"/>
        <v>62022.837606837609</v>
      </c>
      <c r="AY477" s="308"/>
      <c r="AZ477" s="111"/>
      <c r="BA477" s="65">
        <f t="shared" si="424"/>
        <v>766529</v>
      </c>
      <c r="BB477" s="66"/>
      <c r="BC477" s="66">
        <v>506159128</v>
      </c>
      <c r="BD477" s="66"/>
      <c r="BE477" s="66">
        <f t="shared" si="425"/>
        <v>14197</v>
      </c>
      <c r="BF477" s="66"/>
      <c r="BG477" s="144">
        <f t="shared" si="426"/>
        <v>1.8521151841613299E-2</v>
      </c>
      <c r="BH477" s="66"/>
      <c r="BI477" s="170"/>
      <c r="BJ477" s="66"/>
      <c r="BK477" s="66">
        <f t="shared" si="427"/>
        <v>4479005</v>
      </c>
      <c r="BL477" s="66"/>
      <c r="BM477" s="144">
        <f t="shared" si="428"/>
        <v>1.8418153138922595E-2</v>
      </c>
      <c r="BN477" s="65">
        <f t="shared" si="429"/>
        <v>1081536.5982905983</v>
      </c>
      <c r="BO477" s="66"/>
      <c r="BP477" s="66">
        <f t="shared" si="430"/>
        <v>33112523</v>
      </c>
      <c r="BQ477" s="66"/>
      <c r="BR477" s="435">
        <f t="shared" si="431"/>
        <v>6.5419195601269492E-2</v>
      </c>
      <c r="BS477" s="66"/>
      <c r="BT477" s="75"/>
      <c r="BU477" s="170"/>
      <c r="BV477" s="1"/>
      <c r="BW477" s="61">
        <f t="shared" si="407"/>
        <v>468</v>
      </c>
    </row>
    <row r="478" spans="2:75" x14ac:dyDescent="0.3">
      <c r="B478" s="158">
        <f t="shared" si="406"/>
        <v>44378</v>
      </c>
      <c r="C478" s="61"/>
      <c r="D478" s="17">
        <v>16949</v>
      </c>
      <c r="E478" s="16"/>
      <c r="F478" s="16"/>
      <c r="G478" s="16"/>
      <c r="H478" s="16">
        <f t="shared" si="408"/>
        <v>34036450</v>
      </c>
      <c r="I478" s="16"/>
      <c r="J478" s="436">
        <f t="shared" si="409"/>
        <v>4.9821424482387328E-4</v>
      </c>
      <c r="K478" s="16"/>
      <c r="L478" s="16"/>
      <c r="M478" s="16"/>
      <c r="N478" s="16">
        <f t="shared" si="410"/>
        <v>83984</v>
      </c>
      <c r="O478" s="16">
        <f t="shared" si="411"/>
        <v>72572.388059701494</v>
      </c>
      <c r="P478" s="41"/>
      <c r="Q478" s="17">
        <f t="shared" si="412"/>
        <v>83984</v>
      </c>
      <c r="R478" s="16"/>
      <c r="S478" s="60">
        <f t="shared" si="413"/>
        <v>9.003595208119719E-2</v>
      </c>
      <c r="T478" s="16"/>
      <c r="U478" s="41"/>
      <c r="V478" s="10">
        <f t="shared" si="356"/>
        <v>370</v>
      </c>
      <c r="W478" s="34">
        <v>315</v>
      </c>
      <c r="X478" s="33">
        <v>4256</v>
      </c>
      <c r="Y478" s="33"/>
      <c r="Z478" s="33">
        <f t="shared" si="414"/>
        <v>1277</v>
      </c>
      <c r="AA478" s="33">
        <f t="shared" si="415"/>
        <v>605710</v>
      </c>
      <c r="AB478" s="33"/>
      <c r="AC478" s="46">
        <f t="shared" si="416"/>
        <v>1.7795921725091778E-2</v>
      </c>
      <c r="AD478" s="33"/>
      <c r="AE478" s="33">
        <f t="shared" si="417"/>
        <v>1291.4925373134329</v>
      </c>
      <c r="AF478" s="50"/>
      <c r="AG478" s="33">
        <f t="shared" si="418"/>
        <v>1664</v>
      </c>
      <c r="AH478" s="33">
        <f t="shared" si="381"/>
        <v>1158092717.060914</v>
      </c>
      <c r="AI478" s="213">
        <f t="shared" si="419"/>
        <v>-0.17867719644619942</v>
      </c>
      <c r="AJ478" s="50"/>
      <c r="AK478" s="111"/>
      <c r="AL478" s="23">
        <f t="shared" si="420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21"/>
        <v>8.7502232428308729E-4</v>
      </c>
      <c r="AS478" s="25"/>
      <c r="AT478" s="25"/>
      <c r="AU478" s="24"/>
      <c r="AV478" s="298">
        <f t="shared" si="422"/>
        <v>0.85355808258499344</v>
      </c>
      <c r="AW478" s="298"/>
      <c r="AX478" s="24">
        <f t="shared" si="423"/>
        <v>61944.748400852877</v>
      </c>
      <c r="AY478" s="308"/>
      <c r="AZ478" s="111"/>
      <c r="BA478" s="65">
        <f t="shared" si="424"/>
        <v>445484</v>
      </c>
      <c r="BB478" s="66"/>
      <c r="BC478" s="66">
        <v>506604612</v>
      </c>
      <c r="BD478" s="66"/>
      <c r="BE478" s="66">
        <f t="shared" si="425"/>
        <v>16949</v>
      </c>
      <c r="BF478" s="66"/>
      <c r="BG478" s="144">
        <f t="shared" si="426"/>
        <v>3.8046259798331705E-2</v>
      </c>
      <c r="BH478" s="66"/>
      <c r="BI478" s="170"/>
      <c r="BJ478" s="66"/>
      <c r="BK478" s="66">
        <f t="shared" si="427"/>
        <v>4424489</v>
      </c>
      <c r="BL478" s="66"/>
      <c r="BM478" s="144">
        <f t="shared" si="428"/>
        <v>1.8981627030827741E-2</v>
      </c>
      <c r="BN478" s="65">
        <f t="shared" si="429"/>
        <v>1080180.4093816632</v>
      </c>
      <c r="BO478" s="66"/>
      <c r="BP478" s="66">
        <f t="shared" si="430"/>
        <v>33129472</v>
      </c>
      <c r="BQ478" s="66"/>
      <c r="BR478" s="435">
        <f t="shared" si="431"/>
        <v>6.5395125143471844E-2</v>
      </c>
      <c r="BS478" s="66"/>
      <c r="BT478" s="75"/>
      <c r="BU478" s="170"/>
      <c r="BV478" s="1"/>
      <c r="BW478" s="61">
        <f t="shared" si="407"/>
        <v>469</v>
      </c>
    </row>
    <row r="479" spans="2:75" x14ac:dyDescent="0.3">
      <c r="B479" s="158">
        <f t="shared" si="406"/>
        <v>44379</v>
      </c>
      <c r="C479" s="61"/>
      <c r="D479" s="17">
        <v>18399</v>
      </c>
      <c r="E479" s="16"/>
      <c r="F479" s="16"/>
      <c r="G479" s="16"/>
      <c r="H479" s="16">
        <f t="shared" si="408"/>
        <v>34054849</v>
      </c>
      <c r="I479" s="16"/>
      <c r="J479" s="436">
        <f t="shared" si="409"/>
        <v>5.4056753862403398E-4</v>
      </c>
      <c r="K479" s="16"/>
      <c r="L479" s="16"/>
      <c r="M479" s="16"/>
      <c r="N479" s="16">
        <f t="shared" si="410"/>
        <v>86846</v>
      </c>
      <c r="O479" s="16">
        <f t="shared" si="411"/>
        <v>72457.125531914891</v>
      </c>
      <c r="P479" s="41"/>
      <c r="Q479" s="17">
        <f t="shared" si="412"/>
        <v>86846</v>
      </c>
      <c r="R479" s="16"/>
      <c r="S479" s="60">
        <f t="shared" si="413"/>
        <v>9.6609634446619103E-2</v>
      </c>
      <c r="T479" s="16"/>
      <c r="U479" s="41"/>
      <c r="V479" s="10">
        <f t="shared" si="356"/>
        <v>371</v>
      </c>
      <c r="W479" s="34">
        <v>322</v>
      </c>
      <c r="X479" s="33">
        <v>4256</v>
      </c>
      <c r="Y479" s="33"/>
      <c r="Z479" s="33">
        <f t="shared" si="414"/>
        <v>1450</v>
      </c>
      <c r="AA479" s="33">
        <f t="shared" si="415"/>
        <v>606032</v>
      </c>
      <c r="AB479" s="33"/>
      <c r="AC479" s="46">
        <f t="shared" si="416"/>
        <v>1.7795762359715646E-2</v>
      </c>
      <c r="AD479" s="33"/>
      <c r="AE479" s="33">
        <f t="shared" si="417"/>
        <v>1289.4297872340426</v>
      </c>
      <c r="AF479" s="50"/>
      <c r="AG479" s="33">
        <f t="shared" si="418"/>
        <v>1599</v>
      </c>
      <c r="AH479" s="33">
        <f t="shared" si="381"/>
        <v>1158075743.060914</v>
      </c>
      <c r="AI479" s="213">
        <f t="shared" si="419"/>
        <v>-0.20841584158415841</v>
      </c>
      <c r="AJ479" s="50"/>
      <c r="AK479" s="111"/>
      <c r="AL479" s="23">
        <f t="shared" si="420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21"/>
        <v>7.1574892364875545E-4</v>
      </c>
      <c r="AS479" s="25"/>
      <c r="AT479" s="25"/>
      <c r="AU479" s="24"/>
      <c r="AV479" s="298">
        <f t="shared" si="422"/>
        <v>0.85370752928606441</v>
      </c>
      <c r="AW479" s="298"/>
      <c r="AX479" s="24">
        <f t="shared" si="423"/>
        <v>61857.193617021279</v>
      </c>
      <c r="AY479" s="308"/>
      <c r="AZ479" s="111"/>
      <c r="BA479" s="65">
        <f t="shared" si="424"/>
        <v>741973</v>
      </c>
      <c r="BB479" s="66"/>
      <c r="BC479" s="66">
        <v>507346585</v>
      </c>
      <c r="BD479" s="66"/>
      <c r="BE479" s="66">
        <f t="shared" si="425"/>
        <v>18399</v>
      </c>
      <c r="BF479" s="66"/>
      <c r="BG479" s="144">
        <f t="shared" si="426"/>
        <v>2.4797398288077869E-2</v>
      </c>
      <c r="BH479" s="66"/>
      <c r="BI479" s="170"/>
      <c r="BJ479" s="66"/>
      <c r="BK479" s="66">
        <f t="shared" si="427"/>
        <v>4340193</v>
      </c>
      <c r="BL479" s="66"/>
      <c r="BM479" s="144">
        <f t="shared" si="428"/>
        <v>2.0009709245648752E-2</v>
      </c>
      <c r="BN479" s="65">
        <f t="shared" si="429"/>
        <v>1079460.8191489361</v>
      </c>
      <c r="BO479" s="66"/>
      <c r="BP479" s="66">
        <f t="shared" si="430"/>
        <v>33147871</v>
      </c>
      <c r="BQ479" s="66"/>
      <c r="BR479" s="435">
        <f t="shared" si="431"/>
        <v>6.5335752678812253E-2</v>
      </c>
      <c r="BS479" s="66"/>
      <c r="BT479" s="75"/>
      <c r="BU479" s="170"/>
      <c r="BV479" s="1"/>
      <c r="BW479" s="61">
        <f t="shared" si="407"/>
        <v>470</v>
      </c>
    </row>
    <row r="480" spans="2:75" x14ac:dyDescent="0.3">
      <c r="B480" s="158">
        <f t="shared" si="406"/>
        <v>44380</v>
      </c>
      <c r="C480" s="61"/>
      <c r="D480" s="17">
        <v>7978</v>
      </c>
      <c r="E480" s="16"/>
      <c r="F480" s="16"/>
      <c r="G480" s="16"/>
      <c r="H480" s="16">
        <f t="shared" si="408"/>
        <v>34062827</v>
      </c>
      <c r="I480" s="16"/>
      <c r="J480" s="436">
        <f t="shared" si="409"/>
        <v>2.3426913447773619E-4</v>
      </c>
      <c r="K480" s="16"/>
      <c r="L480" s="16"/>
      <c r="M480" s="16"/>
      <c r="N480" s="16">
        <f t="shared" si="410"/>
        <v>88238</v>
      </c>
      <c r="O480" s="16">
        <f t="shared" si="411"/>
        <v>72320.227176220811</v>
      </c>
      <c r="P480" s="41"/>
      <c r="Q480" s="17">
        <f t="shared" si="412"/>
        <v>88238</v>
      </c>
      <c r="R480" s="16"/>
      <c r="S480" s="60">
        <f t="shared" si="413"/>
        <v>0.13127091372966321</v>
      </c>
      <c r="T480" s="16"/>
      <c r="U480" s="41"/>
      <c r="V480" s="10">
        <f t="shared" si="356"/>
        <v>372</v>
      </c>
      <c r="W480" s="34">
        <v>96</v>
      </c>
      <c r="X480" s="33">
        <v>4256</v>
      </c>
      <c r="Y480" s="33"/>
      <c r="Z480" s="33">
        <f t="shared" si="414"/>
        <v>1440</v>
      </c>
      <c r="AA480" s="33">
        <f t="shared" si="415"/>
        <v>606128</v>
      </c>
      <c r="AB480" s="33"/>
      <c r="AC480" s="46">
        <f t="shared" si="416"/>
        <v>1.7794412659876996E-2</v>
      </c>
      <c r="AD480" s="33"/>
      <c r="AE480" s="33">
        <f t="shared" si="417"/>
        <v>1286.8959660297239</v>
      </c>
      <c r="AF480" s="50"/>
      <c r="AG480" s="33">
        <f t="shared" si="418"/>
        <v>1546</v>
      </c>
      <c r="AH480" s="33">
        <f t="shared" si="381"/>
        <v>1158057922.060914</v>
      </c>
      <c r="AI480" s="213">
        <f t="shared" si="419"/>
        <v>-0.22661330665332666</v>
      </c>
      <c r="AJ480" s="50"/>
      <c r="AK480" s="111"/>
      <c r="AL480" s="23">
        <f t="shared" si="420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21"/>
        <v>5.0012243368656862E-4</v>
      </c>
      <c r="AS480" s="25"/>
      <c r="AT480" s="25"/>
      <c r="AU480" s="24"/>
      <c r="AV480" s="298">
        <f t="shared" si="422"/>
        <v>0.85393443709178929</v>
      </c>
      <c r="AW480" s="298"/>
      <c r="AX480" s="24">
        <f t="shared" si="423"/>
        <v>61756.732484076434</v>
      </c>
      <c r="AY480" s="308"/>
      <c r="AZ480" s="111"/>
      <c r="BA480" s="65">
        <f t="shared" si="424"/>
        <v>255291</v>
      </c>
      <c r="BB480" s="66"/>
      <c r="BC480" s="66">
        <v>507601876</v>
      </c>
      <c r="BD480" s="66"/>
      <c r="BE480" s="66">
        <f t="shared" si="425"/>
        <v>7978</v>
      </c>
      <c r="BF480" s="66"/>
      <c r="BG480" s="144">
        <f t="shared" si="426"/>
        <v>3.125061204664481E-2</v>
      </c>
      <c r="BH480" s="66"/>
      <c r="BI480" s="170"/>
      <c r="BJ480" s="66"/>
      <c r="BK480" s="66">
        <f t="shared" si="427"/>
        <v>4144202</v>
      </c>
      <c r="BL480" s="66"/>
      <c r="BM480" s="144">
        <f t="shared" si="428"/>
        <v>2.1291915789819125E-2</v>
      </c>
      <c r="BN480" s="65">
        <f t="shared" si="429"/>
        <v>1077710.9893842887</v>
      </c>
      <c r="BO480" s="66"/>
      <c r="BP480" s="66">
        <f t="shared" si="430"/>
        <v>33155849</v>
      </c>
      <c r="BQ480" s="66"/>
      <c r="BR480" s="435">
        <f t="shared" si="431"/>
        <v>6.5318610051787906E-2</v>
      </c>
      <c r="BS480" s="66"/>
      <c r="BT480" s="75"/>
      <c r="BU480" s="170"/>
      <c r="BV480" s="1"/>
      <c r="BW480" s="61">
        <f t="shared" si="407"/>
        <v>471</v>
      </c>
    </row>
    <row r="481" spans="2:75" x14ac:dyDescent="0.3">
      <c r="B481" s="347">
        <f t="shared" si="406"/>
        <v>44381</v>
      </c>
      <c r="C481" s="61"/>
      <c r="D481" s="17">
        <v>5749</v>
      </c>
      <c r="E481" s="16"/>
      <c r="F481" s="16"/>
      <c r="G481" s="16"/>
      <c r="H481" s="16">
        <f t="shared" si="408"/>
        <v>34068576</v>
      </c>
      <c r="I481" s="16"/>
      <c r="J481" s="436">
        <f t="shared" si="409"/>
        <v>1.6877636139830672E-4</v>
      </c>
      <c r="K481" s="16"/>
      <c r="L481" s="16"/>
      <c r="M481" s="16"/>
      <c r="N481" s="16">
        <f t="shared" si="410"/>
        <v>86681</v>
      </c>
      <c r="O481" s="16">
        <f t="shared" si="411"/>
        <v>72179.186440677964</v>
      </c>
      <c r="P481" s="41"/>
      <c r="Q481" s="17">
        <f t="shared" si="412"/>
        <v>86681</v>
      </c>
      <c r="R481" s="16"/>
      <c r="S481" s="60">
        <f t="shared" si="413"/>
        <v>7.1683790166042302E-2</v>
      </c>
      <c r="T481" s="16"/>
      <c r="U481" s="41"/>
      <c r="V481" s="10">
        <f t="shared" si="356"/>
        <v>373</v>
      </c>
      <c r="W481" s="34">
        <v>55</v>
      </c>
      <c r="X481" s="33">
        <v>4256</v>
      </c>
      <c r="Y481" s="33"/>
      <c r="Z481" s="33">
        <f t="shared" si="414"/>
        <v>1331</v>
      </c>
      <c r="AA481" s="33">
        <f t="shared" si="415"/>
        <v>606183</v>
      </c>
      <c r="AB481" s="33"/>
      <c r="AC481" s="46">
        <f t="shared" si="416"/>
        <v>1.7793024281378828E-2</v>
      </c>
      <c r="AD481" s="33"/>
      <c r="AE481" s="33">
        <f t="shared" si="417"/>
        <v>1284.2860169491526</v>
      </c>
      <c r="AF481" s="50"/>
      <c r="AG481" s="33">
        <f t="shared" si="418"/>
        <v>1495</v>
      </c>
      <c r="AH481" s="33">
        <f t="shared" si="381"/>
        <v>1158040997.060914</v>
      </c>
      <c r="AI481" s="213">
        <f t="shared" si="419"/>
        <v>-0.25953442298167412</v>
      </c>
      <c r="AJ481" s="50"/>
      <c r="AK481" s="111"/>
      <c r="AL481" s="23">
        <f t="shared" si="420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21"/>
        <v>4.4180609893190601E-4</v>
      </c>
      <c r="AS481" s="25"/>
      <c r="AT481" s="25"/>
      <c r="AU481" s="24"/>
      <c r="AV481" s="298">
        <f t="shared" si="422"/>
        <v>0.85416754724353605</v>
      </c>
      <c r="AW481" s="298"/>
      <c r="AX481" s="24">
        <f t="shared" si="423"/>
        <v>61653.118644067799</v>
      </c>
      <c r="AY481" s="308"/>
      <c r="AZ481" s="111"/>
      <c r="BA481" s="65">
        <f t="shared" si="424"/>
        <v>483136</v>
      </c>
      <c r="BB481" s="66"/>
      <c r="BC481" s="66">
        <v>508085012</v>
      </c>
      <c r="BD481" s="66"/>
      <c r="BE481" s="66">
        <f t="shared" si="425"/>
        <v>5749</v>
      </c>
      <c r="BF481" s="66"/>
      <c r="BG481" s="144">
        <f t="shared" si="426"/>
        <v>1.1899340972314213E-2</v>
      </c>
      <c r="BH481" s="66"/>
      <c r="BI481" s="170"/>
      <c r="BJ481" s="66"/>
      <c r="BK481" s="66">
        <f t="shared" si="427"/>
        <v>4260795</v>
      </c>
      <c r="BL481" s="66"/>
      <c r="BM481" s="144">
        <f t="shared" si="428"/>
        <v>2.0343856017480306E-2</v>
      </c>
      <c r="BN481" s="65">
        <f t="shared" si="429"/>
        <v>1076451.2966101696</v>
      </c>
      <c r="BO481" s="66"/>
      <c r="BP481" s="66">
        <f t="shared" si="430"/>
        <v>33161598</v>
      </c>
      <c r="BQ481" s="66"/>
      <c r="BR481" s="435">
        <f t="shared" si="431"/>
        <v>6.5267813883083017E-2</v>
      </c>
      <c r="BS481" s="66"/>
      <c r="BT481" s="75"/>
      <c r="BU481" s="170"/>
      <c r="BV481" s="1"/>
      <c r="BW481" s="61">
        <f t="shared" si="407"/>
        <v>472</v>
      </c>
    </row>
    <row r="482" spans="2:75" x14ac:dyDescent="0.3">
      <c r="B482" s="158">
        <f t="shared" si="406"/>
        <v>44382</v>
      </c>
      <c r="C482" s="61"/>
      <c r="D482" s="17">
        <v>5132</v>
      </c>
      <c r="E482" s="16"/>
      <c r="F482" s="16"/>
      <c r="G482" s="16"/>
      <c r="H482" s="16">
        <f t="shared" si="408"/>
        <v>34073708</v>
      </c>
      <c r="I482" s="16"/>
      <c r="J482" s="436">
        <f t="shared" si="409"/>
        <v>1.5063734979706812E-4</v>
      </c>
      <c r="K482" s="16"/>
      <c r="L482" s="16"/>
      <c r="M482" s="16"/>
      <c r="N482" s="16">
        <f t="shared" si="410"/>
        <v>79831</v>
      </c>
      <c r="O482" s="16">
        <f t="shared" si="411"/>
        <v>72037.437632135305</v>
      </c>
      <c r="P482" s="41"/>
      <c r="Q482" s="17">
        <f t="shared" si="412"/>
        <v>79831</v>
      </c>
      <c r="R482" s="16"/>
      <c r="S482" s="60">
        <f t="shared" si="413"/>
        <v>-3.9453736012513535E-2</v>
      </c>
      <c r="T482" s="16"/>
      <c r="U482" s="41"/>
      <c r="V482" s="10">
        <f t="shared" si="356"/>
        <v>374</v>
      </c>
      <c r="W482" s="34">
        <v>36</v>
      </c>
      <c r="X482" s="33">
        <v>4256</v>
      </c>
      <c r="Y482" s="33"/>
      <c r="Z482" s="33">
        <f t="shared" si="414"/>
        <v>1073</v>
      </c>
      <c r="AA482" s="33">
        <f t="shared" si="415"/>
        <v>606219</v>
      </c>
      <c r="AB482" s="33"/>
      <c r="AC482" s="46">
        <f t="shared" si="416"/>
        <v>1.7791400924137755E-2</v>
      </c>
      <c r="AD482" s="33"/>
      <c r="AE482" s="33">
        <f t="shared" si="417"/>
        <v>1281.6469344608879</v>
      </c>
      <c r="AF482" s="50"/>
      <c r="AG482" s="33">
        <f t="shared" si="418"/>
        <v>1367</v>
      </c>
      <c r="AH482" s="33">
        <f t="shared" si="381"/>
        <v>1158029394.060914</v>
      </c>
      <c r="AI482" s="213">
        <f t="shared" si="419"/>
        <v>-0.29753340184994859</v>
      </c>
      <c r="AJ482" s="50"/>
      <c r="AK482" s="111"/>
      <c r="AL482" s="23">
        <f t="shared" si="420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21"/>
        <v>5.6673009791798512E-4</v>
      </c>
      <c r="AS482" s="25"/>
      <c r="AT482" s="25"/>
      <c r="AU482" s="24"/>
      <c r="AV482" s="298">
        <f t="shared" si="422"/>
        <v>0.85452290663522734</v>
      </c>
      <c r="AW482" s="298"/>
      <c r="AX482" s="24">
        <f t="shared" si="423"/>
        <v>61557.64059196617</v>
      </c>
      <c r="AY482" s="308"/>
      <c r="AZ482" s="111"/>
      <c r="BA482" s="65">
        <f t="shared" si="424"/>
        <v>380659</v>
      </c>
      <c r="BB482" s="66"/>
      <c r="BC482" s="66">
        <v>508465671</v>
      </c>
      <c r="BD482" s="66"/>
      <c r="BE482" s="66">
        <f t="shared" si="425"/>
        <v>5132</v>
      </c>
      <c r="BF482" s="66"/>
      <c r="BG482" s="144">
        <f t="shared" si="426"/>
        <v>1.3481882734941247E-2</v>
      </c>
      <c r="BH482" s="66"/>
      <c r="BI482" s="170"/>
      <c r="BJ482" s="66"/>
      <c r="BK482" s="66">
        <f t="shared" si="427"/>
        <v>3587598</v>
      </c>
      <c r="BL482" s="66"/>
      <c r="BM482" s="144">
        <f t="shared" si="428"/>
        <v>2.2251935696251363E-2</v>
      </c>
      <c r="BN482" s="65">
        <f t="shared" si="429"/>
        <v>1074980.2769556025</v>
      </c>
      <c r="BO482" s="66"/>
      <c r="BP482" s="66">
        <f t="shared" si="430"/>
        <v>33166730</v>
      </c>
      <c r="BQ482" s="66"/>
      <c r="BR482" s="435">
        <f t="shared" si="431"/>
        <v>6.5229044735254108E-2</v>
      </c>
      <c r="BS482" s="66"/>
      <c r="BT482" s="75"/>
      <c r="BU482" s="170"/>
      <c r="BV482" s="1"/>
      <c r="BW482" s="61">
        <f t="shared" si="407"/>
        <v>473</v>
      </c>
    </row>
    <row r="483" spans="2:75" x14ac:dyDescent="0.3">
      <c r="B483" s="158">
        <f t="shared" si="406"/>
        <v>44383</v>
      </c>
      <c r="C483" s="61"/>
      <c r="D483" s="17">
        <v>11612</v>
      </c>
      <c r="E483" s="16"/>
      <c r="F483" s="16"/>
      <c r="G483" s="16"/>
      <c r="H483" s="16">
        <f t="shared" si="408"/>
        <v>34085320</v>
      </c>
      <c r="I483" s="16"/>
      <c r="J483" s="436">
        <f t="shared" si="409"/>
        <v>3.4079061779833294E-4</v>
      </c>
      <c r="K483" s="16"/>
      <c r="L483" s="16"/>
      <c r="M483" s="16"/>
      <c r="N483" s="16">
        <f t="shared" si="410"/>
        <v>80016</v>
      </c>
      <c r="O483" s="16">
        <f t="shared" si="411"/>
        <v>71909.957805907179</v>
      </c>
      <c r="P483" s="41"/>
      <c r="Q483" s="17">
        <f t="shared" si="412"/>
        <v>80016</v>
      </c>
      <c r="R483" s="16"/>
      <c r="S483" s="60">
        <f t="shared" si="413"/>
        <v>-2.0168252452150912E-2</v>
      </c>
      <c r="T483" s="16"/>
      <c r="U483" s="41"/>
      <c r="V483" s="10">
        <f t="shared" si="356"/>
        <v>375</v>
      </c>
      <c r="W483" s="34">
        <v>202</v>
      </c>
      <c r="X483" s="33">
        <v>4256</v>
      </c>
      <c r="Y483" s="33"/>
      <c r="Z483" s="33">
        <f t="shared" si="414"/>
        <v>1026</v>
      </c>
      <c r="AA483" s="33">
        <f t="shared" si="415"/>
        <v>606421</v>
      </c>
      <c r="AB483" s="33"/>
      <c r="AC483" s="46">
        <f t="shared" si="416"/>
        <v>1.7791266152114751E-2</v>
      </c>
      <c r="AD483" s="33"/>
      <c r="AE483" s="33">
        <f t="shared" si="417"/>
        <v>1279.3691983122362</v>
      </c>
      <c r="AF483" s="50"/>
      <c r="AG483" s="33">
        <f t="shared" si="418"/>
        <v>1275</v>
      </c>
      <c r="AH483" s="33">
        <f t="shared" si="381"/>
        <v>1158022986.060914</v>
      </c>
      <c r="AI483" s="213">
        <f t="shared" si="419"/>
        <v>-0.29519071310116085</v>
      </c>
      <c r="AJ483" s="50"/>
      <c r="AK483" s="111"/>
      <c r="AL483" s="23">
        <f t="shared" si="420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21"/>
        <v>9.7953879764935419E-4</v>
      </c>
      <c r="AS483" s="25"/>
      <c r="AT483" s="25"/>
      <c r="AU483" s="24"/>
      <c r="AV483" s="298">
        <f t="shared" si="422"/>
        <v>0.85506854563782886</v>
      </c>
      <c r="AW483" s="298"/>
      <c r="AX483" s="24">
        <f t="shared" si="423"/>
        <v>61487.943037974685</v>
      </c>
      <c r="AY483" s="308"/>
      <c r="AZ483" s="111"/>
      <c r="BA483" s="65">
        <f t="shared" si="424"/>
        <v>750932</v>
      </c>
      <c r="BB483" s="66"/>
      <c r="BC483" s="66">
        <v>509216603</v>
      </c>
      <c r="BD483" s="66"/>
      <c r="BE483" s="66">
        <f t="shared" si="425"/>
        <v>11612</v>
      </c>
      <c r="BF483" s="66"/>
      <c r="BG483" s="144">
        <f t="shared" si="426"/>
        <v>1.5463450751865681E-2</v>
      </c>
      <c r="BH483" s="66"/>
      <c r="BI483" s="170"/>
      <c r="BJ483" s="66"/>
      <c r="BK483" s="66">
        <f t="shared" si="427"/>
        <v>3824004</v>
      </c>
      <c r="BL483" s="66"/>
      <c r="BM483" s="144">
        <f t="shared" si="428"/>
        <v>2.0924664304744451E-2</v>
      </c>
      <c r="BN483" s="65">
        <f t="shared" si="429"/>
        <v>1074296.6308016877</v>
      </c>
      <c r="BO483" s="66"/>
      <c r="BP483" s="66">
        <f t="shared" si="430"/>
        <v>33178342</v>
      </c>
      <c r="BQ483" s="66"/>
      <c r="BR483" s="435">
        <f t="shared" si="431"/>
        <v>6.5155656364173975E-2</v>
      </c>
      <c r="BS483" s="66"/>
      <c r="BT483" s="75"/>
      <c r="BU483" s="170"/>
      <c r="BV483" s="1"/>
      <c r="BW483" s="61">
        <f t="shared" si="407"/>
        <v>474</v>
      </c>
    </row>
    <row r="484" spans="2:75" x14ac:dyDescent="0.3">
      <c r="B484" s="158">
        <f t="shared" si="406"/>
        <v>44384</v>
      </c>
      <c r="C484" s="61"/>
      <c r="D484" s="17">
        <v>16812</v>
      </c>
      <c r="E484" s="16"/>
      <c r="F484" s="16"/>
      <c r="G484" s="16"/>
      <c r="H484" s="16">
        <f t="shared" si="408"/>
        <v>34102132</v>
      </c>
      <c r="I484" s="16"/>
      <c r="J484" s="436">
        <f t="shared" si="409"/>
        <v>4.9323286388392427E-4</v>
      </c>
      <c r="K484" s="16"/>
      <c r="L484" s="16"/>
      <c r="M484" s="16"/>
      <c r="N484" s="16">
        <f t="shared" si="410"/>
        <v>82631</v>
      </c>
      <c r="O484" s="16">
        <f t="shared" si="411"/>
        <v>71793.962105263156</v>
      </c>
      <c r="P484" s="41"/>
      <c r="Q484" s="17">
        <f t="shared" si="412"/>
        <v>82631</v>
      </c>
      <c r="R484" s="16"/>
      <c r="S484" s="60">
        <f t="shared" si="413"/>
        <v>1.6485847627128918E-3</v>
      </c>
      <c r="T484" s="16"/>
      <c r="U484" s="41"/>
      <c r="V484" s="10">
        <f t="shared" si="356"/>
        <v>376</v>
      </c>
      <c r="W484" s="34">
        <v>251</v>
      </c>
      <c r="X484" s="33">
        <v>4256</v>
      </c>
      <c r="Y484" s="33"/>
      <c r="Z484" s="33">
        <f t="shared" si="414"/>
        <v>962</v>
      </c>
      <c r="AA484" s="33">
        <f t="shared" si="415"/>
        <v>606672</v>
      </c>
      <c r="AB484" s="33"/>
      <c r="AC484" s="46">
        <f t="shared" si="416"/>
        <v>1.7789855484695208E-2</v>
      </c>
      <c r="AD484" s="33"/>
      <c r="AE484" s="33">
        <f t="shared" si="417"/>
        <v>1277.2042105263158</v>
      </c>
      <c r="AF484" s="50"/>
      <c r="AG484" s="33">
        <f t="shared" si="418"/>
        <v>1277</v>
      </c>
      <c r="AH484" s="33">
        <f t="shared" si="381"/>
        <v>1158010703.060914</v>
      </c>
      <c r="AI484" s="213">
        <f t="shared" si="419"/>
        <v>-0.26142278773857719</v>
      </c>
      <c r="AJ484" s="50"/>
      <c r="AK484" s="111"/>
      <c r="AL484" s="23">
        <f t="shared" si="420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21"/>
        <v>7.9011064739974233E-4</v>
      </c>
      <c r="AS484" s="25"/>
      <c r="AT484" s="25"/>
      <c r="AU484" s="24"/>
      <c r="AV484" s="298">
        <f t="shared" si="422"/>
        <v>0.85532227134655392</v>
      </c>
      <c r="AW484" s="298"/>
      <c r="AX484" s="24">
        <f t="shared" si="423"/>
        <v>61406.974736842109</v>
      </c>
      <c r="AY484" s="308"/>
      <c r="AZ484" s="111"/>
      <c r="BA484" s="65">
        <f t="shared" si="424"/>
        <v>486270</v>
      </c>
      <c r="BB484" s="66"/>
      <c r="BC484" s="66">
        <v>509702873</v>
      </c>
      <c r="BD484" s="66"/>
      <c r="BE484" s="66">
        <f t="shared" si="425"/>
        <v>16812</v>
      </c>
      <c r="BF484" s="66"/>
      <c r="BG484" s="144">
        <f t="shared" si="426"/>
        <v>3.4573385156394597E-2</v>
      </c>
      <c r="BH484" s="66"/>
      <c r="BI484" s="170"/>
      <c r="BJ484" s="66"/>
      <c r="BK484" s="66">
        <f t="shared" si="427"/>
        <v>3543745</v>
      </c>
      <c r="BL484" s="66"/>
      <c r="BM484" s="144">
        <f t="shared" si="428"/>
        <v>2.3317422670084895E-2</v>
      </c>
      <c r="BN484" s="65">
        <f t="shared" si="429"/>
        <v>1073058.68</v>
      </c>
      <c r="BO484" s="66"/>
      <c r="BP484" s="66">
        <f t="shared" si="430"/>
        <v>33195154</v>
      </c>
      <c r="BQ484" s="66"/>
      <c r="BR484" s="435">
        <f t="shared" si="431"/>
        <v>6.5126480069889664E-2</v>
      </c>
      <c r="BS484" s="66"/>
      <c r="BT484" s="75"/>
      <c r="BU484" s="170"/>
      <c r="BV484" s="1"/>
      <c r="BW484" s="61">
        <f t="shared" si="407"/>
        <v>475</v>
      </c>
    </row>
    <row r="485" spans="2:75" x14ac:dyDescent="0.3">
      <c r="B485" s="158">
        <f t="shared" si="406"/>
        <v>44385</v>
      </c>
      <c r="C485" s="61"/>
      <c r="D485" s="17">
        <v>19347</v>
      </c>
      <c r="E485" s="16"/>
      <c r="F485" s="16"/>
      <c r="G485" s="16"/>
      <c r="H485" s="16">
        <f t="shared" si="408"/>
        <v>34121479</v>
      </c>
      <c r="I485" s="16"/>
      <c r="J485" s="436">
        <f t="shared" si="409"/>
        <v>5.6732523350739477E-4</v>
      </c>
      <c r="K485" s="16"/>
      <c r="L485" s="16"/>
      <c r="M485" s="16"/>
      <c r="N485" s="16">
        <f t="shared" si="410"/>
        <v>85029</v>
      </c>
      <c r="O485" s="16">
        <f t="shared" si="411"/>
        <v>71683.779411764699</v>
      </c>
      <c r="P485" s="41"/>
      <c r="Q485" s="17">
        <f t="shared" si="412"/>
        <v>85029</v>
      </c>
      <c r="R485" s="16"/>
      <c r="S485" s="60">
        <f t="shared" si="413"/>
        <v>1.2442846256429796E-2</v>
      </c>
      <c r="T485" s="16"/>
      <c r="U485" s="41"/>
      <c r="V485" s="10">
        <f t="shared" si="356"/>
        <v>377</v>
      </c>
      <c r="W485" s="34">
        <v>261</v>
      </c>
      <c r="X485" s="33">
        <v>4256</v>
      </c>
      <c r="Y485" s="33"/>
      <c r="Z485" s="33">
        <f t="shared" si="414"/>
        <v>901</v>
      </c>
      <c r="AA485" s="33">
        <f t="shared" si="415"/>
        <v>606933</v>
      </c>
      <c r="AB485" s="33"/>
      <c r="AC485" s="46">
        <f t="shared" si="416"/>
        <v>1.7787417714220419E-2</v>
      </c>
      <c r="AD485" s="33"/>
      <c r="AE485" s="33">
        <f t="shared" si="417"/>
        <v>1275.0693277310925</v>
      </c>
      <c r="AF485" s="50"/>
      <c r="AG485" s="33">
        <f t="shared" si="418"/>
        <v>1223</v>
      </c>
      <c r="AH485" s="33">
        <f t="shared" si="381"/>
        <v>1157997161.060914</v>
      </c>
      <c r="AI485" s="213">
        <f t="shared" si="419"/>
        <v>-0.26502403846153844</v>
      </c>
      <c r="AJ485" s="50"/>
      <c r="AK485" s="111"/>
      <c r="AL485" s="23">
        <f t="shared" si="420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21"/>
        <v>1.1997608500704171E-3</v>
      </c>
      <c r="AS485" s="25"/>
      <c r="AT485" s="25"/>
      <c r="AU485" s="24"/>
      <c r="AV485" s="298">
        <f t="shared" si="422"/>
        <v>0.85586290090180439</v>
      </c>
      <c r="AW485" s="298"/>
      <c r="AX485" s="24">
        <f t="shared" si="423"/>
        <v>61351.487394957985</v>
      </c>
      <c r="AY485" s="308"/>
      <c r="AZ485" s="111"/>
      <c r="BA485" s="65">
        <f t="shared" si="424"/>
        <v>777468</v>
      </c>
      <c r="BB485" s="66"/>
      <c r="BC485" s="66">
        <v>510480341</v>
      </c>
      <c r="BD485" s="66"/>
      <c r="BE485" s="66">
        <f t="shared" si="425"/>
        <v>19347</v>
      </c>
      <c r="BF485" s="66"/>
      <c r="BG485" s="144">
        <f t="shared" si="426"/>
        <v>2.4884625476546945E-2</v>
      </c>
      <c r="BH485" s="66"/>
      <c r="BI485" s="170"/>
      <c r="BJ485" s="66"/>
      <c r="BK485" s="66">
        <f t="shared" si="427"/>
        <v>3875729</v>
      </c>
      <c r="BL485" s="66"/>
      <c r="BM485" s="144">
        <f t="shared" si="428"/>
        <v>2.193884040912045E-2</v>
      </c>
      <c r="BN485" s="65">
        <f t="shared" si="429"/>
        <v>1072437.6911764706</v>
      </c>
      <c r="BO485" s="66"/>
      <c r="BP485" s="66">
        <f t="shared" si="430"/>
        <v>33214501</v>
      </c>
      <c r="BQ485" s="66"/>
      <c r="BR485" s="435">
        <f t="shared" si="431"/>
        <v>6.5065191217618307E-2</v>
      </c>
      <c r="BS485" s="66"/>
      <c r="BT485" s="75"/>
      <c r="BU485" s="170"/>
      <c r="BV485" s="1"/>
      <c r="BW485" s="61">
        <f t="shared" si="407"/>
        <v>476</v>
      </c>
    </row>
    <row r="486" spans="2:75" x14ac:dyDescent="0.3">
      <c r="B486" s="158">
        <f t="shared" si="406"/>
        <v>44386</v>
      </c>
      <c r="C486" s="61"/>
      <c r="D486" s="17">
        <v>27237</v>
      </c>
      <c r="E486" s="16"/>
      <c r="F486" s="16"/>
      <c r="G486" s="16"/>
      <c r="H486" s="16">
        <f t="shared" si="408"/>
        <v>34148716</v>
      </c>
      <c r="I486" s="16"/>
      <c r="J486" s="436">
        <f t="shared" si="409"/>
        <v>7.9823620775641051E-4</v>
      </c>
      <c r="K486" s="16"/>
      <c r="L486" s="16"/>
      <c r="M486" s="16"/>
      <c r="N486" s="16">
        <f t="shared" si="410"/>
        <v>93867</v>
      </c>
      <c r="O486" s="16">
        <f t="shared" si="411"/>
        <v>71590.599580712791</v>
      </c>
      <c r="P486" s="41"/>
      <c r="Q486" s="17">
        <f t="shared" si="412"/>
        <v>93867</v>
      </c>
      <c r="R486" s="16"/>
      <c r="S486" s="60">
        <f t="shared" si="413"/>
        <v>8.0844253045620984E-2</v>
      </c>
      <c r="T486" s="16"/>
      <c r="U486" s="41"/>
      <c r="V486" s="10">
        <f t="shared" si="356"/>
        <v>378</v>
      </c>
      <c r="W486" s="34">
        <v>366</v>
      </c>
      <c r="X486" s="33">
        <v>4256</v>
      </c>
      <c r="Y486" s="33"/>
      <c r="Z486" s="33">
        <f t="shared" si="414"/>
        <v>1171</v>
      </c>
      <c r="AA486" s="33">
        <f t="shared" si="415"/>
        <v>607299</v>
      </c>
      <c r="AB486" s="33"/>
      <c r="AC486" s="46">
        <f t="shared" si="416"/>
        <v>1.7783948304234923E-2</v>
      </c>
      <c r="AD486" s="33"/>
      <c r="AE486" s="33">
        <f t="shared" si="417"/>
        <v>1273.1635220125786</v>
      </c>
      <c r="AF486" s="50"/>
      <c r="AG486" s="33">
        <f t="shared" si="418"/>
        <v>1267</v>
      </c>
      <c r="AH486" s="33">
        <f t="shared" ref="AH486:AH549" si="432">SUM(D457:D1206)</f>
        <v>1157982960.060914</v>
      </c>
      <c r="AI486" s="213">
        <f t="shared" si="419"/>
        <v>-0.20762976860537835</v>
      </c>
      <c r="AJ486" s="50"/>
      <c r="AK486" s="111"/>
      <c r="AL486" s="23">
        <f t="shared" si="420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21"/>
        <v>6.7334837546486172E-4</v>
      </c>
      <c r="AS486" s="25"/>
      <c r="AT486" s="25"/>
      <c r="AU486" s="24"/>
      <c r="AV486" s="298">
        <f t="shared" si="422"/>
        <v>0.8557560992922838</v>
      </c>
      <c r="AW486" s="298"/>
      <c r="AX486" s="24">
        <f t="shared" si="423"/>
        <v>61264.092243186584</v>
      </c>
      <c r="AY486" s="308"/>
      <c r="AZ486" s="111"/>
      <c r="BA486" s="65">
        <f t="shared" si="424"/>
        <v>947663</v>
      </c>
      <c r="BB486" s="66"/>
      <c r="BC486" s="66">
        <v>511428004</v>
      </c>
      <c r="BD486" s="66"/>
      <c r="BE486" s="66">
        <f t="shared" si="425"/>
        <v>27237</v>
      </c>
      <c r="BF486" s="66"/>
      <c r="BG486" s="144">
        <f t="shared" si="426"/>
        <v>2.8741229740952216E-2</v>
      </c>
      <c r="BH486" s="66"/>
      <c r="BI486" s="170"/>
      <c r="BJ486" s="66"/>
      <c r="BK486" s="66">
        <f t="shared" si="427"/>
        <v>4081419</v>
      </c>
      <c r="BL486" s="66"/>
      <c r="BM486" s="144">
        <f t="shared" si="428"/>
        <v>2.2998618862704368E-2</v>
      </c>
      <c r="BN486" s="65">
        <f t="shared" si="429"/>
        <v>1072176.109014675</v>
      </c>
      <c r="BO486" s="66"/>
      <c r="BP486" s="66">
        <f t="shared" si="430"/>
        <v>33241738</v>
      </c>
      <c r="BQ486" s="66"/>
      <c r="BR486" s="435">
        <f t="shared" si="431"/>
        <v>6.4997883846814139E-2</v>
      </c>
      <c r="BS486" s="66"/>
      <c r="BT486" s="75"/>
      <c r="BU486" s="170"/>
      <c r="BV486" s="1"/>
      <c r="BW486" s="61">
        <f t="shared" si="407"/>
        <v>477</v>
      </c>
    </row>
    <row r="487" spans="2:75" x14ac:dyDescent="0.3">
      <c r="B487" s="158">
        <f t="shared" si="406"/>
        <v>44387</v>
      </c>
      <c r="C487" s="61"/>
      <c r="D487" s="17">
        <v>14535</v>
      </c>
      <c r="E487" s="16"/>
      <c r="F487" s="16"/>
      <c r="G487" s="16"/>
      <c r="H487" s="16">
        <f t="shared" si="408"/>
        <v>34163251</v>
      </c>
      <c r="I487" s="16"/>
      <c r="J487" s="436">
        <f t="shared" si="409"/>
        <v>4.2563825825837784E-4</v>
      </c>
      <c r="K487" s="16"/>
      <c r="L487" s="16"/>
      <c r="M487" s="16"/>
      <c r="N487" s="16">
        <f t="shared" si="410"/>
        <v>100424</v>
      </c>
      <c r="O487" s="16">
        <f t="shared" si="411"/>
        <v>71471.236401673639</v>
      </c>
      <c r="P487" s="41"/>
      <c r="Q487" s="17">
        <f t="shared" si="412"/>
        <v>100424</v>
      </c>
      <c r="R487" s="16"/>
      <c r="S487" s="60">
        <f t="shared" si="413"/>
        <v>0.13810376481787892</v>
      </c>
      <c r="T487" s="16"/>
      <c r="U487" s="41"/>
      <c r="V487" s="10">
        <f t="shared" si="356"/>
        <v>379</v>
      </c>
      <c r="W487" s="34">
        <v>118</v>
      </c>
      <c r="X487" s="33">
        <v>4256</v>
      </c>
      <c r="Y487" s="33"/>
      <c r="Z487" s="33">
        <f t="shared" si="414"/>
        <v>1234</v>
      </c>
      <c r="AA487" s="33">
        <f t="shared" si="415"/>
        <v>607417</v>
      </c>
      <c r="AB487" s="33"/>
      <c r="AC487" s="46">
        <f t="shared" si="416"/>
        <v>1.7779835999799903E-2</v>
      </c>
      <c r="AD487" s="33"/>
      <c r="AE487" s="33">
        <f t="shared" si="417"/>
        <v>1270.7468619246863</v>
      </c>
      <c r="AF487" s="50"/>
      <c r="AG487" s="33">
        <f t="shared" si="418"/>
        <v>1289</v>
      </c>
      <c r="AH487" s="33">
        <f t="shared" si="432"/>
        <v>1157966196.060914</v>
      </c>
      <c r="AI487" s="213">
        <f t="shared" si="419"/>
        <v>-0.16623544631306597</v>
      </c>
      <c r="AJ487" s="50"/>
      <c r="AK487" s="111"/>
      <c r="AL487" s="23">
        <f t="shared" si="420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21"/>
        <v>4.091986263409485E-4</v>
      </c>
      <c r="AS487" s="25"/>
      <c r="AT487" s="25"/>
      <c r="AU487" s="24"/>
      <c r="AV487" s="298">
        <f t="shared" si="422"/>
        <v>0.85574203696246587</v>
      </c>
      <c r="AW487" s="298"/>
      <c r="AX487" s="24">
        <f t="shared" si="423"/>
        <v>61160.941422594144</v>
      </c>
      <c r="AY487" s="308"/>
      <c r="AZ487" s="111"/>
      <c r="BA487" s="65">
        <f t="shared" si="424"/>
        <v>242661</v>
      </c>
      <c r="BB487" s="66"/>
      <c r="BC487" s="66">
        <v>511670665</v>
      </c>
      <c r="BD487" s="66"/>
      <c r="BE487" s="66">
        <f t="shared" si="425"/>
        <v>14535</v>
      </c>
      <c r="BF487" s="66"/>
      <c r="BG487" s="144">
        <f t="shared" si="426"/>
        <v>5.9898376747808672E-2</v>
      </c>
      <c r="BH487" s="66"/>
      <c r="BI487" s="170"/>
      <c r="BJ487" s="66"/>
      <c r="BK487" s="66">
        <f t="shared" si="427"/>
        <v>4068789</v>
      </c>
      <c r="BL487" s="66"/>
      <c r="BM487" s="144">
        <f t="shared" si="428"/>
        <v>2.4681545295172594E-2</v>
      </c>
      <c r="BN487" s="65">
        <f t="shared" si="429"/>
        <v>1070440.7217573221</v>
      </c>
      <c r="BO487" s="66"/>
      <c r="BP487" s="66">
        <f t="shared" si="430"/>
        <v>33256273</v>
      </c>
      <c r="BQ487" s="66"/>
      <c r="BR487" s="435">
        <f t="shared" si="431"/>
        <v>6.4995465393741111E-2</v>
      </c>
      <c r="BS487" s="66"/>
      <c r="BT487" s="75"/>
      <c r="BU487" s="170"/>
      <c r="BV487" s="1"/>
      <c r="BW487" s="61">
        <f t="shared" si="407"/>
        <v>478</v>
      </c>
    </row>
    <row r="488" spans="2:75" x14ac:dyDescent="0.3">
      <c r="B488" s="347">
        <f t="shared" si="406"/>
        <v>44388</v>
      </c>
      <c r="C488" s="61"/>
      <c r="D488" s="17">
        <v>6642</v>
      </c>
      <c r="E488" s="16"/>
      <c r="F488" s="16"/>
      <c r="G488" s="16"/>
      <c r="H488" s="16">
        <f t="shared" si="408"/>
        <v>34169893</v>
      </c>
      <c r="I488" s="16"/>
      <c r="J488" s="436">
        <f t="shared" si="409"/>
        <v>1.9441943625330037E-4</v>
      </c>
      <c r="K488" s="16"/>
      <c r="L488" s="16"/>
      <c r="M488" s="16"/>
      <c r="N488" s="16">
        <f t="shared" si="410"/>
        <v>101317</v>
      </c>
      <c r="O488" s="16">
        <f t="shared" si="411"/>
        <v>71335.893528183718</v>
      </c>
      <c r="P488" s="41"/>
      <c r="Q488" s="17">
        <f t="shared" si="412"/>
        <v>101317</v>
      </c>
      <c r="R488" s="16"/>
      <c r="S488" s="60">
        <f t="shared" si="413"/>
        <v>0.16884899805032244</v>
      </c>
      <c r="T488" s="16"/>
      <c r="U488" s="41"/>
      <c r="V488" s="10">
        <f t="shared" si="356"/>
        <v>380</v>
      </c>
      <c r="W488" s="34">
        <v>27</v>
      </c>
      <c r="X488" s="33">
        <v>4256</v>
      </c>
      <c r="Y488" s="33"/>
      <c r="Z488" s="33">
        <f t="shared" si="414"/>
        <v>1225</v>
      </c>
      <c r="AA488" s="33">
        <f t="shared" si="415"/>
        <v>607444</v>
      </c>
      <c r="AB488" s="33"/>
      <c r="AC488" s="46">
        <f t="shared" si="416"/>
        <v>1.777717009532339E-2</v>
      </c>
      <c r="AD488" s="33"/>
      <c r="AE488" s="33">
        <f t="shared" si="417"/>
        <v>1268.1503131524009</v>
      </c>
      <c r="AF488" s="50"/>
      <c r="AG488" s="33">
        <f t="shared" si="418"/>
        <v>1261</v>
      </c>
      <c r="AH488" s="33">
        <f t="shared" si="432"/>
        <v>1157950051.060914</v>
      </c>
      <c r="AI488" s="213">
        <f t="shared" si="419"/>
        <v>-0.15652173913043479</v>
      </c>
      <c r="AJ488" s="50"/>
      <c r="AK488" s="111"/>
      <c r="AL488" s="23">
        <f t="shared" si="420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21"/>
        <v>3.1376849542653256E-4</v>
      </c>
      <c r="AS488" s="25"/>
      <c r="AT488" s="25"/>
      <c r="AU488" s="24"/>
      <c r="AV488" s="298">
        <f t="shared" si="422"/>
        <v>0.85584414911688489</v>
      </c>
      <c r="AW488" s="298"/>
      <c r="AX488" s="24">
        <f t="shared" si="423"/>
        <v>61052.407098121083</v>
      </c>
      <c r="AY488" s="308"/>
      <c r="AZ488" s="111"/>
      <c r="BA488" s="65">
        <f t="shared" si="424"/>
        <v>134862</v>
      </c>
      <c r="BB488" s="66"/>
      <c r="BC488" s="66">
        <v>511805527</v>
      </c>
      <c r="BD488" s="66"/>
      <c r="BE488" s="66">
        <f t="shared" si="425"/>
        <v>6642</v>
      </c>
      <c r="BF488" s="66"/>
      <c r="BG488" s="144">
        <f t="shared" si="426"/>
        <v>4.9250344796903503E-2</v>
      </c>
      <c r="BH488" s="66"/>
      <c r="BI488" s="170"/>
      <c r="BJ488" s="66"/>
      <c r="BK488" s="66">
        <f t="shared" si="427"/>
        <v>3720515</v>
      </c>
      <c r="BL488" s="66"/>
      <c r="BM488" s="144">
        <f t="shared" si="428"/>
        <v>2.7231982669065975E-2</v>
      </c>
      <c r="BN488" s="65">
        <f t="shared" si="429"/>
        <v>1068487.5302713988</v>
      </c>
      <c r="BO488" s="66"/>
      <c r="BP488" s="66">
        <f t="shared" si="430"/>
        <v>33262915</v>
      </c>
      <c r="BQ488" s="66"/>
      <c r="BR488" s="435">
        <f t="shared" si="431"/>
        <v>6.4991316516204795E-2</v>
      </c>
      <c r="BS488" s="66"/>
      <c r="BT488" s="75"/>
      <c r="BU488" s="170"/>
      <c r="BV488" s="1"/>
      <c r="BW488" s="61">
        <f t="shared" si="407"/>
        <v>479</v>
      </c>
    </row>
    <row r="489" spans="2:75" x14ac:dyDescent="0.3">
      <c r="B489" s="158">
        <f t="shared" si="406"/>
        <v>44389</v>
      </c>
      <c r="C489" s="61"/>
      <c r="D489" s="17">
        <v>19996</v>
      </c>
      <c r="E489" s="16"/>
      <c r="F489" s="16"/>
      <c r="G489" s="16"/>
      <c r="H489" s="16">
        <f t="shared" si="408"/>
        <v>34189889</v>
      </c>
      <c r="I489" s="16"/>
      <c r="J489" s="436">
        <f t="shared" si="409"/>
        <v>5.8519352109179853E-4</v>
      </c>
      <c r="K489" s="16"/>
      <c r="L489" s="16"/>
      <c r="M489" s="16"/>
      <c r="N489" s="16">
        <f t="shared" si="410"/>
        <v>116181</v>
      </c>
      <c r="O489" s="16">
        <f t="shared" si="411"/>
        <v>71228.93541666666</v>
      </c>
      <c r="P489" s="41"/>
      <c r="Q489" s="17">
        <f t="shared" si="412"/>
        <v>116181</v>
      </c>
      <c r="R489" s="16"/>
      <c r="S489" s="60">
        <f t="shared" si="413"/>
        <v>0.45533689919955905</v>
      </c>
      <c r="T489" s="16"/>
      <c r="U489" s="41"/>
      <c r="V489" s="10">
        <f t="shared" si="356"/>
        <v>381</v>
      </c>
      <c r="W489" s="34">
        <v>163</v>
      </c>
      <c r="X489" s="33">
        <v>4256</v>
      </c>
      <c r="Y489" s="33"/>
      <c r="Z489" s="33">
        <f t="shared" si="414"/>
        <v>1186</v>
      </c>
      <c r="AA489" s="33">
        <f t="shared" si="415"/>
        <v>607607</v>
      </c>
      <c r="AB489" s="33"/>
      <c r="AC489" s="46">
        <f t="shared" si="416"/>
        <v>1.7771540586165695E-2</v>
      </c>
      <c r="AD489" s="33"/>
      <c r="AE489" s="33">
        <f t="shared" si="417"/>
        <v>1265.8479166666666</v>
      </c>
      <c r="AF489" s="50"/>
      <c r="AG489" s="33">
        <f t="shared" si="418"/>
        <v>1388</v>
      </c>
      <c r="AH489" s="33">
        <f t="shared" si="432"/>
        <v>1157940624.060914</v>
      </c>
      <c r="AI489" s="213">
        <f t="shared" si="419"/>
        <v>1.5362106803218726E-2</v>
      </c>
      <c r="AJ489" s="50"/>
      <c r="AK489" s="111"/>
      <c r="AL489" s="23">
        <f t="shared" si="420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21"/>
        <v>1.2838143813130463E-3</v>
      </c>
      <c r="AS489" s="25"/>
      <c r="AT489" s="25"/>
      <c r="AU489" s="24"/>
      <c r="AV489" s="298">
        <f t="shared" si="422"/>
        <v>0.85644171000379676</v>
      </c>
      <c r="AW489" s="298"/>
      <c r="AX489" s="24">
        <f t="shared" si="423"/>
        <v>61003.431250000001</v>
      </c>
      <c r="AY489" s="308"/>
      <c r="AZ489" s="111"/>
      <c r="BA489" s="65">
        <f t="shared" si="424"/>
        <v>1358363</v>
      </c>
      <c r="BB489" s="66"/>
      <c r="BC489" s="66">
        <v>513163890</v>
      </c>
      <c r="BD489" s="66"/>
      <c r="BE489" s="66">
        <f t="shared" si="425"/>
        <v>19996</v>
      </c>
      <c r="BF489" s="66"/>
      <c r="BG489" s="144">
        <f t="shared" si="426"/>
        <v>1.4720660088650825E-2</v>
      </c>
      <c r="BH489" s="66"/>
      <c r="BI489" s="170"/>
      <c r="BJ489" s="66"/>
      <c r="BK489" s="66">
        <f t="shared" si="427"/>
        <v>4698219</v>
      </c>
      <c r="BL489" s="66"/>
      <c r="BM489" s="144">
        <f t="shared" si="428"/>
        <v>2.4728732313244656E-2</v>
      </c>
      <c r="BN489" s="65">
        <f t="shared" si="429"/>
        <v>1069091.4375</v>
      </c>
      <c r="BO489" s="66"/>
      <c r="BP489" s="66">
        <f t="shared" si="430"/>
        <v>33282911</v>
      </c>
      <c r="BQ489" s="66"/>
      <c r="BR489" s="435">
        <f t="shared" si="431"/>
        <v>6.4858248307377978E-2</v>
      </c>
      <c r="BS489" s="66"/>
      <c r="BT489" s="75"/>
      <c r="BU489" s="170"/>
      <c r="BV489" s="1"/>
      <c r="BW489" s="61">
        <f t="shared" si="407"/>
        <v>480</v>
      </c>
    </row>
    <row r="490" spans="2:75" x14ac:dyDescent="0.3">
      <c r="B490" s="158">
        <f t="shared" si="406"/>
        <v>44390</v>
      </c>
      <c r="C490" s="61"/>
      <c r="D490" s="17">
        <v>39754</v>
      </c>
      <c r="E490" s="16"/>
      <c r="F490" s="16"/>
      <c r="G490" s="16"/>
      <c r="H490" s="16">
        <f t="shared" si="408"/>
        <v>34229643</v>
      </c>
      <c r="I490" s="16"/>
      <c r="J490" s="436">
        <f t="shared" si="409"/>
        <v>1.1627414174991912E-3</v>
      </c>
      <c r="K490" s="16"/>
      <c r="L490" s="16"/>
      <c r="M490" s="16"/>
      <c r="N490" s="16">
        <f t="shared" si="410"/>
        <v>144323</v>
      </c>
      <c r="O490" s="16">
        <f t="shared" si="411"/>
        <v>71163.498960498953</v>
      </c>
      <c r="P490" s="41"/>
      <c r="Q490" s="17">
        <f t="shared" si="412"/>
        <v>144323</v>
      </c>
      <c r="R490" s="16"/>
      <c r="S490" s="60">
        <f t="shared" si="413"/>
        <v>0.80367676464707061</v>
      </c>
      <c r="T490" s="16"/>
      <c r="U490" s="41"/>
      <c r="V490" s="10">
        <f t="shared" si="356"/>
        <v>382</v>
      </c>
      <c r="W490" s="34">
        <v>171</v>
      </c>
      <c r="X490" s="33">
        <v>4256</v>
      </c>
      <c r="Y490" s="33"/>
      <c r="Z490" s="33">
        <f t="shared" si="414"/>
        <v>1106</v>
      </c>
      <c r="AA490" s="33">
        <f t="shared" si="415"/>
        <v>607778</v>
      </c>
      <c r="AB490" s="33"/>
      <c r="AC490" s="46">
        <f t="shared" si="416"/>
        <v>1.7755896548497452E-2</v>
      </c>
      <c r="AD490" s="33"/>
      <c r="AE490" s="33">
        <f t="shared" si="417"/>
        <v>1263.5717255717257</v>
      </c>
      <c r="AF490" s="50"/>
      <c r="AG490" s="33">
        <f t="shared" si="418"/>
        <v>1357</v>
      </c>
      <c r="AH490" s="33">
        <f t="shared" si="432"/>
        <v>1157935339.060914</v>
      </c>
      <c r="AI490" s="213">
        <f t="shared" si="419"/>
        <v>6.431372549019608E-2</v>
      </c>
      <c r="AJ490" s="50"/>
      <c r="AK490" s="111" t="s">
        <v>26</v>
      </c>
      <c r="AL490" s="23">
        <f t="shared" si="420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21"/>
        <v>6.2677485320412473E-4</v>
      </c>
      <c r="AS490" s="25"/>
      <c r="AT490" s="25"/>
      <c r="AU490" s="24"/>
      <c r="AV490" s="298">
        <f t="shared" si="422"/>
        <v>0.85598321898945895</v>
      </c>
      <c r="AW490" s="298"/>
      <c r="AX490" s="24">
        <f t="shared" si="423"/>
        <v>60914.760914760918</v>
      </c>
      <c r="AY490" s="308"/>
      <c r="AZ490" s="111" t="s">
        <v>26</v>
      </c>
      <c r="BA490" s="65">
        <f t="shared" si="424"/>
        <v>536110</v>
      </c>
      <c r="BB490" s="66"/>
      <c r="BC490" s="66">
        <v>513700000</v>
      </c>
      <c r="BD490" s="66"/>
      <c r="BE490" s="66">
        <f t="shared" si="425"/>
        <v>39754</v>
      </c>
      <c r="BF490" s="66"/>
      <c r="BG490" s="144">
        <f t="shared" si="426"/>
        <v>7.4152692544440513E-2</v>
      </c>
      <c r="BH490" s="66"/>
      <c r="BI490" s="170"/>
      <c r="BJ490" s="66"/>
      <c r="BK490" s="66">
        <f t="shared" si="427"/>
        <v>4483397</v>
      </c>
      <c r="BL490" s="66"/>
      <c r="BM490" s="144">
        <f t="shared" si="428"/>
        <v>3.2190546587777077E-2</v>
      </c>
      <c r="BN490" s="65">
        <f t="shared" si="429"/>
        <v>1067983.367983368</v>
      </c>
      <c r="BO490" s="66"/>
      <c r="BP490" s="66">
        <f t="shared" si="430"/>
        <v>33322665</v>
      </c>
      <c r="BQ490" s="66"/>
      <c r="BR490" s="435">
        <f t="shared" si="431"/>
        <v>6.4867948218804747E-2</v>
      </c>
      <c r="BS490" s="66"/>
      <c r="BT490" s="75"/>
      <c r="BU490" s="170"/>
      <c r="BV490" s="1"/>
      <c r="BW490" s="61">
        <f t="shared" si="407"/>
        <v>481</v>
      </c>
    </row>
    <row r="491" spans="2:75" x14ac:dyDescent="0.3">
      <c r="B491" s="158">
        <f t="shared" si="406"/>
        <v>44391</v>
      </c>
      <c r="C491" s="61"/>
      <c r="D491" s="17">
        <v>35447</v>
      </c>
      <c r="E491" s="16"/>
      <c r="F491" s="16"/>
      <c r="G491" s="16"/>
      <c r="H491" s="16">
        <f t="shared" si="408"/>
        <v>34265090</v>
      </c>
      <c r="I491" s="16"/>
      <c r="J491" s="436">
        <f t="shared" si="409"/>
        <v>1.0355644083112406E-3</v>
      </c>
      <c r="K491" s="16"/>
      <c r="L491" s="16"/>
      <c r="M491" s="16"/>
      <c r="N491" s="16">
        <f t="shared" si="410"/>
        <v>162958</v>
      </c>
      <c r="O491" s="16">
        <f t="shared" si="411"/>
        <v>71089.398340248968</v>
      </c>
      <c r="P491" s="41"/>
      <c r="Q491" s="17">
        <f t="shared" si="412"/>
        <v>162958</v>
      </c>
      <c r="R491" s="16"/>
      <c r="S491" s="60">
        <f t="shared" si="413"/>
        <v>0.97211700209364527</v>
      </c>
      <c r="T491" s="16"/>
      <c r="U491" s="41"/>
      <c r="V491" s="10">
        <f t="shared" si="356"/>
        <v>383</v>
      </c>
      <c r="W491" s="34">
        <v>347</v>
      </c>
      <c r="X491" s="33">
        <v>4256</v>
      </c>
      <c r="Y491" s="33"/>
      <c r="Z491" s="33">
        <f t="shared" si="414"/>
        <v>1192</v>
      </c>
      <c r="AA491" s="33">
        <f t="shared" si="415"/>
        <v>608125</v>
      </c>
      <c r="AB491" s="33"/>
      <c r="AC491" s="46">
        <f t="shared" si="416"/>
        <v>1.7747655120707403E-2</v>
      </c>
      <c r="AD491" s="33"/>
      <c r="AE491" s="33">
        <f t="shared" si="417"/>
        <v>1261.6701244813278</v>
      </c>
      <c r="AF491" s="50"/>
      <c r="AG491" s="33">
        <f t="shared" si="418"/>
        <v>1453</v>
      </c>
      <c r="AH491" s="33">
        <f t="shared" si="432"/>
        <v>1157923818.060914</v>
      </c>
      <c r="AI491" s="213">
        <f t="shared" si="419"/>
        <v>0.13782302270947533</v>
      </c>
      <c r="AJ491" s="50"/>
      <c r="AK491" s="111"/>
      <c r="AL491" s="23">
        <f t="shared" si="420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21"/>
        <v>8.2935153583617749E-4</v>
      </c>
      <c r="AS491" s="25"/>
      <c r="AT491" s="25"/>
      <c r="AU491" s="24"/>
      <c r="AV491" s="298">
        <f t="shared" si="422"/>
        <v>0.85580688683438455</v>
      </c>
      <c r="AW491" s="298"/>
      <c r="AX491" s="24">
        <f t="shared" si="423"/>
        <v>60838.796680497922</v>
      </c>
      <c r="AY491" s="308"/>
      <c r="AZ491" s="111"/>
      <c r="BA491" s="65">
        <f t="shared" si="424"/>
        <v>874420</v>
      </c>
      <c r="BB491" s="66"/>
      <c r="BC491" s="66">
        <v>514574420</v>
      </c>
      <c r="BD491" s="66"/>
      <c r="BE491" s="66">
        <f t="shared" si="425"/>
        <v>35447</v>
      </c>
      <c r="BF491" s="66"/>
      <c r="BG491" s="144">
        <f t="shared" si="426"/>
        <v>4.0537727865327874E-2</v>
      </c>
      <c r="BH491" s="66"/>
      <c r="BI491" s="170"/>
      <c r="BJ491" s="66"/>
      <c r="BK491" s="66">
        <f t="shared" si="427"/>
        <v>4871547</v>
      </c>
      <c r="BL491" s="66"/>
      <c r="BM491" s="144">
        <f t="shared" si="428"/>
        <v>3.3450975634639266E-2</v>
      </c>
      <c r="BN491" s="65">
        <f t="shared" si="429"/>
        <v>1067581.7842323652</v>
      </c>
      <c r="BO491" s="66"/>
      <c r="BP491" s="66">
        <f t="shared" si="430"/>
        <v>33358112</v>
      </c>
      <c r="BQ491" s="66"/>
      <c r="BR491" s="435">
        <f t="shared" si="431"/>
        <v>6.4826603700976815E-2</v>
      </c>
      <c r="BS491" s="66"/>
      <c r="BT491" s="75"/>
      <c r="BU491" s="170"/>
      <c r="BV491" s="1"/>
      <c r="BW491" s="61">
        <f t="shared" si="407"/>
        <v>482</v>
      </c>
    </row>
    <row r="492" spans="2:75" x14ac:dyDescent="0.3">
      <c r="B492" s="158">
        <f t="shared" si="406"/>
        <v>44392</v>
      </c>
      <c r="C492" s="61"/>
      <c r="D492" s="17">
        <v>36674</v>
      </c>
      <c r="E492" s="16"/>
      <c r="F492" s="16"/>
      <c r="G492" s="16"/>
      <c r="H492" s="16">
        <f t="shared" si="408"/>
        <v>34301764</v>
      </c>
      <c r="I492" s="16"/>
      <c r="J492" s="436">
        <f t="shared" si="409"/>
        <v>1.0703021646813126E-3</v>
      </c>
      <c r="K492" s="16"/>
      <c r="L492" s="16"/>
      <c r="M492" s="16"/>
      <c r="N492" s="16">
        <f t="shared" si="410"/>
        <v>180285</v>
      </c>
      <c r="O492" s="16">
        <f t="shared" si="411"/>
        <v>71018.144927536225</v>
      </c>
      <c r="P492" s="41"/>
      <c r="Q492" s="17">
        <f t="shared" si="412"/>
        <v>180285</v>
      </c>
      <c r="R492" s="16"/>
      <c r="S492" s="60">
        <f t="shared" si="413"/>
        <v>1.1202766115090146</v>
      </c>
      <c r="T492" s="16"/>
      <c r="U492" s="41"/>
      <c r="V492" s="10">
        <f t="shared" si="356"/>
        <v>384</v>
      </c>
      <c r="W492" s="34">
        <v>344</v>
      </c>
      <c r="X492" s="33">
        <v>4256</v>
      </c>
      <c r="Y492" s="33"/>
      <c r="Z492" s="33">
        <f t="shared" si="414"/>
        <v>1170</v>
      </c>
      <c r="AA492" s="33">
        <f t="shared" si="415"/>
        <v>608469</v>
      </c>
      <c r="AB492" s="33"/>
      <c r="AC492" s="46">
        <f t="shared" si="416"/>
        <v>1.7738708714805453E-2</v>
      </c>
      <c r="AD492" s="33"/>
      <c r="AE492" s="33">
        <f t="shared" si="417"/>
        <v>1259.7701863354037</v>
      </c>
      <c r="AF492" s="50"/>
      <c r="AG492" s="33">
        <f t="shared" si="418"/>
        <v>1536</v>
      </c>
      <c r="AH492" s="33">
        <f t="shared" si="432"/>
        <v>1157911238.060914</v>
      </c>
      <c r="AI492" s="213">
        <f t="shared" si="419"/>
        <v>0.25592804578904332</v>
      </c>
      <c r="AJ492" s="50"/>
      <c r="AK492" s="111"/>
      <c r="AL492" s="23">
        <f t="shared" si="420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21"/>
        <v>6.006281479864822E-4</v>
      </c>
      <c r="AS492" s="25"/>
      <c r="AT492" s="25"/>
      <c r="AU492" s="24"/>
      <c r="AV492" s="298">
        <f t="shared" si="422"/>
        <v>0.85540536632460074</v>
      </c>
      <c r="AW492" s="298"/>
      <c r="AX492" s="24">
        <f t="shared" si="423"/>
        <v>60749.302277432711</v>
      </c>
      <c r="AY492" s="308"/>
      <c r="AZ492" s="111"/>
      <c r="BA492" s="65">
        <f t="shared" si="424"/>
        <v>637606</v>
      </c>
      <c r="BB492" s="66"/>
      <c r="BC492" s="66">
        <v>515212026</v>
      </c>
      <c r="BD492" s="66"/>
      <c r="BE492" s="66">
        <f t="shared" si="425"/>
        <v>36674</v>
      </c>
      <c r="BF492" s="66"/>
      <c r="BG492" s="144">
        <f t="shared" si="426"/>
        <v>5.7518279313557276E-2</v>
      </c>
      <c r="BH492" s="66"/>
      <c r="BI492" s="170"/>
      <c r="BJ492" s="66"/>
      <c r="BK492" s="66">
        <f t="shared" si="427"/>
        <v>4731685</v>
      </c>
      <c r="BL492" s="66"/>
      <c r="BM492" s="144">
        <f t="shared" si="428"/>
        <v>3.810164877839501E-2</v>
      </c>
      <c r="BN492" s="65">
        <f t="shared" si="429"/>
        <v>1066691.5652173914</v>
      </c>
      <c r="BO492" s="66"/>
      <c r="BP492" s="66">
        <f t="shared" si="430"/>
        <v>33394786</v>
      </c>
      <c r="BQ492" s="66"/>
      <c r="BR492" s="435">
        <f t="shared" si="431"/>
        <v>6.4817559208138517E-2</v>
      </c>
      <c r="BS492" s="66"/>
      <c r="BT492" s="75"/>
      <c r="BU492" s="170"/>
      <c r="BV492" s="1"/>
      <c r="BW492" s="61">
        <f t="shared" si="407"/>
        <v>483</v>
      </c>
    </row>
    <row r="493" spans="2:75" x14ac:dyDescent="0.3">
      <c r="B493" s="158">
        <f t="shared" si="406"/>
        <v>44393</v>
      </c>
      <c r="C493" s="61"/>
      <c r="D493" s="17">
        <v>40529</v>
      </c>
      <c r="E493" s="16"/>
      <c r="F493" s="16"/>
      <c r="G493" s="16"/>
      <c r="H493" s="16">
        <f t="shared" si="408"/>
        <v>34342293</v>
      </c>
      <c r="I493" s="16"/>
      <c r="J493" s="436">
        <f t="shared" si="409"/>
        <v>1.1815427334874089E-3</v>
      </c>
      <c r="K493" s="16"/>
      <c r="L493" s="16"/>
      <c r="M493" s="16"/>
      <c r="N493" s="16">
        <f t="shared" si="410"/>
        <v>193577</v>
      </c>
      <c r="O493" s="16">
        <f t="shared" si="411"/>
        <v>70955.150826446275</v>
      </c>
      <c r="P493" s="41"/>
      <c r="Q493" s="17">
        <f t="shared" si="412"/>
        <v>193577</v>
      </c>
      <c r="R493" s="16"/>
      <c r="S493" s="60">
        <f t="shared" si="413"/>
        <v>1.0622476482682945</v>
      </c>
      <c r="T493" s="16"/>
      <c r="U493" s="41"/>
      <c r="V493" s="10">
        <f t="shared" si="356"/>
        <v>385</v>
      </c>
      <c r="W493" s="34">
        <v>293</v>
      </c>
      <c r="X493" s="33">
        <v>4256</v>
      </c>
      <c r="Y493" s="33"/>
      <c r="Z493" s="33">
        <f t="shared" si="414"/>
        <v>1345</v>
      </c>
      <c r="AA493" s="33">
        <f t="shared" si="415"/>
        <v>608762</v>
      </c>
      <c r="AB493" s="33"/>
      <c r="AC493" s="46">
        <f t="shared" si="416"/>
        <v>1.7726306161327084E-2</v>
      </c>
      <c r="AD493" s="33"/>
      <c r="AE493" s="33">
        <f t="shared" si="417"/>
        <v>1257.7727272727273</v>
      </c>
      <c r="AF493" s="50"/>
      <c r="AG493" s="33">
        <f t="shared" si="418"/>
        <v>1463</v>
      </c>
      <c r="AH493" s="33">
        <f t="shared" si="432"/>
        <v>1157897175.060914</v>
      </c>
      <c r="AI493" s="213">
        <f t="shared" si="419"/>
        <v>0.15469613259668508</v>
      </c>
      <c r="AJ493" s="50"/>
      <c r="AK493" s="111"/>
      <c r="AL493" s="23">
        <f t="shared" si="420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21"/>
        <v>5.6635707426438075E-4</v>
      </c>
      <c r="AS493" s="25"/>
      <c r="AT493" s="25"/>
      <c r="AU493" s="24"/>
      <c r="AV493" s="298">
        <f t="shared" si="422"/>
        <v>0.85487975424355034</v>
      </c>
      <c r="AW493" s="298"/>
      <c r="AX493" s="24">
        <f t="shared" si="423"/>
        <v>60658.121900826445</v>
      </c>
      <c r="AY493" s="308"/>
      <c r="AZ493" s="111"/>
      <c r="BA493" s="65">
        <f t="shared" si="424"/>
        <v>852776</v>
      </c>
      <c r="BB493" s="66"/>
      <c r="BC493" s="66">
        <v>516064802</v>
      </c>
      <c r="BD493" s="66"/>
      <c r="BE493" s="66">
        <f t="shared" si="425"/>
        <v>40529</v>
      </c>
      <c r="BF493" s="66"/>
      <c r="BG493" s="144">
        <f t="shared" si="426"/>
        <v>4.7525962269107012E-2</v>
      </c>
      <c r="BH493" s="66"/>
      <c r="BI493" s="170"/>
      <c r="BJ493" s="66"/>
      <c r="BK493" s="66">
        <f t="shared" si="427"/>
        <v>4636798</v>
      </c>
      <c r="BL493" s="66"/>
      <c r="BM493" s="144">
        <f t="shared" si="428"/>
        <v>4.1747990747062952E-2</v>
      </c>
      <c r="BN493" s="65">
        <f t="shared" si="429"/>
        <v>1066249.5909090908</v>
      </c>
      <c r="BO493" s="66"/>
      <c r="BP493" s="66">
        <f t="shared" si="430"/>
        <v>33435315</v>
      </c>
      <c r="BQ493" s="66"/>
      <c r="BR493" s="435">
        <f t="shared" si="431"/>
        <v>6.478898555069447E-2</v>
      </c>
      <c r="BS493" s="66"/>
      <c r="BT493" s="75"/>
      <c r="BU493" s="170"/>
      <c r="BV493" s="1"/>
      <c r="BW493" s="61">
        <f t="shared" si="407"/>
        <v>484</v>
      </c>
    </row>
    <row r="494" spans="2:75" x14ac:dyDescent="0.3">
      <c r="B494" s="158">
        <f t="shared" si="406"/>
        <v>44394</v>
      </c>
      <c r="C494" s="61"/>
      <c r="D494" s="17">
        <v>24081</v>
      </c>
      <c r="E494" s="16"/>
      <c r="F494" s="16"/>
      <c r="G494" s="16"/>
      <c r="H494" s="16">
        <f t="shared" si="408"/>
        <v>34366374</v>
      </c>
      <c r="I494" s="16"/>
      <c r="J494" s="436">
        <f t="shared" si="409"/>
        <v>7.0120536214631911E-4</v>
      </c>
      <c r="K494" s="16"/>
      <c r="L494" s="16"/>
      <c r="M494" s="16"/>
      <c r="N494" s="16">
        <f t="shared" si="410"/>
        <v>203123</v>
      </c>
      <c r="O494" s="16">
        <f t="shared" si="411"/>
        <v>70858.503092783503</v>
      </c>
      <c r="P494" s="41"/>
      <c r="Q494" s="17">
        <f t="shared" si="412"/>
        <v>203123</v>
      </c>
      <c r="R494" s="16"/>
      <c r="S494" s="60">
        <f t="shared" si="413"/>
        <v>1.0226539472636023</v>
      </c>
      <c r="T494" s="16"/>
      <c r="U494" s="41"/>
      <c r="V494" s="10">
        <f t="shared" si="356"/>
        <v>386</v>
      </c>
      <c r="W494" s="34">
        <v>113</v>
      </c>
      <c r="X494" s="33">
        <v>4256</v>
      </c>
      <c r="Y494" s="33"/>
      <c r="Z494" s="33">
        <f t="shared" si="414"/>
        <v>1431</v>
      </c>
      <c r="AA494" s="33">
        <f t="shared" si="415"/>
        <v>608875</v>
      </c>
      <c r="AB494" s="33"/>
      <c r="AC494" s="46">
        <f t="shared" si="416"/>
        <v>1.7717173187954016E-2</v>
      </c>
      <c r="AD494" s="33"/>
      <c r="AE494" s="33">
        <f t="shared" si="417"/>
        <v>1255.4123711340205</v>
      </c>
      <c r="AF494" s="50"/>
      <c r="AG494" s="33">
        <f t="shared" si="418"/>
        <v>1458</v>
      </c>
      <c r="AH494" s="33">
        <f t="shared" si="432"/>
        <v>1157883442.060914</v>
      </c>
      <c r="AI494" s="213">
        <f t="shared" si="419"/>
        <v>0.13110938712179984</v>
      </c>
      <c r="AJ494" s="50"/>
      <c r="AK494" s="111"/>
      <c r="AL494" s="23">
        <f t="shared" si="420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21"/>
        <v>3.6275656980248774E-4</v>
      </c>
      <c r="AS494" s="25"/>
      <c r="AT494" s="25"/>
      <c r="AU494" s="24"/>
      <c r="AV494" s="298">
        <f t="shared" si="422"/>
        <v>0.8545906239628307</v>
      </c>
      <c r="AW494" s="298"/>
      <c r="AX494" s="24">
        <f t="shared" si="423"/>
        <v>60555.01237113402</v>
      </c>
      <c r="AY494" s="308"/>
      <c r="AZ494" s="111"/>
      <c r="BA494" s="65">
        <f t="shared" si="424"/>
        <v>212860</v>
      </c>
      <c r="BB494" s="66"/>
      <c r="BC494" s="66">
        <v>516277662</v>
      </c>
      <c r="BD494" s="66"/>
      <c r="BE494" s="66">
        <f t="shared" si="425"/>
        <v>24081</v>
      </c>
      <c r="BF494" s="66"/>
      <c r="BG494" s="144">
        <f t="shared" si="426"/>
        <v>0.11313069623226533</v>
      </c>
      <c r="BH494" s="66"/>
      <c r="BI494" s="170"/>
      <c r="BJ494" s="66"/>
      <c r="BK494" s="66">
        <f t="shared" si="427"/>
        <v>4606997</v>
      </c>
      <c r="BL494" s="66"/>
      <c r="BM494" s="144">
        <f t="shared" si="428"/>
        <v>4.409010902329652E-2</v>
      </c>
      <c r="BN494" s="65">
        <f t="shared" si="429"/>
        <v>1064490.024742268</v>
      </c>
      <c r="BO494" s="66"/>
      <c r="BP494" s="66">
        <f t="shared" si="430"/>
        <v>33459396</v>
      </c>
      <c r="BQ494" s="66"/>
      <c r="BR494" s="435">
        <f t="shared" si="431"/>
        <v>6.480891671815156E-2</v>
      </c>
      <c r="BS494" s="66"/>
      <c r="BT494" s="75"/>
      <c r="BU494" s="170"/>
      <c r="BV494" s="1"/>
      <c r="BW494" s="61">
        <f t="shared" si="407"/>
        <v>485</v>
      </c>
    </row>
    <row r="495" spans="2:75" x14ac:dyDescent="0.3">
      <c r="B495" s="347">
        <f t="shared" si="406"/>
        <v>44395</v>
      </c>
      <c r="C495" s="61"/>
      <c r="D495" s="17">
        <v>22278</v>
      </c>
      <c r="E495" s="16"/>
      <c r="F495" s="16"/>
      <c r="G495" s="16"/>
      <c r="H495" s="16">
        <f t="shared" si="408"/>
        <v>34388652</v>
      </c>
      <c r="I495" s="16"/>
      <c r="J495" s="436">
        <f t="shared" si="409"/>
        <v>6.4824994338943064E-4</v>
      </c>
      <c r="K495" s="16"/>
      <c r="L495" s="16"/>
      <c r="M495" s="16"/>
      <c r="N495" s="16">
        <f t="shared" si="410"/>
        <v>218759</v>
      </c>
      <c r="O495" s="16">
        <f t="shared" si="411"/>
        <v>70758.543209876545</v>
      </c>
      <c r="P495" s="41"/>
      <c r="Q495" s="17">
        <f t="shared" si="412"/>
        <v>218759</v>
      </c>
      <c r="R495" s="16"/>
      <c r="S495" s="60">
        <f t="shared" si="413"/>
        <v>1.1591539425762705</v>
      </c>
      <c r="T495" s="16"/>
      <c r="U495" s="41"/>
      <c r="V495" s="10">
        <f t="shared" si="356"/>
        <v>387</v>
      </c>
      <c r="W495" s="34">
        <v>82</v>
      </c>
      <c r="X495" s="33">
        <v>4256</v>
      </c>
      <c r="Y495" s="33"/>
      <c r="Z495" s="33">
        <f t="shared" si="414"/>
        <v>1350</v>
      </c>
      <c r="AA495" s="33">
        <f t="shared" si="415"/>
        <v>608957</v>
      </c>
      <c r="AB495" s="33"/>
      <c r="AC495" s="46">
        <f t="shared" si="416"/>
        <v>1.7708079979407161E-2</v>
      </c>
      <c r="AD495" s="33"/>
      <c r="AE495" s="33">
        <f t="shared" si="417"/>
        <v>1252.9979423868313</v>
      </c>
      <c r="AF495" s="50"/>
      <c r="AG495" s="33">
        <f t="shared" si="418"/>
        <v>1513</v>
      </c>
      <c r="AH495" s="33">
        <f t="shared" si="432"/>
        <v>1157870053.060914</v>
      </c>
      <c r="AI495" s="213">
        <f t="shared" si="419"/>
        <v>0.19984139571768439</v>
      </c>
      <c r="AJ495" s="50"/>
      <c r="AK495" s="111"/>
      <c r="AL495" s="23">
        <f t="shared" si="420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21"/>
        <v>3.8652763248658519E-4</v>
      </c>
      <c r="AS495" s="25"/>
      <c r="AT495" s="25"/>
      <c r="AU495" s="24"/>
      <c r="AV495" s="298">
        <f t="shared" si="422"/>
        <v>0.85436710342702582</v>
      </c>
      <c r="AW495" s="298"/>
      <c r="AX495" s="24">
        <f t="shared" si="423"/>
        <v>60453.771604938273</v>
      </c>
      <c r="AY495" s="308"/>
      <c r="AZ495" s="111"/>
      <c r="BA495" s="65">
        <f t="shared" si="424"/>
        <v>1092874</v>
      </c>
      <c r="BB495" s="66"/>
      <c r="BC495" s="66">
        <v>517370536</v>
      </c>
      <c r="BD495" s="66"/>
      <c r="BE495" s="66">
        <f t="shared" si="425"/>
        <v>22278</v>
      </c>
      <c r="BF495" s="66"/>
      <c r="BG495" s="144">
        <f t="shared" si="426"/>
        <v>2.0384783607259392E-2</v>
      </c>
      <c r="BH495" s="66"/>
      <c r="BI495" s="170"/>
      <c r="BJ495" s="66"/>
      <c r="BK495" s="66">
        <f t="shared" si="427"/>
        <v>5565009</v>
      </c>
      <c r="BL495" s="66"/>
      <c r="BM495" s="144">
        <f t="shared" si="428"/>
        <v>3.9309729777615814E-2</v>
      </c>
      <c r="BN495" s="65">
        <f t="shared" si="429"/>
        <v>1064548.4279835392</v>
      </c>
      <c r="BO495" s="66"/>
      <c r="BP495" s="66">
        <f t="shared" si="430"/>
        <v>33481674</v>
      </c>
      <c r="BQ495" s="66"/>
      <c r="BR495" s="435">
        <f t="shared" si="431"/>
        <v>6.4715076855478296E-2</v>
      </c>
      <c r="BS495" s="66"/>
      <c r="BT495" s="75"/>
      <c r="BU495" s="170"/>
      <c r="BV495" s="1"/>
      <c r="BW495" s="61">
        <f t="shared" si="407"/>
        <v>486</v>
      </c>
    </row>
    <row r="496" spans="2:75" x14ac:dyDescent="0.3">
      <c r="B496" s="158">
        <f t="shared" si="406"/>
        <v>44396</v>
      </c>
      <c r="C496" s="61"/>
      <c r="D496" s="17">
        <v>32576</v>
      </c>
      <c r="E496" s="16"/>
      <c r="F496" s="16"/>
      <c r="G496" s="16"/>
      <c r="H496" s="16">
        <f t="shared" si="408"/>
        <v>34421228</v>
      </c>
      <c r="I496" s="16"/>
      <c r="J496" s="436">
        <f t="shared" si="409"/>
        <v>9.4728923948516502E-4</v>
      </c>
      <c r="K496" s="16"/>
      <c r="L496" s="16"/>
      <c r="M496" s="16"/>
      <c r="N496" s="16">
        <f t="shared" si="410"/>
        <v>231339</v>
      </c>
      <c r="O496" s="16">
        <f t="shared" si="411"/>
        <v>70680.139630390142</v>
      </c>
      <c r="P496" s="41"/>
      <c r="Q496" s="17">
        <f t="shared" si="412"/>
        <v>231339</v>
      </c>
      <c r="R496" s="16"/>
      <c r="S496" s="60">
        <f t="shared" si="413"/>
        <v>0.99119477367211506</v>
      </c>
      <c r="T496" s="16"/>
      <c r="U496" s="41"/>
      <c r="V496" s="10">
        <f t="shared" si="356"/>
        <v>388</v>
      </c>
      <c r="W496" s="34">
        <v>137</v>
      </c>
      <c r="X496" s="33">
        <v>4256</v>
      </c>
      <c r="Y496" s="33"/>
      <c r="Z496" s="33">
        <f t="shared" si="414"/>
        <v>1316</v>
      </c>
      <c r="AA496" s="33">
        <f t="shared" si="415"/>
        <v>609094</v>
      </c>
      <c r="AB496" s="33"/>
      <c r="AC496" s="46">
        <f t="shared" si="416"/>
        <v>1.7695301283266244E-2</v>
      </c>
      <c r="AD496" s="33"/>
      <c r="AE496" s="33">
        <f t="shared" si="417"/>
        <v>1250.7063655030802</v>
      </c>
      <c r="AF496" s="50"/>
      <c r="AG496" s="33">
        <f t="shared" si="418"/>
        <v>1487</v>
      </c>
      <c r="AH496" s="33">
        <f t="shared" si="432"/>
        <v>1157862271.060914</v>
      </c>
      <c r="AI496" s="213">
        <f t="shared" si="419"/>
        <v>7.1325648414985593E-2</v>
      </c>
      <c r="AJ496" s="50"/>
      <c r="AK496" s="111"/>
      <c r="AL496" s="23">
        <f t="shared" si="420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21"/>
        <v>1.0695176973133877E-3</v>
      </c>
      <c r="AS496" s="25"/>
      <c r="AT496" s="25"/>
      <c r="AU496" s="24"/>
      <c r="AV496" s="298">
        <f t="shared" si="422"/>
        <v>0.85447143257062186</v>
      </c>
      <c r="AW496" s="298"/>
      <c r="AX496" s="24">
        <f t="shared" si="423"/>
        <v>60394.160164271045</v>
      </c>
      <c r="AY496" s="308"/>
      <c r="AZ496" s="111"/>
      <c r="BA496" s="65">
        <f t="shared" si="424"/>
        <v>614626</v>
      </c>
      <c r="BB496" s="66"/>
      <c r="BC496" s="66">
        <v>517985162</v>
      </c>
      <c r="BD496" s="66"/>
      <c r="BE496" s="66">
        <f t="shared" si="425"/>
        <v>32576</v>
      </c>
      <c r="BF496" s="66"/>
      <c r="BG496" s="144">
        <f t="shared" si="426"/>
        <v>5.3001337398678218E-2</v>
      </c>
      <c r="BH496" s="66"/>
      <c r="BI496" s="170"/>
      <c r="BJ496" s="66"/>
      <c r="BK496" s="66">
        <f t="shared" si="427"/>
        <v>4821272</v>
      </c>
      <c r="BL496" s="66"/>
      <c r="BM496" s="144">
        <f t="shared" si="428"/>
        <v>4.7982980425082838E-2</v>
      </c>
      <c r="BN496" s="65">
        <f t="shared" si="429"/>
        <v>1063624.5626283367</v>
      </c>
      <c r="BO496" s="66"/>
      <c r="BP496" s="66">
        <f t="shared" si="430"/>
        <v>33514250</v>
      </c>
      <c r="BQ496" s="66"/>
      <c r="BR496" s="435">
        <f t="shared" si="431"/>
        <v>6.4701177675819219E-2</v>
      </c>
      <c r="BS496" s="66"/>
      <c r="BT496" s="75"/>
      <c r="BU496" s="170"/>
      <c r="BV496" s="1"/>
      <c r="BW496" s="61">
        <f t="shared" si="407"/>
        <v>487</v>
      </c>
    </row>
    <row r="497" spans="2:75" x14ac:dyDescent="0.3">
      <c r="B497" s="158">
        <f t="shared" si="406"/>
        <v>44397</v>
      </c>
      <c r="C497" s="61"/>
      <c r="D497" s="17">
        <v>44232</v>
      </c>
      <c r="E497" s="16"/>
      <c r="F497" s="16"/>
      <c r="G497" s="16"/>
      <c r="H497" s="16">
        <f t="shared" si="408"/>
        <v>34465460</v>
      </c>
      <c r="I497" s="16"/>
      <c r="J497" s="436">
        <f t="shared" si="409"/>
        <v>1.2850209760093393E-3</v>
      </c>
      <c r="K497" s="16"/>
      <c r="L497" s="16"/>
      <c r="M497" s="16"/>
      <c r="N497" s="16">
        <f t="shared" si="410"/>
        <v>235817</v>
      </c>
      <c r="O497" s="16">
        <f t="shared" si="411"/>
        <v>70625.942622950824</v>
      </c>
      <c r="P497" s="41"/>
      <c r="Q497" s="17">
        <f t="shared" si="412"/>
        <v>235817</v>
      </c>
      <c r="R497" s="16"/>
      <c r="S497" s="60">
        <f t="shared" si="413"/>
        <v>0.63395300818303391</v>
      </c>
      <c r="T497" s="16"/>
      <c r="U497" s="41"/>
      <c r="V497" s="10">
        <f t="shared" si="356"/>
        <v>389</v>
      </c>
      <c r="W497" s="34">
        <v>256</v>
      </c>
      <c r="X497" s="33">
        <v>4256</v>
      </c>
      <c r="Y497" s="33"/>
      <c r="Z497" s="33">
        <f t="shared" si="414"/>
        <v>1225</v>
      </c>
      <c r="AA497" s="33">
        <f t="shared" si="415"/>
        <v>609350</v>
      </c>
      <c r="AB497" s="33"/>
      <c r="AC497" s="46">
        <f t="shared" si="416"/>
        <v>1.7680019358511392E-2</v>
      </c>
      <c r="AD497" s="33"/>
      <c r="AE497" s="33">
        <f t="shared" si="417"/>
        <v>1248.6680327868853</v>
      </c>
      <c r="AF497" s="50"/>
      <c r="AG497" s="33">
        <f t="shared" si="418"/>
        <v>1572</v>
      </c>
      <c r="AH497" s="33">
        <f t="shared" si="432"/>
        <v>1157857849.060914</v>
      </c>
      <c r="AI497" s="213">
        <f t="shared" si="419"/>
        <v>0.15843773028739869</v>
      </c>
      <c r="AJ497" s="50"/>
      <c r="AK497" s="111"/>
      <c r="AL497" s="23">
        <f t="shared" si="420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21"/>
        <v>7.8930486636114917E-4</v>
      </c>
      <c r="AS497" s="25"/>
      <c r="AT497" s="25"/>
      <c r="AU497" s="24"/>
      <c r="AV497" s="298">
        <f t="shared" si="422"/>
        <v>0.85404840092080592</v>
      </c>
      <c r="AW497" s="298"/>
      <c r="AX497" s="24">
        <f t="shared" si="423"/>
        <v>60317.973360655735</v>
      </c>
      <c r="AY497" s="308"/>
      <c r="AZ497" s="111"/>
      <c r="BA497" s="65">
        <f t="shared" si="424"/>
        <v>673069</v>
      </c>
      <c r="BB497" s="66"/>
      <c r="BC497" s="66">
        <v>518658231</v>
      </c>
      <c r="BD497" s="66"/>
      <c r="BE497" s="66">
        <f t="shared" si="425"/>
        <v>44232</v>
      </c>
      <c r="BF497" s="66"/>
      <c r="BG497" s="144">
        <f t="shared" si="426"/>
        <v>6.571688786736575E-2</v>
      </c>
      <c r="BH497" s="66"/>
      <c r="BI497" s="170"/>
      <c r="BJ497" s="66"/>
      <c r="BK497" s="66">
        <f t="shared" si="427"/>
        <v>4958231</v>
      </c>
      <c r="BL497" s="66"/>
      <c r="BM497" s="144">
        <f t="shared" si="428"/>
        <v>4.7560712681599546E-2</v>
      </c>
      <c r="BN497" s="65">
        <f t="shared" si="429"/>
        <v>1062824.2438524591</v>
      </c>
      <c r="BO497" s="66"/>
      <c r="BP497" s="66">
        <f t="shared" si="430"/>
        <v>33558482</v>
      </c>
      <c r="BQ497" s="66"/>
      <c r="BR497" s="435">
        <f t="shared" si="431"/>
        <v>6.4702495775103203E-2</v>
      </c>
      <c r="BS497" s="66"/>
      <c r="BT497" s="75"/>
      <c r="BU497" s="170"/>
      <c r="BV497" s="1"/>
      <c r="BW497" s="61">
        <f t="shared" si="407"/>
        <v>488</v>
      </c>
    </row>
    <row r="498" spans="2:75" x14ac:dyDescent="0.3">
      <c r="B498" s="158">
        <f t="shared" si="406"/>
        <v>44398</v>
      </c>
      <c r="C498" s="61"/>
      <c r="D498" s="17">
        <v>56525</v>
      </c>
      <c r="E498" s="16"/>
      <c r="F498" s="16"/>
      <c r="G498" s="16"/>
      <c r="H498" s="16">
        <f t="shared" si="408"/>
        <v>34521985</v>
      </c>
      <c r="I498" s="16"/>
      <c r="J498" s="436">
        <f t="shared" si="409"/>
        <v>1.6400477463524351E-3</v>
      </c>
      <c r="K498" s="16"/>
      <c r="L498" s="16"/>
      <c r="M498" s="16"/>
      <c r="N498" s="16">
        <f t="shared" si="410"/>
        <v>256895</v>
      </c>
      <c r="O498" s="16">
        <f t="shared" si="411"/>
        <v>70597.106339468301</v>
      </c>
      <c r="P498" s="41"/>
      <c r="Q498" s="17">
        <f t="shared" si="412"/>
        <v>256895</v>
      </c>
      <c r="R498" s="16"/>
      <c r="S498" s="60">
        <f t="shared" si="413"/>
        <v>0.57644914640582234</v>
      </c>
      <c r="T498" s="16"/>
      <c r="U498" s="41"/>
      <c r="V498" s="10">
        <f t="shared" si="356"/>
        <v>390</v>
      </c>
      <c r="W498" s="34">
        <v>416</v>
      </c>
      <c r="X498" s="33">
        <v>4256</v>
      </c>
      <c r="Y498" s="33"/>
      <c r="Z498" s="33">
        <f t="shared" si="414"/>
        <v>1297</v>
      </c>
      <c r="AA498" s="33">
        <f t="shared" si="415"/>
        <v>609766</v>
      </c>
      <c r="AB498" s="33"/>
      <c r="AC498" s="46">
        <f t="shared" si="416"/>
        <v>1.7663121051700821E-2</v>
      </c>
      <c r="AD498" s="33"/>
      <c r="AE498" s="33">
        <f t="shared" si="417"/>
        <v>1246.9652351738241</v>
      </c>
      <c r="AF498" s="50"/>
      <c r="AG498" s="33">
        <f t="shared" si="418"/>
        <v>1641</v>
      </c>
      <c r="AH498" s="33">
        <f t="shared" si="432"/>
        <v>1157848094.060914</v>
      </c>
      <c r="AI498" s="213">
        <f t="shared" si="419"/>
        <v>0.12938747419132829</v>
      </c>
      <c r="AJ498" s="50"/>
      <c r="AK498" s="111"/>
      <c r="AL498" s="23">
        <f t="shared" si="420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21"/>
        <v>7.8925989592518425E-4</v>
      </c>
      <c r="AS498" s="25"/>
      <c r="AT498" s="25"/>
      <c r="AU498" s="24"/>
      <c r="AV498" s="298">
        <f t="shared" si="422"/>
        <v>0.85332297664806933</v>
      </c>
      <c r="AW498" s="298"/>
      <c r="AX498" s="24">
        <f t="shared" si="423"/>
        <v>60242.132924335376</v>
      </c>
      <c r="AY498" s="308"/>
      <c r="AZ498" s="111"/>
      <c r="BA498" s="65">
        <f t="shared" si="424"/>
        <v>822020</v>
      </c>
      <c r="BB498" s="66"/>
      <c r="BC498" s="66">
        <v>519480251</v>
      </c>
      <c r="BD498" s="66"/>
      <c r="BE498" s="66">
        <f t="shared" si="425"/>
        <v>56525</v>
      </c>
      <c r="BF498" s="66"/>
      <c r="BG498" s="144">
        <f t="shared" si="426"/>
        <v>6.8763533733972412E-2</v>
      </c>
      <c r="BH498" s="66"/>
      <c r="BI498" s="170"/>
      <c r="BJ498" s="66"/>
      <c r="BK498" s="66">
        <f t="shared" si="427"/>
        <v>4905831</v>
      </c>
      <c r="BL498" s="66"/>
      <c r="BM498" s="144">
        <f t="shared" si="428"/>
        <v>5.2365236389105126E-2</v>
      </c>
      <c r="BN498" s="65">
        <f t="shared" si="429"/>
        <v>1062331.8016359918</v>
      </c>
      <c r="BO498" s="66"/>
      <c r="BP498" s="66">
        <f t="shared" si="430"/>
        <v>33615007</v>
      </c>
      <c r="BQ498" s="66"/>
      <c r="BR498" s="435">
        <f t="shared" si="431"/>
        <v>6.4708921918188569E-2</v>
      </c>
      <c r="BS498" s="66"/>
      <c r="BT498" s="75"/>
      <c r="BU498" s="170"/>
      <c r="BV498" s="1"/>
      <c r="BW498" s="61">
        <f t="shared" si="407"/>
        <v>489</v>
      </c>
    </row>
    <row r="499" spans="2:75" x14ac:dyDescent="0.3">
      <c r="B499" s="158">
        <f t="shared" si="406"/>
        <v>44399</v>
      </c>
      <c r="C499" s="61"/>
      <c r="D499" s="17">
        <v>61651</v>
      </c>
      <c r="E499" s="16"/>
      <c r="F499" s="16"/>
      <c r="G499" s="16"/>
      <c r="H499" s="16">
        <f t="shared" si="408"/>
        <v>34583636</v>
      </c>
      <c r="I499" s="16"/>
      <c r="J499" s="436">
        <f t="shared" si="409"/>
        <v>1.7858474824086737E-3</v>
      </c>
      <c r="K499" s="16"/>
      <c r="L499" s="16"/>
      <c r="M499" s="16"/>
      <c r="N499" s="16">
        <f t="shared" si="410"/>
        <v>281872</v>
      </c>
      <c r="O499" s="16">
        <f t="shared" si="411"/>
        <v>70578.848979591843</v>
      </c>
      <c r="P499" s="41"/>
      <c r="Q499" s="17">
        <f t="shared" si="412"/>
        <v>281872</v>
      </c>
      <c r="R499" s="16"/>
      <c r="S499" s="60">
        <f t="shared" si="413"/>
        <v>0.56348004548353992</v>
      </c>
      <c r="T499" s="16"/>
      <c r="U499" s="41"/>
      <c r="V499" s="10">
        <f t="shared" si="356"/>
        <v>391</v>
      </c>
      <c r="W499" s="34">
        <v>365</v>
      </c>
      <c r="X499" s="33">
        <v>4256</v>
      </c>
      <c r="Y499" s="33"/>
      <c r="Z499" s="33">
        <f t="shared" si="414"/>
        <v>1369</v>
      </c>
      <c r="AA499" s="33">
        <f t="shared" si="415"/>
        <v>610131</v>
      </c>
      <c r="AB499" s="33"/>
      <c r="AC499" s="46">
        <f t="shared" si="416"/>
        <v>1.7642187767648261E-2</v>
      </c>
      <c r="AD499" s="33"/>
      <c r="AE499" s="33">
        <f t="shared" si="417"/>
        <v>1245.165306122449</v>
      </c>
      <c r="AF499" s="50"/>
      <c r="AG499" s="33">
        <f t="shared" si="418"/>
        <v>1662</v>
      </c>
      <c r="AH499" s="33">
        <f t="shared" si="432"/>
        <v>1157835220.060914</v>
      </c>
      <c r="AI499" s="213">
        <f t="shared" si="419"/>
        <v>8.203125E-2</v>
      </c>
      <c r="AJ499" s="50"/>
      <c r="AK499" s="111"/>
      <c r="AL499" s="23">
        <f t="shared" si="420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21"/>
        <v>6.7111581031734817E-4</v>
      </c>
      <c r="AS499" s="25"/>
      <c r="AT499" s="25"/>
      <c r="AU499" s="24"/>
      <c r="AV499" s="298">
        <f t="shared" si="422"/>
        <v>0.85237344621600808</v>
      </c>
      <c r="AW499" s="298"/>
      <c r="AX499" s="24">
        <f t="shared" si="423"/>
        <v>60159.53673469388</v>
      </c>
      <c r="AY499" s="308"/>
      <c r="AZ499" s="111"/>
      <c r="BA499" s="65">
        <f t="shared" si="424"/>
        <v>931237</v>
      </c>
      <c r="BB499" s="66"/>
      <c r="BC499" s="66">
        <v>520411488</v>
      </c>
      <c r="BD499" s="66"/>
      <c r="BE499" s="66">
        <f t="shared" si="425"/>
        <v>61651</v>
      </c>
      <c r="BF499" s="66"/>
      <c r="BG499" s="144">
        <f t="shared" si="426"/>
        <v>6.6203340288240264E-2</v>
      </c>
      <c r="BH499" s="66"/>
      <c r="BI499" s="170"/>
      <c r="BJ499" s="66"/>
      <c r="BK499" s="66">
        <f t="shared" si="427"/>
        <v>5199462</v>
      </c>
      <c r="BL499" s="66"/>
      <c r="BM499" s="144">
        <f t="shared" si="428"/>
        <v>5.4211762678523276E-2</v>
      </c>
      <c r="BN499" s="65">
        <f t="shared" si="429"/>
        <v>1062064.2612244899</v>
      </c>
      <c r="BO499" s="66"/>
      <c r="BP499" s="66">
        <f t="shared" si="430"/>
        <v>33676658</v>
      </c>
      <c r="BQ499" s="66"/>
      <c r="BR499" s="435">
        <f t="shared" si="431"/>
        <v>6.4711596066841626E-2</v>
      </c>
      <c r="BS499" s="66"/>
      <c r="BT499" s="75"/>
      <c r="BU499" s="170"/>
      <c r="BV499" s="1"/>
      <c r="BW499" s="61">
        <f t="shared" si="407"/>
        <v>490</v>
      </c>
    </row>
    <row r="500" spans="2:75" x14ac:dyDescent="0.3">
      <c r="B500" s="158">
        <f t="shared" si="406"/>
        <v>44400</v>
      </c>
      <c r="C500" s="61"/>
      <c r="D500" s="17">
        <v>67485</v>
      </c>
      <c r="E500" s="16"/>
      <c r="F500" s="16"/>
      <c r="G500" s="16"/>
      <c r="H500" s="16">
        <f t="shared" si="408"/>
        <v>34651121</v>
      </c>
      <c r="I500" s="16"/>
      <c r="J500" s="436">
        <f t="shared" si="409"/>
        <v>1.9513564160807152E-3</v>
      </c>
      <c r="K500" s="16"/>
      <c r="L500" s="16"/>
      <c r="M500" s="16"/>
      <c r="N500" s="16">
        <f t="shared" si="410"/>
        <v>308828</v>
      </c>
      <c r="O500" s="16">
        <f t="shared" si="411"/>
        <v>70572.547861507133</v>
      </c>
      <c r="P500" s="41"/>
      <c r="Q500" s="17">
        <f t="shared" si="412"/>
        <v>308828</v>
      </c>
      <c r="R500" s="16"/>
      <c r="S500" s="60">
        <f t="shared" si="413"/>
        <v>0.5953754836576659</v>
      </c>
      <c r="T500" s="16"/>
      <c r="U500" s="41"/>
      <c r="V500" s="10">
        <f t="shared" si="356"/>
        <v>392</v>
      </c>
      <c r="W500" s="34">
        <v>428</v>
      </c>
      <c r="X500" s="33">
        <v>4256</v>
      </c>
      <c r="Y500" s="33"/>
      <c r="Z500" s="33">
        <f t="shared" si="414"/>
        <v>1684</v>
      </c>
      <c r="AA500" s="33">
        <f t="shared" si="415"/>
        <v>610559</v>
      </c>
      <c r="AB500" s="33"/>
      <c r="AC500" s="46">
        <f t="shared" si="416"/>
        <v>1.7620180311049678E-2</v>
      </c>
      <c r="AD500" s="33"/>
      <c r="AE500" s="33">
        <f t="shared" si="417"/>
        <v>1243.5010183299389</v>
      </c>
      <c r="AF500" s="50"/>
      <c r="AG500" s="33">
        <f t="shared" si="418"/>
        <v>1797</v>
      </c>
      <c r="AH500" s="33">
        <f t="shared" si="432"/>
        <v>1157821855.060914</v>
      </c>
      <c r="AI500" s="213">
        <f t="shared" si="419"/>
        <v>0.22829801777170197</v>
      </c>
      <c r="AJ500" s="50"/>
      <c r="AK500" s="111"/>
      <c r="AL500" s="23">
        <f t="shared" si="420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21"/>
        <v>6.6835892441502399E-4</v>
      </c>
      <c r="AS500" s="25"/>
      <c r="AT500" s="25"/>
      <c r="AU500" s="24"/>
      <c r="AV500" s="298">
        <f t="shared" si="422"/>
        <v>0.85128198305619029</v>
      </c>
      <c r="AW500" s="298"/>
      <c r="AX500" s="24">
        <f t="shared" si="423"/>
        <v>60077.138492871687</v>
      </c>
      <c r="AY500" s="308"/>
      <c r="AZ500" s="111"/>
      <c r="BA500" s="65">
        <f t="shared" si="424"/>
        <v>930368</v>
      </c>
      <c r="BB500" s="66"/>
      <c r="BC500" s="66">
        <v>521341856</v>
      </c>
      <c r="BD500" s="66"/>
      <c r="BE500" s="66">
        <f t="shared" si="425"/>
        <v>67485</v>
      </c>
      <c r="BF500" s="66"/>
      <c r="BG500" s="144">
        <f t="shared" si="426"/>
        <v>7.2535813785512826E-2</v>
      </c>
      <c r="BH500" s="66"/>
      <c r="BI500" s="170"/>
      <c r="BJ500" s="66"/>
      <c r="BK500" s="66">
        <f t="shared" si="427"/>
        <v>5277054</v>
      </c>
      <c r="BL500" s="66"/>
      <c r="BM500" s="144">
        <f t="shared" si="428"/>
        <v>5.8522804579979666E-2</v>
      </c>
      <c r="BN500" s="65">
        <f t="shared" si="429"/>
        <v>1061796.0407331975</v>
      </c>
      <c r="BO500" s="66"/>
      <c r="BP500" s="66">
        <f t="shared" si="430"/>
        <v>33744143</v>
      </c>
      <c r="BQ500" s="66"/>
      <c r="BR500" s="435">
        <f t="shared" si="431"/>
        <v>6.4725558885492598E-2</v>
      </c>
      <c r="BS500" s="66"/>
      <c r="BT500" s="75"/>
      <c r="BU500" s="170"/>
      <c r="BV500" s="1"/>
      <c r="BW500" s="61">
        <f t="shared" si="407"/>
        <v>491</v>
      </c>
    </row>
    <row r="501" spans="2:75" x14ac:dyDescent="0.3">
      <c r="B501" s="158">
        <f t="shared" si="406"/>
        <v>44401</v>
      </c>
      <c r="C501" s="61"/>
      <c r="D501" s="17">
        <v>36779</v>
      </c>
      <c r="E501" s="16"/>
      <c r="F501" s="16"/>
      <c r="G501" s="16"/>
      <c r="H501" s="16">
        <f t="shared" si="408"/>
        <v>34687900</v>
      </c>
      <c r="I501" s="16"/>
      <c r="J501" s="436">
        <f t="shared" si="409"/>
        <v>1.061408662651924E-3</v>
      </c>
      <c r="K501" s="16"/>
      <c r="L501" s="16"/>
      <c r="M501" s="16"/>
      <c r="N501" s="16">
        <f t="shared" si="410"/>
        <v>321526</v>
      </c>
      <c r="O501" s="16">
        <f t="shared" si="411"/>
        <v>70503.861788617884</v>
      </c>
      <c r="P501" s="41"/>
      <c r="Q501" s="17">
        <f t="shared" si="412"/>
        <v>321526</v>
      </c>
      <c r="R501" s="16"/>
      <c r="S501" s="60">
        <f t="shared" si="413"/>
        <v>0.58291281637234582</v>
      </c>
      <c r="T501" s="16"/>
      <c r="U501" s="41"/>
      <c r="V501" s="10">
        <f t="shared" si="356"/>
        <v>393</v>
      </c>
      <c r="W501" s="34">
        <v>151</v>
      </c>
      <c r="X501" s="33">
        <v>4256</v>
      </c>
      <c r="Y501" s="33"/>
      <c r="Z501" s="33">
        <f t="shared" si="414"/>
        <v>1753</v>
      </c>
      <c r="AA501" s="33">
        <f t="shared" si="415"/>
        <v>610710</v>
      </c>
      <c r="AB501" s="33"/>
      <c r="AC501" s="46">
        <f t="shared" si="416"/>
        <v>1.7605851031627744E-2</v>
      </c>
      <c r="AD501" s="33"/>
      <c r="AE501" s="33">
        <f t="shared" si="417"/>
        <v>1241.280487804878</v>
      </c>
      <c r="AF501" s="50"/>
      <c r="AG501" s="33">
        <f t="shared" si="418"/>
        <v>1835</v>
      </c>
      <c r="AH501" s="33">
        <f t="shared" si="432"/>
        <v>1157806395.060914</v>
      </c>
      <c r="AI501" s="213">
        <f t="shared" si="419"/>
        <v>0.25857338820301784</v>
      </c>
      <c r="AJ501" s="50"/>
      <c r="AK501" s="111"/>
      <c r="AL501" s="23">
        <f t="shared" si="420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21"/>
        <v>3.1351410906717855E-4</v>
      </c>
      <c r="AS501" s="25"/>
      <c r="AT501" s="25"/>
      <c r="AU501" s="24"/>
      <c r="AV501" s="298">
        <f t="shared" si="422"/>
        <v>0.85064598894715449</v>
      </c>
      <c r="AW501" s="298"/>
      <c r="AX501" s="24">
        <f t="shared" si="423"/>
        <v>59973.827235772354</v>
      </c>
      <c r="AY501" s="308"/>
      <c r="AZ501" s="111"/>
      <c r="BA501" s="65">
        <f t="shared" si="424"/>
        <v>393453</v>
      </c>
      <c r="BB501" s="66"/>
      <c r="BC501" s="66">
        <v>521735309</v>
      </c>
      <c r="BD501" s="66"/>
      <c r="BE501" s="66">
        <f t="shared" si="425"/>
        <v>36779</v>
      </c>
      <c r="BF501" s="66"/>
      <c r="BG501" s="144">
        <f t="shared" si="426"/>
        <v>9.3477492864459027E-2</v>
      </c>
      <c r="BH501" s="66"/>
      <c r="BI501" s="170"/>
      <c r="BJ501" s="66"/>
      <c r="BK501" s="66">
        <f t="shared" si="427"/>
        <v>5457647</v>
      </c>
      <c r="BL501" s="66"/>
      <c r="BM501" s="144">
        <f t="shared" si="428"/>
        <v>5.8912934456918892E-2</v>
      </c>
      <c r="BN501" s="65">
        <f t="shared" si="429"/>
        <v>1060437.6199186991</v>
      </c>
      <c r="BO501" s="66"/>
      <c r="BP501" s="66">
        <f t="shared" si="430"/>
        <v>33780922</v>
      </c>
      <c r="BQ501" s="66"/>
      <c r="BR501" s="435">
        <f t="shared" si="431"/>
        <v>6.4747241402440717E-2</v>
      </c>
      <c r="BS501" s="66"/>
      <c r="BT501" s="75"/>
      <c r="BU501" s="170"/>
      <c r="BV501" s="1"/>
      <c r="BW501" s="61">
        <f t="shared" si="407"/>
        <v>492</v>
      </c>
    </row>
    <row r="502" spans="2:75" x14ac:dyDescent="0.3">
      <c r="B502" s="347">
        <f t="shared" si="406"/>
        <v>44402</v>
      </c>
      <c r="C502" s="61"/>
      <c r="D502" s="17">
        <v>13818</v>
      </c>
      <c r="E502" s="16"/>
      <c r="F502" s="16"/>
      <c r="G502" s="16"/>
      <c r="H502" s="16">
        <f t="shared" si="408"/>
        <v>34701718</v>
      </c>
      <c r="I502" s="16"/>
      <c r="J502" s="436">
        <f t="shared" si="409"/>
        <v>3.9835216314622676E-4</v>
      </c>
      <c r="K502" s="16"/>
      <c r="L502" s="16"/>
      <c r="M502" s="16"/>
      <c r="N502" s="16">
        <f t="shared" si="410"/>
        <v>313066</v>
      </c>
      <c r="O502" s="16">
        <f t="shared" si="411"/>
        <v>70388.880324543614</v>
      </c>
      <c r="P502" s="41"/>
      <c r="Q502" s="17">
        <f t="shared" si="412"/>
        <v>313066</v>
      </c>
      <c r="R502" s="16"/>
      <c r="S502" s="60">
        <f t="shared" si="413"/>
        <v>0.43109997760092156</v>
      </c>
      <c r="T502" s="16"/>
      <c r="U502" s="41"/>
      <c r="V502" s="10">
        <f t="shared" si="356"/>
        <v>394</v>
      </c>
      <c r="W502" s="34">
        <v>49</v>
      </c>
      <c r="X502" s="33">
        <v>4256</v>
      </c>
      <c r="Y502" s="33"/>
      <c r="Z502" s="33">
        <f t="shared" si="414"/>
        <v>1665</v>
      </c>
      <c r="AA502" s="33">
        <f t="shared" si="415"/>
        <v>610759</v>
      </c>
      <c r="AB502" s="33"/>
      <c r="AC502" s="46">
        <f t="shared" si="416"/>
        <v>1.7600252529283995E-2</v>
      </c>
      <c r="AD502" s="33"/>
      <c r="AE502" s="33">
        <f t="shared" si="417"/>
        <v>1238.8620689655172</v>
      </c>
      <c r="AF502" s="50"/>
      <c r="AG502" s="33">
        <f t="shared" si="418"/>
        <v>1802</v>
      </c>
      <c r="AH502" s="33">
        <f t="shared" si="432"/>
        <v>1157790858.060914</v>
      </c>
      <c r="AI502" s="213">
        <f t="shared" si="419"/>
        <v>0.19101123595505617</v>
      </c>
      <c r="AJ502" s="50"/>
      <c r="AK502" s="111"/>
      <c r="AL502" s="23">
        <f t="shared" si="420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21"/>
        <v>1.6219812416141011E-4</v>
      </c>
      <c r="AS502" s="25"/>
      <c r="AT502" s="25"/>
      <c r="AU502" s="24"/>
      <c r="AV502" s="298">
        <f t="shared" si="422"/>
        <v>0.85044518545162517</v>
      </c>
      <c r="AW502" s="298"/>
      <c r="AX502" s="24">
        <f t="shared" si="423"/>
        <v>59861.884381338743</v>
      </c>
      <c r="AY502" s="308"/>
      <c r="AZ502" s="111"/>
      <c r="BA502" s="65">
        <f t="shared" si="424"/>
        <v>1873647</v>
      </c>
      <c r="BB502" s="66"/>
      <c r="BC502" s="66">
        <v>523608956</v>
      </c>
      <c r="BD502" s="66"/>
      <c r="BE502" s="66">
        <f t="shared" si="425"/>
        <v>13818</v>
      </c>
      <c r="BF502" s="66"/>
      <c r="BG502" s="144">
        <f t="shared" si="426"/>
        <v>7.3749217435301311E-3</v>
      </c>
      <c r="BH502" s="66"/>
      <c r="BI502" s="170"/>
      <c r="BJ502" s="66"/>
      <c r="BK502" s="66">
        <f t="shared" si="427"/>
        <v>6238420</v>
      </c>
      <c r="BL502" s="66"/>
      <c r="BM502" s="144">
        <f t="shared" si="428"/>
        <v>5.0183540063028782E-2</v>
      </c>
      <c r="BN502" s="65">
        <f t="shared" si="429"/>
        <v>1062087.1318458419</v>
      </c>
      <c r="BO502" s="66"/>
      <c r="BP502" s="66">
        <f t="shared" si="430"/>
        <v>33794740</v>
      </c>
      <c r="BQ502" s="66"/>
      <c r="BR502" s="435">
        <f t="shared" si="431"/>
        <v>6.4541944160328685E-2</v>
      </c>
      <c r="BS502" s="66"/>
      <c r="BT502" s="75"/>
      <c r="BU502" s="170"/>
      <c r="BV502" s="1"/>
      <c r="BW502" s="61">
        <f t="shared" si="407"/>
        <v>493</v>
      </c>
    </row>
    <row r="503" spans="2:75" x14ac:dyDescent="0.3">
      <c r="B503" s="158">
        <f t="shared" si="406"/>
        <v>44403</v>
      </c>
      <c r="C503" s="61"/>
      <c r="D503" s="17">
        <v>35816</v>
      </c>
      <c r="E503" s="16"/>
      <c r="F503" s="16"/>
      <c r="G503" s="16"/>
      <c r="H503" s="16">
        <f t="shared" si="408"/>
        <v>34737534</v>
      </c>
      <c r="I503" s="16"/>
      <c r="J503" s="436">
        <f t="shared" si="409"/>
        <v>1.0321102834159393E-3</v>
      </c>
      <c r="K503" s="16"/>
      <c r="L503" s="16"/>
      <c r="M503" s="16"/>
      <c r="N503" s="16">
        <f t="shared" si="410"/>
        <v>316306</v>
      </c>
      <c r="O503" s="16">
        <f t="shared" si="411"/>
        <v>70318.894736842107</v>
      </c>
      <c r="P503" s="41"/>
      <c r="Q503" s="17">
        <f t="shared" si="412"/>
        <v>316306</v>
      </c>
      <c r="R503" s="16"/>
      <c r="S503" s="60">
        <f t="shared" si="413"/>
        <v>0.36728351034628837</v>
      </c>
      <c r="T503" s="16"/>
      <c r="U503" s="41"/>
      <c r="V503" s="10">
        <f t="shared" si="356"/>
        <v>395</v>
      </c>
      <c r="W503" s="34">
        <v>132</v>
      </c>
      <c r="X503" s="33">
        <v>4256</v>
      </c>
      <c r="Y503" s="33"/>
      <c r="Z503" s="33">
        <f t="shared" si="414"/>
        <v>1541</v>
      </c>
      <c r="AA503" s="33">
        <f t="shared" si="415"/>
        <v>610891</v>
      </c>
      <c r="AB503" s="33"/>
      <c r="AC503" s="46">
        <f t="shared" si="416"/>
        <v>1.7585905781337272E-2</v>
      </c>
      <c r="AD503" s="33"/>
      <c r="AE503" s="33">
        <f t="shared" si="417"/>
        <v>1236.6214574898786</v>
      </c>
      <c r="AF503" s="50"/>
      <c r="AG503" s="33">
        <f t="shared" si="418"/>
        <v>1797</v>
      </c>
      <c r="AH503" s="33">
        <f t="shared" si="432"/>
        <v>1157784272.060914</v>
      </c>
      <c r="AI503" s="213">
        <f t="shared" si="419"/>
        <v>0.20847343644922664</v>
      </c>
      <c r="AJ503" s="50"/>
      <c r="AK503" s="111"/>
      <c r="AL503" s="23">
        <f t="shared" si="420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21"/>
        <v>1.2387880431591193E-3</v>
      </c>
      <c r="AS503" s="25"/>
      <c r="AT503" s="25"/>
      <c r="AU503" s="24"/>
      <c r="AV503" s="298">
        <f t="shared" si="422"/>
        <v>0.85062077233231348</v>
      </c>
      <c r="AW503" s="298"/>
      <c r="AX503" s="24">
        <f t="shared" si="423"/>
        <v>59814.712550607284</v>
      </c>
      <c r="AY503" s="308"/>
      <c r="AZ503" s="111"/>
      <c r="BA503" s="65">
        <f t="shared" si="424"/>
        <v>2374930</v>
      </c>
      <c r="BB503" s="66"/>
      <c r="BC503" s="66">
        <v>525983886</v>
      </c>
      <c r="BD503" s="66"/>
      <c r="BE503" s="66">
        <f t="shared" si="425"/>
        <v>35816</v>
      </c>
      <c r="BF503" s="66"/>
      <c r="BG503" s="144">
        <f t="shared" si="426"/>
        <v>1.5080865541300165E-2</v>
      </c>
      <c r="BH503" s="66"/>
      <c r="BI503" s="170"/>
      <c r="BJ503" s="66"/>
      <c r="BK503" s="66">
        <f t="shared" si="427"/>
        <v>7998724</v>
      </c>
      <c r="BL503" s="66"/>
      <c r="BM503" s="144">
        <f t="shared" si="428"/>
        <v>3.9544557356898428E-2</v>
      </c>
      <c r="BN503" s="65">
        <f t="shared" si="429"/>
        <v>1064744.7085020242</v>
      </c>
      <c r="BO503" s="66"/>
      <c r="BP503" s="66">
        <f t="shared" si="430"/>
        <v>33830556</v>
      </c>
      <c r="BQ503" s="66"/>
      <c r="BR503" s="435">
        <f t="shared" si="431"/>
        <v>6.4318616787435196E-2</v>
      </c>
      <c r="BS503" s="66"/>
      <c r="BT503" s="75"/>
      <c r="BU503" s="170"/>
      <c r="BV503" s="1"/>
      <c r="BW503" s="61">
        <f t="shared" si="407"/>
        <v>494</v>
      </c>
    </row>
    <row r="504" spans="2:75" x14ac:dyDescent="0.3">
      <c r="B504" s="158">
        <f t="shared" si="406"/>
        <v>44404</v>
      </c>
      <c r="C504" s="61"/>
      <c r="D504" s="17">
        <v>61581</v>
      </c>
      <c r="E504" s="16"/>
      <c r="F504" s="16"/>
      <c r="G504" s="16"/>
      <c r="H504" s="16">
        <f t="shared" ref="H504:H535" si="433">+H503+D504</f>
        <v>34799115</v>
      </c>
      <c r="I504" s="16"/>
      <c r="J504" s="436">
        <f t="shared" ref="J504:J535" si="434">+D504/H503</f>
        <v>1.7727510536585584E-3</v>
      </c>
      <c r="K504" s="16"/>
      <c r="L504" s="16"/>
      <c r="M504" s="16"/>
      <c r="N504" s="16">
        <f t="shared" ref="N504:N535" si="435">SUM(D498:D504)</f>
        <v>333655</v>
      </c>
      <c r="O504" s="16">
        <f t="shared" ref="O504:O535" si="436">+H504/BW504</f>
        <v>70301.242424242431</v>
      </c>
      <c r="P504" s="41"/>
      <c r="Q504" s="17">
        <f t="shared" ref="Q504:Q535" si="437">SUM(D498:D504)</f>
        <v>333655</v>
      </c>
      <c r="R504" s="16"/>
      <c r="S504" s="60">
        <f t="shared" ref="S504:S535" si="438">+(Q504-Q497)/Q497</f>
        <v>0.41488951178244149</v>
      </c>
      <c r="T504" s="16"/>
      <c r="U504" s="41"/>
      <c r="V504" s="10">
        <f t="shared" si="356"/>
        <v>396</v>
      </c>
      <c r="W504" s="34">
        <v>339</v>
      </c>
      <c r="X504" s="33">
        <v>4256</v>
      </c>
      <c r="Y504" s="33"/>
      <c r="Z504" s="33">
        <f t="shared" ref="Z504:Z535" si="439">SUM(W499:W504)</f>
        <v>1464</v>
      </c>
      <c r="AA504" s="33">
        <f t="shared" ref="AA504:AA535" si="440">+AA503+W504</f>
        <v>611230</v>
      </c>
      <c r="AB504" s="33"/>
      <c r="AC504" s="46">
        <f t="shared" ref="AC504:AC535" si="441">+AA504/H504</f>
        <v>1.7564527143865583E-2</v>
      </c>
      <c r="AD504" s="33"/>
      <c r="AE504" s="33">
        <f t="shared" ref="AE504:AE535" si="442">+AA504/BW504</f>
        <v>1234.8080808080808</v>
      </c>
      <c r="AF504" s="50"/>
      <c r="AG504" s="33">
        <f t="shared" ref="AG504:AG535" si="443">SUM(W498:W504)</f>
        <v>1880</v>
      </c>
      <c r="AH504" s="33">
        <f t="shared" si="432"/>
        <v>1157776966.060914</v>
      </c>
      <c r="AI504" s="213">
        <f t="shared" ref="AI504:AI535" si="444">+(AG504-AG497)/AG497</f>
        <v>0.19592875318066158</v>
      </c>
      <c r="AJ504" s="50"/>
      <c r="AK504" s="111"/>
      <c r="AL504" s="23">
        <f t="shared" ref="AL504:AL535" si="445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46">+AL504/AP503</f>
        <v>7.7723149640109934E-4</v>
      </c>
      <c r="AS504" s="25"/>
      <c r="AT504" s="25"/>
      <c r="AU504" s="24"/>
      <c r="AV504" s="298">
        <f t="shared" ref="AV504:AV535" si="447">+AP504/H504</f>
        <v>0.84977546124377012</v>
      </c>
      <c r="AW504" s="298"/>
      <c r="AX504" s="24">
        <f t="shared" ref="AX504:AX535" si="448">+AP504/BW504</f>
        <v>59740.270707070704</v>
      </c>
      <c r="AY504" s="308"/>
      <c r="AZ504" s="111"/>
      <c r="BA504" s="65">
        <f t="shared" ref="BA504:BA535" si="449">+BC504-BC503</f>
        <v>892346</v>
      </c>
      <c r="BB504" s="66"/>
      <c r="BC504" s="66">
        <v>526876232</v>
      </c>
      <c r="BD504" s="66"/>
      <c r="BE504" s="66">
        <f t="shared" ref="BE504:BE535" si="450">+D504</f>
        <v>61581</v>
      </c>
      <c r="BF504" s="66"/>
      <c r="BG504" s="144">
        <f t="shared" ref="BG504:BG535" si="451">+BE504/BA504</f>
        <v>6.9010226974738492E-2</v>
      </c>
      <c r="BH504" s="66"/>
      <c r="BI504" s="170"/>
      <c r="BJ504" s="66"/>
      <c r="BK504" s="66">
        <f t="shared" ref="BK504:BK535" si="452">SUM(BA498:BA504)</f>
        <v>8218001</v>
      </c>
      <c r="BL504" s="66"/>
      <c r="BM504" s="144">
        <f t="shared" ref="BM504:BM535" si="453">+Q504/BK504</f>
        <v>4.060050613281746E-2</v>
      </c>
      <c r="BN504" s="65">
        <f t="shared" ref="BN504:BN535" si="454">+BC504/BW504</f>
        <v>1064396.4282828283</v>
      </c>
      <c r="BO504" s="66"/>
      <c r="BP504" s="66">
        <f t="shared" ref="BP504:BP535" si="455">+BP503+BE504</f>
        <v>33892137</v>
      </c>
      <c r="BQ504" s="66"/>
      <c r="BR504" s="435">
        <f t="shared" ref="BR504:BR535" si="456">+BP504/BC504</f>
        <v>6.4326562751458483E-2</v>
      </c>
      <c r="BS504" s="66"/>
      <c r="BT504" s="75"/>
      <c r="BU504" s="170"/>
      <c r="BV504" s="1"/>
      <c r="BW504" s="61">
        <f t="shared" si="407"/>
        <v>495</v>
      </c>
    </row>
    <row r="505" spans="2:75" x14ac:dyDescent="0.3">
      <c r="B505" s="158">
        <f t="shared" si="406"/>
        <v>44405</v>
      </c>
      <c r="C505" s="61"/>
      <c r="D505" s="17">
        <v>84534</v>
      </c>
      <c r="E505" s="16"/>
      <c r="F505" s="16"/>
      <c r="G505" s="16"/>
      <c r="H505" s="16">
        <f t="shared" si="433"/>
        <v>34883649</v>
      </c>
      <c r="I505" s="16"/>
      <c r="J505" s="436">
        <f t="shared" si="434"/>
        <v>2.4291997080960249E-3</v>
      </c>
      <c r="K505" s="16"/>
      <c r="L505" s="16"/>
      <c r="M505" s="16"/>
      <c r="N505" s="16">
        <f t="shared" si="435"/>
        <v>361664</v>
      </c>
      <c r="O505" s="16">
        <f t="shared" si="436"/>
        <v>70329.9375</v>
      </c>
      <c r="P505" s="41"/>
      <c r="Q505" s="17">
        <f t="shared" si="437"/>
        <v>361664</v>
      </c>
      <c r="R505" s="16"/>
      <c r="S505" s="60">
        <f t="shared" si="438"/>
        <v>0.40782810097510658</v>
      </c>
      <c r="T505" s="16"/>
      <c r="U505" s="41"/>
      <c r="V505" s="10">
        <f t="shared" si="356"/>
        <v>397</v>
      </c>
      <c r="W505" s="34">
        <v>483</v>
      </c>
      <c r="X505" s="33">
        <v>4256</v>
      </c>
      <c r="Y505" s="33"/>
      <c r="Z505" s="33">
        <f t="shared" si="439"/>
        <v>1582</v>
      </c>
      <c r="AA505" s="33">
        <f t="shared" si="440"/>
        <v>611713</v>
      </c>
      <c r="AB505" s="33"/>
      <c r="AC505" s="46">
        <f t="shared" si="441"/>
        <v>1.7535808825504463E-2</v>
      </c>
      <c r="AD505" s="33"/>
      <c r="AE505" s="33">
        <f t="shared" si="442"/>
        <v>1233.2923387096773</v>
      </c>
      <c r="AF505" s="50"/>
      <c r="AG505" s="33">
        <f t="shared" si="443"/>
        <v>1947</v>
      </c>
      <c r="AH505" s="33">
        <f t="shared" si="432"/>
        <v>1157764984.060914</v>
      </c>
      <c r="AI505" s="213">
        <f t="shared" si="444"/>
        <v>0.18647166361974407</v>
      </c>
      <c r="AJ505" s="50"/>
      <c r="AK505" s="111"/>
      <c r="AL505" s="23">
        <f t="shared" si="445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46"/>
        <v>1.0998452087240679E-3</v>
      </c>
      <c r="AS505" s="25"/>
      <c r="AT505" s="25"/>
      <c r="AU505" s="24"/>
      <c r="AV505" s="298">
        <f t="shared" si="447"/>
        <v>0.84864854591330163</v>
      </c>
      <c r="AW505" s="298"/>
      <c r="AX505" s="24">
        <f t="shared" si="448"/>
        <v>59685.399193548386</v>
      </c>
      <c r="AY505" s="308"/>
      <c r="AZ505" s="111"/>
      <c r="BA505" s="65">
        <f t="shared" si="449"/>
        <v>204920</v>
      </c>
      <c r="BB505" s="66"/>
      <c r="BC505" s="66">
        <v>527081152</v>
      </c>
      <c r="BD505" s="66"/>
      <c r="BE505" s="66">
        <f t="shared" si="450"/>
        <v>84534</v>
      </c>
      <c r="BF505" s="66"/>
      <c r="BG505" s="144">
        <f t="shared" si="451"/>
        <v>0.41252195978918604</v>
      </c>
      <c r="BH505" s="66"/>
      <c r="BI505" s="170"/>
      <c r="BJ505" s="66"/>
      <c r="BK505" s="66">
        <f t="shared" si="452"/>
        <v>7600901</v>
      </c>
      <c r="BL505" s="66"/>
      <c r="BM505" s="144">
        <f t="shared" si="453"/>
        <v>4.7581727482044561E-2</v>
      </c>
      <c r="BN505" s="65">
        <f t="shared" si="454"/>
        <v>1062663.6129032257</v>
      </c>
      <c r="BO505" s="66"/>
      <c r="BP505" s="66">
        <f t="shared" si="455"/>
        <v>33976671</v>
      </c>
      <c r="BQ505" s="66"/>
      <c r="BR505" s="435">
        <f t="shared" si="456"/>
        <v>6.4461935075986174E-2</v>
      </c>
      <c r="BS505" s="66"/>
      <c r="BT505" s="75"/>
      <c r="BU505" s="170"/>
      <c r="BV505" s="1"/>
      <c r="BW505" s="61">
        <f t="shared" si="407"/>
        <v>496</v>
      </c>
    </row>
    <row r="506" spans="2:75" x14ac:dyDescent="0.3">
      <c r="B506" s="158">
        <f t="shared" si="406"/>
        <v>44406</v>
      </c>
      <c r="C506" s="61"/>
      <c r="D506" s="17">
        <v>84513</v>
      </c>
      <c r="E506" s="16"/>
      <c r="F506" s="16"/>
      <c r="G506" s="16"/>
      <c r="H506" s="16">
        <f t="shared" si="433"/>
        <v>34968162</v>
      </c>
      <c r="I506" s="16"/>
      <c r="J506" s="436">
        <f t="shared" si="434"/>
        <v>2.422710995630073E-3</v>
      </c>
      <c r="K506" s="16"/>
      <c r="L506" s="16"/>
      <c r="M506" s="16"/>
      <c r="N506" s="16">
        <f t="shared" si="435"/>
        <v>384526</v>
      </c>
      <c r="O506" s="16">
        <f t="shared" si="436"/>
        <v>70358.474849094564</v>
      </c>
      <c r="P506" s="41"/>
      <c r="Q506" s="17">
        <f t="shared" si="437"/>
        <v>384526</v>
      </c>
      <c r="R506" s="16"/>
      <c r="S506" s="60">
        <f t="shared" si="438"/>
        <v>0.36418658114321395</v>
      </c>
      <c r="T506" s="16"/>
      <c r="U506" s="41"/>
      <c r="V506" s="10">
        <f t="shared" si="356"/>
        <v>398</v>
      </c>
      <c r="W506" s="34">
        <v>485</v>
      </c>
      <c r="X506" s="33">
        <v>4256</v>
      </c>
      <c r="Y506" s="33"/>
      <c r="Z506" s="33">
        <f t="shared" si="439"/>
        <v>1639</v>
      </c>
      <c r="AA506" s="33">
        <f t="shared" si="440"/>
        <v>612198</v>
      </c>
      <c r="AB506" s="33"/>
      <c r="AC506" s="46">
        <f t="shared" si="441"/>
        <v>1.7507297066400002E-2</v>
      </c>
      <c r="AD506" s="33"/>
      <c r="AE506" s="33">
        <f t="shared" si="442"/>
        <v>1231.7867203219316</v>
      </c>
      <c r="AF506" s="50"/>
      <c r="AG506" s="33">
        <f t="shared" si="443"/>
        <v>2067</v>
      </c>
      <c r="AH506" s="33">
        <f t="shared" si="432"/>
        <v>1157753557.060914</v>
      </c>
      <c r="AI506" s="213">
        <f t="shared" si="444"/>
        <v>0.24368231046931407</v>
      </c>
      <c r="AJ506" s="50"/>
      <c r="AK506" s="111" t="s">
        <v>26</v>
      </c>
      <c r="AL506" s="23">
        <f t="shared" si="445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46"/>
        <v>1.5552650088207799E-3</v>
      </c>
      <c r="AS506" s="25"/>
      <c r="AT506" s="25"/>
      <c r="AU506" s="24"/>
      <c r="AV506" s="298">
        <f t="shared" si="447"/>
        <v>0.84791416832260158</v>
      </c>
      <c r="AW506" s="298"/>
      <c r="AX506" s="24">
        <f t="shared" si="448"/>
        <v>59657.947686116699</v>
      </c>
      <c r="AY506" s="308"/>
      <c r="AZ506" s="111" t="s">
        <v>26</v>
      </c>
      <c r="BA506" s="65">
        <f t="shared" si="449"/>
        <v>218848</v>
      </c>
      <c r="BB506" s="66"/>
      <c r="BC506" s="66">
        <v>527300000</v>
      </c>
      <c r="BD506" s="66"/>
      <c r="BE506" s="66">
        <f t="shared" si="450"/>
        <v>84513</v>
      </c>
      <c r="BF506" s="66"/>
      <c r="BG506" s="144">
        <f t="shared" si="451"/>
        <v>0.38617213773943559</v>
      </c>
      <c r="BH506" s="66"/>
      <c r="BI506" s="170"/>
      <c r="BJ506" s="66"/>
      <c r="BK506" s="66">
        <f t="shared" si="452"/>
        <v>6888512</v>
      </c>
      <c r="BL506" s="66"/>
      <c r="BM506" s="144">
        <f t="shared" si="453"/>
        <v>5.5821344290319881E-2</v>
      </c>
      <c r="BN506" s="65">
        <f t="shared" si="454"/>
        <v>1060965.7947686117</v>
      </c>
      <c r="BO506" s="66"/>
      <c r="BP506" s="66">
        <f t="shared" si="455"/>
        <v>34061184</v>
      </c>
      <c r="BQ506" s="66"/>
      <c r="BR506" s="435">
        <f t="shared" si="456"/>
        <v>6.4595456097098422E-2</v>
      </c>
      <c r="BS506" s="66"/>
      <c r="BT506" s="75"/>
      <c r="BU506" s="170"/>
      <c r="BV506" s="1"/>
      <c r="BW506" s="61">
        <f t="shared" si="407"/>
        <v>497</v>
      </c>
    </row>
    <row r="507" spans="2:75" x14ac:dyDescent="0.3">
      <c r="B507" s="158">
        <f t="shared" si="406"/>
        <v>44407</v>
      </c>
      <c r="C507" s="61"/>
      <c r="D507" s="17">
        <v>101098</v>
      </c>
      <c r="E507" s="16"/>
      <c r="F507" s="16"/>
      <c r="G507" s="16"/>
      <c r="H507" s="16">
        <f t="shared" si="433"/>
        <v>35069260</v>
      </c>
      <c r="I507" s="16"/>
      <c r="J507" s="436">
        <f t="shared" si="434"/>
        <v>2.8911442357193382E-3</v>
      </c>
      <c r="K507" s="16"/>
      <c r="L507" s="16"/>
      <c r="M507" s="16"/>
      <c r="N507" s="16">
        <f t="shared" si="435"/>
        <v>418139</v>
      </c>
      <c r="O507" s="16">
        <f t="shared" si="436"/>
        <v>70420.200803212851</v>
      </c>
      <c r="P507" s="41"/>
      <c r="Q507" s="17">
        <f t="shared" si="437"/>
        <v>418139</v>
      </c>
      <c r="R507" s="16"/>
      <c r="S507" s="60">
        <f t="shared" si="438"/>
        <v>0.35395430466149441</v>
      </c>
      <c r="T507" s="16"/>
      <c r="U507" s="41"/>
      <c r="V507" s="10">
        <f t="shared" si="356"/>
        <v>399</v>
      </c>
      <c r="W507" s="34">
        <v>429</v>
      </c>
      <c r="X507" s="33">
        <v>4256</v>
      </c>
      <c r="Y507" s="33"/>
      <c r="Z507" s="33">
        <f t="shared" si="439"/>
        <v>1917</v>
      </c>
      <c r="AA507" s="33">
        <f t="shared" si="440"/>
        <v>612627</v>
      </c>
      <c r="AB507" s="33"/>
      <c r="AC507" s="46">
        <f t="shared" si="441"/>
        <v>1.7469059797668957E-2</v>
      </c>
      <c r="AD507" s="33"/>
      <c r="AE507" s="33">
        <f t="shared" si="442"/>
        <v>1230.1746987951808</v>
      </c>
      <c r="AF507" s="50"/>
      <c r="AG507" s="33">
        <f t="shared" si="443"/>
        <v>2068</v>
      </c>
      <c r="AH507" s="33">
        <f t="shared" si="432"/>
        <v>1157739360.060914</v>
      </c>
      <c r="AI507" s="213">
        <f t="shared" si="444"/>
        <v>0.15080690038953812</v>
      </c>
      <c r="AJ507" s="50"/>
      <c r="AK507" s="111" t="s">
        <v>26</v>
      </c>
      <c r="AL507" s="23">
        <f t="shared" si="445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46"/>
        <v>6.8735244519392918E-5</v>
      </c>
      <c r="AS507" s="25"/>
      <c r="AT507" s="25"/>
      <c r="AU507" s="24"/>
      <c r="AV507" s="298">
        <f t="shared" si="447"/>
        <v>0.84552790677647605</v>
      </c>
      <c r="AW507" s="298"/>
      <c r="AX507" s="24">
        <f t="shared" si="448"/>
        <v>59542.244979919677</v>
      </c>
      <c r="AY507" s="308"/>
      <c r="AZ507" s="111" t="s">
        <v>26</v>
      </c>
      <c r="BA507" s="65">
        <f t="shared" si="449"/>
        <v>1878910</v>
      </c>
      <c r="BB507" s="66"/>
      <c r="BC507" s="66">
        <v>529178910</v>
      </c>
      <c r="BD507" s="66"/>
      <c r="BE507" s="66">
        <f t="shared" si="450"/>
        <v>101098</v>
      </c>
      <c r="BF507" s="66"/>
      <c r="BG507" s="144">
        <f t="shared" si="451"/>
        <v>5.3806728369107618E-2</v>
      </c>
      <c r="BH507" s="66"/>
      <c r="BI507" s="170"/>
      <c r="BJ507" s="66"/>
      <c r="BK507" s="66">
        <f t="shared" si="452"/>
        <v>7837054</v>
      </c>
      <c r="BL507" s="66"/>
      <c r="BM507" s="144">
        <f t="shared" si="453"/>
        <v>5.3354104743950977E-2</v>
      </c>
      <c r="BN507" s="65">
        <f t="shared" si="454"/>
        <v>1062608.2530120481</v>
      </c>
      <c r="BO507" s="66"/>
      <c r="BP507" s="66">
        <f t="shared" si="455"/>
        <v>34162282</v>
      </c>
      <c r="BQ507" s="66"/>
      <c r="BR507" s="435">
        <f t="shared" si="456"/>
        <v>6.4557149490330215E-2</v>
      </c>
      <c r="BS507" s="66"/>
      <c r="BT507" s="75"/>
      <c r="BU507" s="170"/>
      <c r="BV507" s="1"/>
      <c r="BW507" s="61">
        <f t="shared" si="407"/>
        <v>498</v>
      </c>
    </row>
    <row r="508" spans="2:75" x14ac:dyDescent="0.3">
      <c r="B508" s="158">
        <f t="shared" si="406"/>
        <v>44408</v>
      </c>
      <c r="C508" s="61"/>
      <c r="D508" s="17">
        <v>51898</v>
      </c>
      <c r="E508" s="16"/>
      <c r="F508" s="16"/>
      <c r="G508" s="16"/>
      <c r="H508" s="16">
        <f t="shared" si="433"/>
        <v>35121158</v>
      </c>
      <c r="I508" s="16"/>
      <c r="J508" s="436">
        <f t="shared" si="434"/>
        <v>1.4798715456214361E-3</v>
      </c>
      <c r="K508" s="16"/>
      <c r="L508" s="16"/>
      <c r="M508" s="16"/>
      <c r="N508" s="16">
        <f t="shared" si="435"/>
        <v>433258</v>
      </c>
      <c r="O508" s="16">
        <f t="shared" si="436"/>
        <v>70383.082164328662</v>
      </c>
      <c r="P508" s="41"/>
      <c r="Q508" s="17">
        <f t="shared" si="437"/>
        <v>433258</v>
      </c>
      <c r="R508" s="16"/>
      <c r="S508" s="60">
        <f t="shared" si="438"/>
        <v>0.34750533393877947</v>
      </c>
      <c r="T508" s="16"/>
      <c r="U508" s="41"/>
      <c r="V508" s="10">
        <f t="shared" si="356"/>
        <v>400</v>
      </c>
      <c r="W508" s="34">
        <v>241</v>
      </c>
      <c r="X508" s="33">
        <v>4256</v>
      </c>
      <c r="Y508" s="33"/>
      <c r="Z508" s="33">
        <f t="shared" si="439"/>
        <v>2109</v>
      </c>
      <c r="AA508" s="33">
        <f t="shared" si="440"/>
        <v>612868</v>
      </c>
      <c r="AB508" s="33"/>
      <c r="AC508" s="46">
        <f t="shared" si="441"/>
        <v>1.7450107994730697E-2</v>
      </c>
      <c r="AD508" s="33"/>
      <c r="AE508" s="33">
        <f t="shared" si="442"/>
        <v>1228.1923847695391</v>
      </c>
      <c r="AF508" s="50"/>
      <c r="AG508" s="33">
        <f t="shared" si="443"/>
        <v>2158</v>
      </c>
      <c r="AH508" s="33">
        <f t="shared" si="432"/>
        <v>1157722411.060914</v>
      </c>
      <c r="AI508" s="213">
        <f t="shared" si="444"/>
        <v>0.17602179836512261</v>
      </c>
      <c r="AJ508" s="50"/>
      <c r="AK508" s="111"/>
      <c r="AL508" s="23">
        <f t="shared" si="445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46"/>
        <v>4.7480716165276734E-4</v>
      </c>
      <c r="AS508" s="25"/>
      <c r="AT508" s="25"/>
      <c r="AU508" s="24"/>
      <c r="AV508" s="298">
        <f t="shared" si="447"/>
        <v>0.84467935254298843</v>
      </c>
      <c r="AW508" s="298"/>
      <c r="AX508" s="24">
        <f t="shared" si="448"/>
        <v>59451.136272545089</v>
      </c>
      <c r="AY508" s="308"/>
      <c r="AZ508" s="111"/>
      <c r="BA508" s="65">
        <f t="shared" si="449"/>
        <v>500910</v>
      </c>
      <c r="BB508" s="66"/>
      <c r="BC508" s="66">
        <v>529679820</v>
      </c>
      <c r="BD508" s="66"/>
      <c r="BE508" s="66">
        <f t="shared" si="450"/>
        <v>51898</v>
      </c>
      <c r="BF508" s="66"/>
      <c r="BG508" s="144">
        <f t="shared" si="451"/>
        <v>0.10360743446926593</v>
      </c>
      <c r="BH508" s="66"/>
      <c r="BI508" s="170"/>
      <c r="BJ508" s="66"/>
      <c r="BK508" s="66">
        <f t="shared" si="452"/>
        <v>7944511</v>
      </c>
      <c r="BL508" s="66"/>
      <c r="BM508" s="144">
        <f t="shared" si="453"/>
        <v>5.4535515150019934E-2</v>
      </c>
      <c r="BN508" s="65">
        <f t="shared" si="454"/>
        <v>1061482.6052104209</v>
      </c>
      <c r="BO508" s="66"/>
      <c r="BP508" s="66">
        <f t="shared" si="455"/>
        <v>34214180</v>
      </c>
      <c r="BQ508" s="66"/>
      <c r="BR508" s="435">
        <f t="shared" si="456"/>
        <v>6.4594078739869679E-2</v>
      </c>
      <c r="BS508" s="66"/>
      <c r="BT508" s="75"/>
      <c r="BU508" s="170"/>
      <c r="BV508" s="1"/>
      <c r="BW508" s="61">
        <f t="shared" si="407"/>
        <v>499</v>
      </c>
    </row>
    <row r="509" spans="2:75" x14ac:dyDescent="0.3">
      <c r="B509" s="347">
        <f t="shared" si="406"/>
        <v>44409</v>
      </c>
      <c r="C509" s="61"/>
      <c r="D509" s="17">
        <v>21768</v>
      </c>
      <c r="E509" s="16"/>
      <c r="F509" s="16"/>
      <c r="G509" s="16"/>
      <c r="H509" s="16">
        <f t="shared" si="433"/>
        <v>35142926</v>
      </c>
      <c r="I509" s="16"/>
      <c r="J509" s="436">
        <f t="shared" si="434"/>
        <v>6.1979733128389447E-4</v>
      </c>
      <c r="K509" s="16"/>
      <c r="L509" s="16"/>
      <c r="M509" s="16"/>
      <c r="N509" s="16">
        <f t="shared" si="435"/>
        <v>441208</v>
      </c>
      <c r="O509" s="16">
        <f t="shared" si="436"/>
        <v>70285.851999999999</v>
      </c>
      <c r="P509" s="41"/>
      <c r="Q509" s="17">
        <f t="shared" si="437"/>
        <v>441208</v>
      </c>
      <c r="R509" s="16"/>
      <c r="S509" s="60">
        <f t="shared" si="438"/>
        <v>0.40931305219985564</v>
      </c>
      <c r="T509" s="16"/>
      <c r="U509" s="41"/>
      <c r="V509" s="10">
        <f t="shared" si="356"/>
        <v>401</v>
      </c>
      <c r="W509" s="34">
        <v>64</v>
      </c>
      <c r="X509" s="33">
        <v>4256</v>
      </c>
      <c r="Y509" s="33"/>
      <c r="Z509" s="33">
        <f t="shared" si="439"/>
        <v>2041</v>
      </c>
      <c r="AA509" s="33">
        <f t="shared" si="440"/>
        <v>612932</v>
      </c>
      <c r="AB509" s="33"/>
      <c r="AC509" s="46">
        <f t="shared" si="441"/>
        <v>1.7441120298292749E-2</v>
      </c>
      <c r="AD509" s="33"/>
      <c r="AE509" s="33">
        <f t="shared" si="442"/>
        <v>1225.864</v>
      </c>
      <c r="AF509" s="50"/>
      <c r="AG509" s="33">
        <f t="shared" si="443"/>
        <v>2173</v>
      </c>
      <c r="AH509" s="33">
        <f t="shared" si="432"/>
        <v>1157704012.060914</v>
      </c>
      <c r="AI509" s="213">
        <f t="shared" si="444"/>
        <v>0.20588235294117646</v>
      </c>
      <c r="AJ509" s="50"/>
      <c r="AK509" s="111"/>
      <c r="AL509" s="23">
        <f t="shared" si="445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46"/>
        <v>2.4179099677925492E-4</v>
      </c>
      <c r="AS509" s="25"/>
      <c r="AT509" s="25"/>
      <c r="AU509" s="24"/>
      <c r="AV509" s="298">
        <f t="shared" si="447"/>
        <v>0.84436025617218102</v>
      </c>
      <c r="AW509" s="298"/>
      <c r="AX509" s="24">
        <f t="shared" si="448"/>
        <v>59346.58</v>
      </c>
      <c r="AY509" s="308"/>
      <c r="AZ509" s="111"/>
      <c r="BA509" s="65">
        <f t="shared" si="449"/>
        <v>238229</v>
      </c>
      <c r="BB509" s="66"/>
      <c r="BC509" s="66">
        <v>529918049</v>
      </c>
      <c r="BD509" s="66"/>
      <c r="BE509" s="66">
        <f t="shared" si="450"/>
        <v>21768</v>
      </c>
      <c r="BF509" s="66"/>
      <c r="BG509" s="144">
        <f t="shared" si="451"/>
        <v>9.1374265937396365E-2</v>
      </c>
      <c r="BH509" s="66"/>
      <c r="BI509" s="170"/>
      <c r="BJ509" s="66"/>
      <c r="BK509" s="66">
        <f t="shared" si="452"/>
        <v>6309093</v>
      </c>
      <c r="BL509" s="66"/>
      <c r="BM509" s="144">
        <f t="shared" si="453"/>
        <v>6.9932080570059757E-2</v>
      </c>
      <c r="BN509" s="65">
        <f t="shared" si="454"/>
        <v>1059836.098</v>
      </c>
      <c r="BO509" s="66"/>
      <c r="BP509" s="66">
        <f t="shared" si="455"/>
        <v>34235948</v>
      </c>
      <c r="BQ509" s="66"/>
      <c r="BR509" s="435">
        <f t="shared" si="456"/>
        <v>6.4606117992406786E-2</v>
      </c>
      <c r="BS509" s="66"/>
      <c r="BT509" s="75"/>
      <c r="BU509" s="170"/>
      <c r="BV509" s="1"/>
      <c r="BW509" s="61">
        <f t="shared" si="407"/>
        <v>500</v>
      </c>
    </row>
    <row r="510" spans="2:75" x14ac:dyDescent="0.3">
      <c r="B510" s="158">
        <f t="shared" si="406"/>
        <v>44410</v>
      </c>
      <c r="C510" s="61"/>
      <c r="D510" s="17">
        <v>56369</v>
      </c>
      <c r="E510" s="16"/>
      <c r="F510" s="16"/>
      <c r="G510" s="16"/>
      <c r="H510" s="16">
        <f t="shared" si="433"/>
        <v>35199295</v>
      </c>
      <c r="I510" s="16"/>
      <c r="J510" s="436">
        <f t="shared" si="434"/>
        <v>1.6039927921767242E-3</v>
      </c>
      <c r="K510" s="16"/>
      <c r="L510" s="16"/>
      <c r="M510" s="16"/>
      <c r="N510" s="16">
        <f t="shared" si="435"/>
        <v>461761</v>
      </c>
      <c r="O510" s="16">
        <f t="shared" si="436"/>
        <v>70258.073852295405</v>
      </c>
      <c r="P510" s="41"/>
      <c r="Q510" s="17">
        <f t="shared" si="437"/>
        <v>461761</v>
      </c>
      <c r="R510" s="16"/>
      <c r="S510" s="60">
        <f t="shared" si="438"/>
        <v>0.45985532996528677</v>
      </c>
      <c r="T510" s="16"/>
      <c r="U510" s="41"/>
      <c r="V510" s="10">
        <f t="shared" si="356"/>
        <v>402</v>
      </c>
      <c r="W510" s="34">
        <v>213</v>
      </c>
      <c r="X510" s="33">
        <v>4256</v>
      </c>
      <c r="Y510" s="33"/>
      <c r="Z510" s="33">
        <f t="shared" si="439"/>
        <v>1915</v>
      </c>
      <c r="AA510" s="33">
        <f t="shared" si="440"/>
        <v>613145</v>
      </c>
      <c r="AB510" s="33"/>
      <c r="AC510" s="46">
        <f t="shared" si="441"/>
        <v>1.7419240925137847E-2</v>
      </c>
      <c r="AD510" s="33"/>
      <c r="AE510" s="33">
        <f t="shared" si="442"/>
        <v>1223.8423153692615</v>
      </c>
      <c r="AF510" s="50"/>
      <c r="AG510" s="33">
        <f t="shared" si="443"/>
        <v>2254</v>
      </c>
      <c r="AH510" s="33">
        <f t="shared" si="432"/>
        <v>1157696034.060914</v>
      </c>
      <c r="AI510" s="213">
        <f t="shared" si="444"/>
        <v>0.25431274346132443</v>
      </c>
      <c r="AJ510" s="50"/>
      <c r="AK510" s="111"/>
      <c r="AL510" s="23">
        <f t="shared" si="445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46"/>
        <v>1.4911390007646607E-3</v>
      </c>
      <c r="AS510" s="25"/>
      <c r="AT510" s="25"/>
      <c r="AU510" s="24"/>
      <c r="AV510" s="298">
        <f t="shared" si="447"/>
        <v>0.84426511951446759</v>
      </c>
      <c r="AW510" s="298"/>
      <c r="AX510" s="24">
        <f t="shared" si="448"/>
        <v>59316.441117764472</v>
      </c>
      <c r="AY510" s="308"/>
      <c r="AZ510" s="111"/>
      <c r="BA510" s="65">
        <f t="shared" si="449"/>
        <v>2223019</v>
      </c>
      <c r="BB510" s="66"/>
      <c r="BC510" s="66">
        <v>532141068</v>
      </c>
      <c r="BD510" s="66"/>
      <c r="BE510" s="66">
        <f t="shared" si="450"/>
        <v>56369</v>
      </c>
      <c r="BF510" s="66"/>
      <c r="BG510" s="144">
        <f t="shared" si="451"/>
        <v>2.5356958262614939E-2</v>
      </c>
      <c r="BH510" s="66"/>
      <c r="BI510" s="170"/>
      <c r="BJ510" s="66"/>
      <c r="BK510" s="66">
        <f t="shared" si="452"/>
        <v>6157182</v>
      </c>
      <c r="BL510" s="66"/>
      <c r="BM510" s="144">
        <f t="shared" si="453"/>
        <v>7.4995509309291164E-2</v>
      </c>
      <c r="BN510" s="65">
        <f t="shared" si="454"/>
        <v>1062157.8203592815</v>
      </c>
      <c r="BO510" s="66"/>
      <c r="BP510" s="66">
        <f t="shared" si="455"/>
        <v>34292317</v>
      </c>
      <c r="BQ510" s="66"/>
      <c r="BR510" s="435">
        <f t="shared" si="456"/>
        <v>6.4442154650616063E-2</v>
      </c>
      <c r="BS510" s="66"/>
      <c r="BT510" s="75"/>
      <c r="BU510" s="170"/>
      <c r="BV510" s="1"/>
      <c r="BW510" s="61">
        <f t="shared" si="407"/>
        <v>501</v>
      </c>
    </row>
    <row r="511" spans="2:75" x14ac:dyDescent="0.3">
      <c r="B511" s="158">
        <f t="shared" si="406"/>
        <v>44411</v>
      </c>
      <c r="C511" s="61"/>
      <c r="D511" s="17">
        <v>104758</v>
      </c>
      <c r="E511" s="16"/>
      <c r="F511" s="16"/>
      <c r="G511" s="16"/>
      <c r="H511" s="16">
        <f t="shared" si="433"/>
        <v>35304053</v>
      </c>
      <c r="I511" s="16"/>
      <c r="J511" s="436">
        <f t="shared" si="434"/>
        <v>2.9761391527870088E-3</v>
      </c>
      <c r="K511" s="16"/>
      <c r="L511" s="16"/>
      <c r="M511" s="16"/>
      <c r="N511" s="16">
        <f t="shared" si="435"/>
        <v>504938</v>
      </c>
      <c r="O511" s="16">
        <f t="shared" si="436"/>
        <v>70326.798804780876</v>
      </c>
      <c r="P511" s="41"/>
      <c r="Q511" s="17">
        <f t="shared" si="437"/>
        <v>504938</v>
      </c>
      <c r="R511" s="16"/>
      <c r="S511" s="60">
        <f t="shared" si="438"/>
        <v>0.51335361376271893</v>
      </c>
      <c r="T511" s="16"/>
      <c r="U511" s="41"/>
      <c r="V511" s="10">
        <f t="shared" si="356"/>
        <v>403</v>
      </c>
      <c r="W511" s="34">
        <v>516</v>
      </c>
      <c r="X511" s="33">
        <v>4256</v>
      </c>
      <c r="Y511" s="33"/>
      <c r="Z511" s="33">
        <f t="shared" si="439"/>
        <v>1948</v>
      </c>
      <c r="AA511" s="33">
        <f t="shared" si="440"/>
        <v>613661</v>
      </c>
      <c r="AB511" s="33"/>
      <c r="AC511" s="46">
        <f t="shared" si="441"/>
        <v>1.7382168557247519E-2</v>
      </c>
      <c r="AD511" s="33"/>
      <c r="AE511" s="33">
        <f t="shared" si="442"/>
        <v>1222.4322709163346</v>
      </c>
      <c r="AF511" s="50"/>
      <c r="AG511" s="33">
        <f t="shared" si="443"/>
        <v>2431</v>
      </c>
      <c r="AH511" s="33">
        <f t="shared" si="432"/>
        <v>1157690285.060914</v>
      </c>
      <c r="AI511" s="213">
        <f t="shared" si="444"/>
        <v>0.29308510638297874</v>
      </c>
      <c r="AJ511" s="50"/>
      <c r="AK511" s="111"/>
      <c r="AL511" s="23">
        <f t="shared" si="445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46"/>
        <v>1.3140052622799797E-3</v>
      </c>
      <c r="AS511" s="25"/>
      <c r="AT511" s="25"/>
      <c r="AU511" s="24"/>
      <c r="AV511" s="298">
        <f t="shared" si="447"/>
        <v>0.84286600181571225</v>
      </c>
      <c r="AW511" s="298"/>
      <c r="AX511" s="24">
        <f t="shared" si="448"/>
        <v>59276.067729083668</v>
      </c>
      <c r="AY511" s="308"/>
      <c r="AZ511" s="111"/>
      <c r="BA511" s="65">
        <f t="shared" si="449"/>
        <v>7084250</v>
      </c>
      <c r="BB511" s="66"/>
      <c r="BC511" s="66">
        <v>539225318</v>
      </c>
      <c r="BD511" s="66"/>
      <c r="BE511" s="66">
        <f t="shared" si="450"/>
        <v>104758</v>
      </c>
      <c r="BF511" s="66"/>
      <c r="BG511" s="144">
        <f t="shared" si="451"/>
        <v>1.4787451035748314E-2</v>
      </c>
      <c r="BH511" s="66"/>
      <c r="BI511" s="170"/>
      <c r="BJ511" s="66"/>
      <c r="BK511" s="66">
        <f t="shared" si="452"/>
        <v>12349086</v>
      </c>
      <c r="BL511" s="66"/>
      <c r="BM511" s="144">
        <f t="shared" si="453"/>
        <v>4.0888694110641062E-2</v>
      </c>
      <c r="BN511" s="65">
        <f t="shared" si="454"/>
        <v>1074154.0199203186</v>
      </c>
      <c r="BO511" s="66"/>
      <c r="BP511" s="66">
        <f t="shared" si="455"/>
        <v>34397075</v>
      </c>
      <c r="BQ511" s="66"/>
      <c r="BR511" s="435">
        <f t="shared" si="456"/>
        <v>6.378979964735261E-2</v>
      </c>
      <c r="BS511" s="66"/>
      <c r="BT511" s="75"/>
      <c r="BU511" s="170"/>
      <c r="BV511" s="1"/>
      <c r="BW511" s="61">
        <f t="shared" si="407"/>
        <v>502</v>
      </c>
    </row>
    <row r="512" spans="2:75" x14ac:dyDescent="0.3">
      <c r="B512" s="158">
        <f t="shared" si="406"/>
        <v>44412</v>
      </c>
      <c r="C512" s="61"/>
      <c r="D512" s="17">
        <v>112279</v>
      </c>
      <c r="E512" s="16"/>
      <c r="F512" s="16"/>
      <c r="G512" s="16"/>
      <c r="H512" s="16">
        <f t="shared" si="433"/>
        <v>35416332</v>
      </c>
      <c r="I512" s="16"/>
      <c r="J512" s="436">
        <f t="shared" si="434"/>
        <v>3.1803430614609604E-3</v>
      </c>
      <c r="K512" s="16"/>
      <c r="L512" s="16"/>
      <c r="M512" s="16"/>
      <c r="N512" s="16">
        <f t="shared" si="435"/>
        <v>532683</v>
      </c>
      <c r="O512" s="16">
        <f t="shared" si="436"/>
        <v>70410.202783300192</v>
      </c>
      <c r="P512" s="41"/>
      <c r="Q512" s="17">
        <f t="shared" si="437"/>
        <v>532683</v>
      </c>
      <c r="R512" s="16"/>
      <c r="S512" s="60">
        <f t="shared" si="438"/>
        <v>0.47286708104760217</v>
      </c>
      <c r="T512" s="16"/>
      <c r="U512" s="41"/>
      <c r="V512" s="10">
        <f t="shared" si="356"/>
        <v>404</v>
      </c>
      <c r="W512" s="34">
        <v>656</v>
      </c>
      <c r="X512" s="33">
        <v>4256</v>
      </c>
      <c r="Y512" s="33"/>
      <c r="Z512" s="33">
        <f t="shared" si="439"/>
        <v>2119</v>
      </c>
      <c r="AA512" s="33">
        <f t="shared" si="440"/>
        <v>614317</v>
      </c>
      <c r="AB512" s="33"/>
      <c r="AC512" s="46">
        <f t="shared" si="441"/>
        <v>1.7345585082046328E-2</v>
      </c>
      <c r="AD512" s="33"/>
      <c r="AE512" s="33">
        <f t="shared" si="442"/>
        <v>1221.3061630218688</v>
      </c>
      <c r="AF512" s="50"/>
      <c r="AG512" s="33">
        <f t="shared" si="443"/>
        <v>2604</v>
      </c>
      <c r="AH512" s="33">
        <f t="shared" si="432"/>
        <v>1157685153.060914</v>
      </c>
      <c r="AI512" s="213">
        <f t="shared" si="444"/>
        <v>0.33744221879815101</v>
      </c>
      <c r="AJ512" s="50"/>
      <c r="AK512" s="111"/>
      <c r="AL512" s="23">
        <f t="shared" si="445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46"/>
        <v>1.0327125564740525E-3</v>
      </c>
      <c r="AS512" s="25"/>
      <c r="AT512" s="25"/>
      <c r="AU512" s="24"/>
      <c r="AV512" s="298">
        <f t="shared" si="447"/>
        <v>0.84106157577244312</v>
      </c>
      <c r="AW512" s="298"/>
      <c r="AX512" s="24">
        <f t="shared" si="448"/>
        <v>59219.316103379722</v>
      </c>
      <c r="AY512" s="308"/>
      <c r="AZ512" s="111"/>
      <c r="BA512" s="65">
        <f t="shared" si="449"/>
        <v>1157031</v>
      </c>
      <c r="BB512" s="66"/>
      <c r="BC512" s="66">
        <v>540382349</v>
      </c>
      <c r="BD512" s="66"/>
      <c r="BE512" s="66">
        <f t="shared" si="450"/>
        <v>112279</v>
      </c>
      <c r="BF512" s="66"/>
      <c r="BG512" s="144">
        <f t="shared" si="451"/>
        <v>9.7040615160700103E-2</v>
      </c>
      <c r="BH512" s="66"/>
      <c r="BI512" s="170"/>
      <c r="BJ512" s="66"/>
      <c r="BK512" s="66">
        <f t="shared" si="452"/>
        <v>13301197</v>
      </c>
      <c r="BL512" s="66"/>
      <c r="BM512" s="144">
        <f t="shared" si="453"/>
        <v>4.0047749086040904E-2</v>
      </c>
      <c r="BN512" s="65">
        <f t="shared" si="454"/>
        <v>1074318.7852882703</v>
      </c>
      <c r="BO512" s="66"/>
      <c r="BP512" s="66">
        <f t="shared" si="455"/>
        <v>34509354</v>
      </c>
      <c r="BQ512" s="66"/>
      <c r="BR512" s="435">
        <f t="shared" si="456"/>
        <v>6.3860994097718018E-2</v>
      </c>
      <c r="BS512" s="66"/>
      <c r="BT512" s="75"/>
      <c r="BU512" s="170"/>
      <c r="BV512" s="1"/>
      <c r="BW512" s="61">
        <f t="shared" si="407"/>
        <v>503</v>
      </c>
    </row>
    <row r="513" spans="2:75" x14ac:dyDescent="0.3">
      <c r="B513" s="158">
        <f t="shared" si="406"/>
        <v>44413</v>
      </c>
      <c r="C513" s="61"/>
      <c r="D513" s="17">
        <v>120945</v>
      </c>
      <c r="E513" s="16"/>
      <c r="F513" s="16"/>
      <c r="G513" s="16"/>
      <c r="H513" s="16">
        <f t="shared" si="433"/>
        <v>35537277</v>
      </c>
      <c r="I513" s="16"/>
      <c r="J513" s="436">
        <f t="shared" si="434"/>
        <v>3.4149499163267389E-3</v>
      </c>
      <c r="K513" s="16"/>
      <c r="L513" s="16"/>
      <c r="M513" s="16"/>
      <c r="N513" s="16">
        <f t="shared" si="435"/>
        <v>569115</v>
      </c>
      <c r="O513" s="16">
        <f t="shared" si="436"/>
        <v>70510.470238095237</v>
      </c>
      <c r="P513" s="41"/>
      <c r="Q513" s="17">
        <f t="shared" si="437"/>
        <v>569115</v>
      </c>
      <c r="R513" s="16"/>
      <c r="S513" s="60">
        <f t="shared" si="438"/>
        <v>0.48004296198436519</v>
      </c>
      <c r="T513" s="16"/>
      <c r="U513" s="41"/>
      <c r="V513" s="10">
        <f t="shared" si="356"/>
        <v>405</v>
      </c>
      <c r="W513" s="34">
        <v>559</v>
      </c>
      <c r="X513" s="33">
        <v>4256</v>
      </c>
      <c r="Y513" s="33"/>
      <c r="Z513" s="33">
        <f t="shared" si="439"/>
        <v>2249</v>
      </c>
      <c r="AA513" s="33">
        <f t="shared" si="440"/>
        <v>614876</v>
      </c>
      <c r="AB513" s="33"/>
      <c r="AC513" s="46">
        <f t="shared" si="441"/>
        <v>1.7302282332999235E-2</v>
      </c>
      <c r="AD513" s="33"/>
      <c r="AE513" s="33">
        <f t="shared" si="442"/>
        <v>1219.9920634920634</v>
      </c>
      <c r="AF513" s="50"/>
      <c r="AG513" s="33">
        <f t="shared" si="443"/>
        <v>2678</v>
      </c>
      <c r="AH513" s="33">
        <f t="shared" si="432"/>
        <v>1157673541.060914</v>
      </c>
      <c r="AI513" s="213">
        <f t="shared" si="444"/>
        <v>0.29559748427672955</v>
      </c>
      <c r="AJ513" s="50"/>
      <c r="AK513" s="111" t="s">
        <v>26</v>
      </c>
      <c r="AL513" s="23">
        <f t="shared" si="445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46"/>
        <v>4.258188283899093E-4</v>
      </c>
      <c r="AS513" s="25"/>
      <c r="AT513" s="25"/>
      <c r="AU513" s="24"/>
      <c r="AV513" s="298">
        <f t="shared" si="447"/>
        <v>0.83855608858270148</v>
      </c>
      <c r="AW513" s="298"/>
      <c r="AX513" s="24">
        <f t="shared" si="448"/>
        <v>59126.984126984127</v>
      </c>
      <c r="AY513" s="308"/>
      <c r="AZ513" s="111" t="s">
        <v>26</v>
      </c>
      <c r="BA513" s="65">
        <f t="shared" si="449"/>
        <v>1100613</v>
      </c>
      <c r="BB513" s="66"/>
      <c r="BC513" s="66">
        <v>541482962</v>
      </c>
      <c r="BD513" s="66"/>
      <c r="BE513" s="66">
        <f t="shared" si="450"/>
        <v>120945</v>
      </c>
      <c r="BF513" s="66"/>
      <c r="BG513" s="144">
        <f t="shared" si="451"/>
        <v>0.10988876198990925</v>
      </c>
      <c r="BH513" s="66"/>
      <c r="BI513" s="170"/>
      <c r="BJ513" s="66"/>
      <c r="BK513" s="66">
        <f t="shared" si="452"/>
        <v>14182962</v>
      </c>
      <c r="BL513" s="66"/>
      <c r="BM513" s="144">
        <f t="shared" si="453"/>
        <v>4.0126667476088562E-2</v>
      </c>
      <c r="BN513" s="65">
        <f t="shared" si="454"/>
        <v>1074370.9563492064</v>
      </c>
      <c r="BO513" s="66"/>
      <c r="BP513" s="66">
        <f t="shared" si="455"/>
        <v>34630299</v>
      </c>
      <c r="BQ513" s="66"/>
      <c r="BR513" s="435">
        <f t="shared" si="456"/>
        <v>6.3954549690891288E-2</v>
      </c>
      <c r="BS513" s="66"/>
      <c r="BT513" s="75"/>
      <c r="BU513" s="170"/>
      <c r="BV513" s="1"/>
      <c r="BW513" s="61">
        <f t="shared" si="407"/>
        <v>504</v>
      </c>
    </row>
    <row r="514" spans="2:75" x14ac:dyDescent="0.3">
      <c r="B514" s="158">
        <f t="shared" si="406"/>
        <v>44414</v>
      </c>
      <c r="C514" s="61"/>
      <c r="D514" s="17">
        <v>130706</v>
      </c>
      <c r="E514" s="16"/>
      <c r="F514" s="16"/>
      <c r="G514" s="16"/>
      <c r="H514" s="16">
        <f t="shared" si="433"/>
        <v>35667983</v>
      </c>
      <c r="I514" s="16"/>
      <c r="J514" s="436">
        <f t="shared" si="434"/>
        <v>3.67799705081512E-3</v>
      </c>
      <c r="K514" s="16"/>
      <c r="L514" s="16"/>
      <c r="M514" s="16"/>
      <c r="N514" s="16">
        <f t="shared" si="435"/>
        <v>598723</v>
      </c>
      <c r="O514" s="16">
        <f t="shared" si="436"/>
        <v>70629.669306930693</v>
      </c>
      <c r="P514" s="41"/>
      <c r="Q514" s="17">
        <f t="shared" si="437"/>
        <v>598723</v>
      </c>
      <c r="R514" s="16"/>
      <c r="S514" s="60">
        <f t="shared" si="438"/>
        <v>0.43187552464611051</v>
      </c>
      <c r="T514" s="16"/>
      <c r="U514" s="41"/>
      <c r="V514" s="10">
        <f t="shared" si="356"/>
        <v>406</v>
      </c>
      <c r="W514" s="34">
        <v>750</v>
      </c>
      <c r="X514" s="33">
        <v>4256</v>
      </c>
      <c r="Y514" s="33"/>
      <c r="Z514" s="33">
        <f t="shared" si="439"/>
        <v>2758</v>
      </c>
      <c r="AA514" s="33">
        <f t="shared" si="440"/>
        <v>615626</v>
      </c>
      <c r="AB514" s="33"/>
      <c r="AC514" s="46">
        <f t="shared" si="441"/>
        <v>1.7259905052663057E-2</v>
      </c>
      <c r="AD514" s="33"/>
      <c r="AE514" s="33">
        <f t="shared" si="442"/>
        <v>1219.0613861386139</v>
      </c>
      <c r="AF514" s="50"/>
      <c r="AG514" s="33">
        <f t="shared" si="443"/>
        <v>2999</v>
      </c>
      <c r="AH514" s="33">
        <f t="shared" si="432"/>
        <v>1157656729.060914</v>
      </c>
      <c r="AI514" s="213">
        <f t="shared" si="444"/>
        <v>0.45019342359767894</v>
      </c>
      <c r="AJ514" s="50"/>
      <c r="AK514" s="111"/>
      <c r="AL514" s="23">
        <f t="shared" si="445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46"/>
        <v>1.1567785234899328E-3</v>
      </c>
      <c r="AS514" s="25"/>
      <c r="AT514" s="25"/>
      <c r="AU514" s="24"/>
      <c r="AV514" s="298">
        <f t="shared" si="447"/>
        <v>0.83644965290019346</v>
      </c>
      <c r="AW514" s="298"/>
      <c r="AX514" s="24">
        <f t="shared" si="448"/>
        <v>59078.162376237626</v>
      </c>
      <c r="AY514" s="308"/>
      <c r="AZ514" s="111"/>
      <c r="BA514" s="65">
        <f t="shared" si="449"/>
        <v>1408885</v>
      </c>
      <c r="BB514" s="66"/>
      <c r="BC514" s="66">
        <v>542891847</v>
      </c>
      <c r="BD514" s="66"/>
      <c r="BE514" s="66">
        <f t="shared" si="450"/>
        <v>130706</v>
      </c>
      <c r="BF514" s="66"/>
      <c r="BG514" s="144">
        <f t="shared" si="451"/>
        <v>9.2772653552277151E-2</v>
      </c>
      <c r="BH514" s="66"/>
      <c r="BI514" s="170"/>
      <c r="BJ514" s="66"/>
      <c r="BK514" s="66">
        <f t="shared" si="452"/>
        <v>13712937</v>
      </c>
      <c r="BL514" s="66"/>
      <c r="BM514" s="144">
        <f t="shared" si="453"/>
        <v>4.3661179220760661E-2</v>
      </c>
      <c r="BN514" s="65">
        <f t="shared" si="454"/>
        <v>1075033.3603960397</v>
      </c>
      <c r="BO514" s="66"/>
      <c r="BP514" s="66">
        <f t="shared" si="455"/>
        <v>34761005</v>
      </c>
      <c r="BQ514" s="66"/>
      <c r="BR514" s="435">
        <f t="shared" si="456"/>
        <v>6.4029336951895693E-2</v>
      </c>
      <c r="BS514" s="66"/>
      <c r="BT514" s="75"/>
      <c r="BU514" s="170"/>
      <c r="BV514" s="1"/>
      <c r="BW514" s="61">
        <f t="shared" si="407"/>
        <v>505</v>
      </c>
    </row>
    <row r="515" spans="2:75" x14ac:dyDescent="0.3">
      <c r="B515" s="158">
        <f t="shared" si="406"/>
        <v>44415</v>
      </c>
      <c r="C515" s="61"/>
      <c r="D515" s="17">
        <v>68950</v>
      </c>
      <c r="E515" s="16"/>
      <c r="F515" s="16"/>
      <c r="G515" s="16"/>
      <c r="H515" s="16">
        <f t="shared" si="433"/>
        <v>35736933</v>
      </c>
      <c r="I515" s="16"/>
      <c r="J515" s="436">
        <f t="shared" si="434"/>
        <v>1.9331062258272356E-3</v>
      </c>
      <c r="K515" s="16"/>
      <c r="L515" s="16"/>
      <c r="M515" s="16"/>
      <c r="N515" s="16">
        <f t="shared" si="435"/>
        <v>615775</v>
      </c>
      <c r="O515" s="16">
        <f t="shared" si="436"/>
        <v>70626.349802371536</v>
      </c>
      <c r="P515" s="41"/>
      <c r="Q515" s="17">
        <f t="shared" si="437"/>
        <v>615775</v>
      </c>
      <c r="R515" s="16"/>
      <c r="S515" s="60">
        <f t="shared" si="438"/>
        <v>0.42126631245124152</v>
      </c>
      <c r="T515" s="16"/>
      <c r="U515" s="41"/>
      <c r="V515" s="10">
        <f t="shared" si="356"/>
        <v>407</v>
      </c>
      <c r="W515" s="34">
        <v>320</v>
      </c>
      <c r="X515" s="33">
        <v>4256</v>
      </c>
      <c r="Y515" s="33"/>
      <c r="Z515" s="33">
        <f t="shared" si="439"/>
        <v>3014</v>
      </c>
      <c r="AA515" s="33">
        <f t="shared" si="440"/>
        <v>615946</v>
      </c>
      <c r="AB515" s="33"/>
      <c r="AC515" s="46">
        <f t="shared" si="441"/>
        <v>1.7235558518689895E-2</v>
      </c>
      <c r="AD515" s="33"/>
      <c r="AE515" s="33">
        <f t="shared" si="442"/>
        <v>1217.2845849802372</v>
      </c>
      <c r="AF515" s="50"/>
      <c r="AG515" s="33">
        <f t="shared" si="443"/>
        <v>3078</v>
      </c>
      <c r="AH515" s="33">
        <f t="shared" si="432"/>
        <v>1157637382.060914</v>
      </c>
      <c r="AI515" s="213">
        <f t="shared" si="444"/>
        <v>0.42632066728452273</v>
      </c>
      <c r="AJ515" s="50"/>
      <c r="AK515" s="111"/>
      <c r="AL515" s="23">
        <f t="shared" si="445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46"/>
        <v>5.8090520254556544E-4</v>
      </c>
      <c r="AS515" s="25"/>
      <c r="AT515" s="25"/>
      <c r="AU515" s="24"/>
      <c r="AV515" s="298">
        <f t="shared" si="447"/>
        <v>0.83532078704123824</v>
      </c>
      <c r="AW515" s="298"/>
      <c r="AX515" s="24">
        <f t="shared" si="448"/>
        <v>58995.6581027668</v>
      </c>
      <c r="AY515" s="308"/>
      <c r="AZ515" s="111"/>
      <c r="BA515" s="65">
        <f t="shared" si="449"/>
        <v>836734</v>
      </c>
      <c r="BB515" s="66"/>
      <c r="BC515" s="66">
        <v>543728581</v>
      </c>
      <c r="BD515" s="66"/>
      <c r="BE515" s="66">
        <f t="shared" si="450"/>
        <v>68950</v>
      </c>
      <c r="BF515" s="66"/>
      <c r="BG515" s="144">
        <f t="shared" si="451"/>
        <v>8.2403726871383254E-2</v>
      </c>
      <c r="BH515" s="66"/>
      <c r="BI515" s="170"/>
      <c r="BJ515" s="66"/>
      <c r="BK515" s="66">
        <f t="shared" si="452"/>
        <v>14048761</v>
      </c>
      <c r="BL515" s="66"/>
      <c r="BM515" s="144">
        <f t="shared" si="453"/>
        <v>4.3831267397886543E-2</v>
      </c>
      <c r="BN515" s="65">
        <f t="shared" si="454"/>
        <v>1074562.4130434783</v>
      </c>
      <c r="BO515" s="66"/>
      <c r="BP515" s="66">
        <f t="shared" si="455"/>
        <v>34829955</v>
      </c>
      <c r="BQ515" s="66"/>
      <c r="BR515" s="435">
        <f t="shared" si="456"/>
        <v>6.4057612965539509E-2</v>
      </c>
      <c r="BS515" s="66"/>
      <c r="BT515" s="75"/>
      <c r="BU515" s="170"/>
      <c r="BV515" s="1"/>
      <c r="BW515" s="61">
        <f t="shared" si="407"/>
        <v>506</v>
      </c>
    </row>
    <row r="516" spans="2:75" x14ac:dyDescent="0.3">
      <c r="B516" s="347">
        <f t="shared" si="406"/>
        <v>44416</v>
      </c>
      <c r="C516" s="61"/>
      <c r="D516" s="17">
        <v>24390</v>
      </c>
      <c r="E516" s="16"/>
      <c r="F516" s="16"/>
      <c r="G516" s="16"/>
      <c r="H516" s="16">
        <f t="shared" si="433"/>
        <v>35761323</v>
      </c>
      <c r="I516" s="16"/>
      <c r="J516" s="436">
        <f t="shared" si="434"/>
        <v>6.8248721847507176E-4</v>
      </c>
      <c r="K516" s="16"/>
      <c r="L516" s="16"/>
      <c r="M516" s="16"/>
      <c r="N516" s="16">
        <f t="shared" si="435"/>
        <v>618397</v>
      </c>
      <c r="O516" s="16">
        <f t="shared" si="436"/>
        <v>70535.153846153844</v>
      </c>
      <c r="P516" s="41"/>
      <c r="Q516" s="17">
        <f t="shared" si="437"/>
        <v>618397</v>
      </c>
      <c r="R516" s="16"/>
      <c r="S516" s="60">
        <f t="shared" si="438"/>
        <v>0.40159969900817755</v>
      </c>
      <c r="T516" s="16"/>
      <c r="U516" s="41"/>
      <c r="V516" s="10">
        <f t="shared" si="356"/>
        <v>408</v>
      </c>
      <c r="W516" s="34">
        <v>129</v>
      </c>
      <c r="X516" s="33">
        <v>4256</v>
      </c>
      <c r="Y516" s="33"/>
      <c r="Z516" s="33">
        <f t="shared" si="439"/>
        <v>2930</v>
      </c>
      <c r="AA516" s="33">
        <f t="shared" si="440"/>
        <v>616075</v>
      </c>
      <c r="AB516" s="33"/>
      <c r="AC516" s="46">
        <f t="shared" si="441"/>
        <v>1.7227410742046652E-2</v>
      </c>
      <c r="AD516" s="33"/>
      <c r="AE516" s="33">
        <f t="shared" si="442"/>
        <v>1215.1380670611441</v>
      </c>
      <c r="AF516" s="50"/>
      <c r="AG516" s="33">
        <f t="shared" si="443"/>
        <v>3143</v>
      </c>
      <c r="AH516" s="33">
        <f t="shared" si="432"/>
        <v>1157610145.060914</v>
      </c>
      <c r="AI516" s="213">
        <f t="shared" si="444"/>
        <v>0.44638748274275197</v>
      </c>
      <c r="AJ516" s="50"/>
      <c r="AK516" s="111"/>
      <c r="AL516" s="23">
        <f t="shared" si="445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46"/>
        <v>2.4316789173504862E-4</v>
      </c>
      <c r="AS516" s="25"/>
      <c r="AT516" s="25"/>
      <c r="AU516" s="24"/>
      <c r="AV516" s="298">
        <f t="shared" si="447"/>
        <v>0.8349540647587339</v>
      </c>
      <c r="AW516" s="298"/>
      <c r="AX516" s="24">
        <f t="shared" si="448"/>
        <v>58893.613412228799</v>
      </c>
      <c r="AY516" s="308"/>
      <c r="AZ516" s="111"/>
      <c r="BA516" s="65">
        <f t="shared" si="449"/>
        <v>652881</v>
      </c>
      <c r="BB516" s="66"/>
      <c r="BC516" s="66">
        <v>544381462</v>
      </c>
      <c r="BD516" s="66"/>
      <c r="BE516" s="66">
        <f t="shared" si="450"/>
        <v>24390</v>
      </c>
      <c r="BF516" s="66"/>
      <c r="BG516" s="144">
        <f t="shared" si="451"/>
        <v>3.73574970017507E-2</v>
      </c>
      <c r="BH516" s="66"/>
      <c r="BI516" s="170"/>
      <c r="BJ516" s="66"/>
      <c r="BK516" s="66">
        <f t="shared" si="452"/>
        <v>14463413</v>
      </c>
      <c r="BL516" s="66"/>
      <c r="BM516" s="144">
        <f t="shared" si="453"/>
        <v>4.2755952554213862E-2</v>
      </c>
      <c r="BN516" s="65">
        <f t="shared" si="454"/>
        <v>1073730.6942800789</v>
      </c>
      <c r="BO516" s="66"/>
      <c r="BP516" s="66">
        <f t="shared" si="455"/>
        <v>34854345</v>
      </c>
      <c r="BQ516" s="66"/>
      <c r="BR516" s="435">
        <f t="shared" si="456"/>
        <v>6.4025591304944174E-2</v>
      </c>
      <c r="BS516" s="66"/>
      <c r="BT516" s="75"/>
      <c r="BU516" s="170"/>
      <c r="BV516" s="1"/>
      <c r="BW516" s="61">
        <f t="shared" si="407"/>
        <v>507</v>
      </c>
    </row>
    <row r="517" spans="2:75" x14ac:dyDescent="0.3">
      <c r="B517" s="158">
        <f t="shared" si="406"/>
        <v>44417</v>
      </c>
      <c r="C517" s="61"/>
      <c r="D517" s="17">
        <v>102375</v>
      </c>
      <c r="E517" s="16"/>
      <c r="F517" s="16"/>
      <c r="G517" s="16"/>
      <c r="H517" s="16">
        <f t="shared" si="433"/>
        <v>35863698</v>
      </c>
      <c r="I517" s="16"/>
      <c r="J517" s="436">
        <f t="shared" si="434"/>
        <v>2.8627296590788883E-3</v>
      </c>
      <c r="K517" s="16"/>
      <c r="L517" s="16"/>
      <c r="M517" s="16"/>
      <c r="N517" s="16">
        <f t="shared" si="435"/>
        <v>664403</v>
      </c>
      <c r="O517" s="16">
        <f t="shared" si="436"/>
        <v>70597.830708661422</v>
      </c>
      <c r="P517" s="41"/>
      <c r="Q517" s="17">
        <f t="shared" si="437"/>
        <v>664403</v>
      </c>
      <c r="R517" s="16"/>
      <c r="S517" s="60">
        <f t="shared" si="438"/>
        <v>0.43884606972004997</v>
      </c>
      <c r="T517" s="16"/>
      <c r="U517" s="41"/>
      <c r="V517" s="10">
        <f t="shared" si="356"/>
        <v>409</v>
      </c>
      <c r="W517" s="34">
        <v>326</v>
      </c>
      <c r="X517" s="33">
        <v>4256</v>
      </c>
      <c r="Y517" s="33"/>
      <c r="Z517" s="33">
        <f t="shared" si="439"/>
        <v>2740</v>
      </c>
      <c r="AA517" s="33">
        <f t="shared" si="440"/>
        <v>616401</v>
      </c>
      <c r="AB517" s="33"/>
      <c r="AC517" s="46">
        <f t="shared" si="441"/>
        <v>1.7187324073496268E-2</v>
      </c>
      <c r="AD517" s="33"/>
      <c r="AE517" s="33">
        <f t="shared" si="442"/>
        <v>1213.3877952755906</v>
      </c>
      <c r="AF517" s="50"/>
      <c r="AG517" s="33">
        <f t="shared" si="443"/>
        <v>3256</v>
      </c>
      <c r="AH517" s="33">
        <f t="shared" si="432"/>
        <v>1157595610.060914</v>
      </c>
      <c r="AI517" s="213">
        <f t="shared" si="444"/>
        <v>0.44454303460514638</v>
      </c>
      <c r="AJ517" s="50"/>
      <c r="AK517" s="111"/>
      <c r="AL517" s="23">
        <f t="shared" si="445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46"/>
        <v>2.1520434901806358E-3</v>
      </c>
      <c r="AS517" s="25"/>
      <c r="AT517" s="25"/>
      <c r="AU517" s="24"/>
      <c r="AV517" s="298">
        <f t="shared" si="447"/>
        <v>0.83436236832018829</v>
      </c>
      <c r="AW517" s="298"/>
      <c r="AX517" s="24">
        <f t="shared" si="448"/>
        <v>58904.173228346459</v>
      </c>
      <c r="AY517" s="308"/>
      <c r="AZ517" s="111"/>
      <c r="BA517" s="65">
        <f t="shared" si="449"/>
        <v>2240677</v>
      </c>
      <c r="BB517" s="66"/>
      <c r="BC517" s="66">
        <v>546622139</v>
      </c>
      <c r="BD517" s="66"/>
      <c r="BE517" s="66">
        <f t="shared" si="450"/>
        <v>102375</v>
      </c>
      <c r="BF517" s="66"/>
      <c r="BG517" s="144">
        <f t="shared" si="451"/>
        <v>4.5689316220053136E-2</v>
      </c>
      <c r="BH517" s="66"/>
      <c r="BI517" s="170"/>
      <c r="BJ517" s="66"/>
      <c r="BK517" s="66">
        <f t="shared" si="452"/>
        <v>14481071</v>
      </c>
      <c r="BL517" s="66"/>
      <c r="BM517" s="144">
        <f t="shared" si="453"/>
        <v>4.5880791551950822E-2</v>
      </c>
      <c r="BN517" s="65">
        <f t="shared" si="454"/>
        <v>1076027.8326771653</v>
      </c>
      <c r="BO517" s="66"/>
      <c r="BP517" s="66">
        <f t="shared" si="455"/>
        <v>34956720</v>
      </c>
      <c r="BQ517" s="66"/>
      <c r="BR517" s="435">
        <f t="shared" si="456"/>
        <v>6.3950428469564793E-2</v>
      </c>
      <c r="BS517" s="66"/>
      <c r="BT517" s="75"/>
      <c r="BU517" s="170"/>
      <c r="BV517" s="1"/>
      <c r="BW517" s="61">
        <f t="shared" si="407"/>
        <v>508</v>
      </c>
    </row>
    <row r="518" spans="2:75" x14ac:dyDescent="0.3">
      <c r="B518" s="158">
        <f t="shared" si="406"/>
        <v>44418</v>
      </c>
      <c r="C518" s="61"/>
      <c r="D518" s="17">
        <v>101254</v>
      </c>
      <c r="E518" s="16"/>
      <c r="F518" s="16"/>
      <c r="G518" s="16"/>
      <c r="H518" s="16">
        <f t="shared" si="433"/>
        <v>35964952</v>
      </c>
      <c r="I518" s="16"/>
      <c r="J518" s="436">
        <f t="shared" si="434"/>
        <v>2.8233005977241947E-3</v>
      </c>
      <c r="K518" s="16"/>
      <c r="L518" s="16"/>
      <c r="M518" s="16"/>
      <c r="N518" s="16">
        <f t="shared" si="435"/>
        <v>660899</v>
      </c>
      <c r="O518" s="16">
        <f t="shared" si="436"/>
        <v>70658.05893909627</v>
      </c>
      <c r="P518" s="41"/>
      <c r="Q518" s="17">
        <f t="shared" si="437"/>
        <v>660899</v>
      </c>
      <c r="R518" s="16"/>
      <c r="S518" s="60">
        <f t="shared" si="438"/>
        <v>0.30887158423410399</v>
      </c>
      <c r="T518" s="16"/>
      <c r="U518" s="41"/>
      <c r="V518" s="10">
        <f t="shared" si="356"/>
        <v>410</v>
      </c>
      <c r="W518" s="34">
        <v>657</v>
      </c>
      <c r="X518" s="33">
        <v>4256</v>
      </c>
      <c r="Y518" s="33"/>
      <c r="Z518" s="33">
        <f t="shared" si="439"/>
        <v>2741</v>
      </c>
      <c r="AA518" s="33">
        <f t="shared" si="440"/>
        <v>617058</v>
      </c>
      <c r="AB518" s="33"/>
      <c r="AC518" s="46">
        <f t="shared" si="441"/>
        <v>1.7157203490776242E-2</v>
      </c>
      <c r="AD518" s="33"/>
      <c r="AE518" s="33">
        <f t="shared" si="442"/>
        <v>1212.294695481336</v>
      </c>
      <c r="AF518" s="50"/>
      <c r="AG518" s="33">
        <f t="shared" si="443"/>
        <v>3397</v>
      </c>
      <c r="AH518" s="33">
        <f t="shared" si="432"/>
        <v>1157588968.060914</v>
      </c>
      <c r="AI518" s="213">
        <f t="shared" si="444"/>
        <v>0.39736733854380912</v>
      </c>
      <c r="AJ518" s="50"/>
      <c r="AK518" s="111"/>
      <c r="AL518" s="23">
        <f t="shared" si="445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46"/>
        <v>1.4370397402427271E-3</v>
      </c>
      <c r="AS518" s="25"/>
      <c r="AT518" s="25"/>
      <c r="AU518" s="24"/>
      <c r="AV518" s="298">
        <f t="shared" si="447"/>
        <v>0.83320898078774019</v>
      </c>
      <c r="AW518" s="298"/>
      <c r="AX518" s="24">
        <f t="shared" si="448"/>
        <v>58872.929273084483</v>
      </c>
      <c r="AY518" s="308"/>
      <c r="AZ518" s="111"/>
      <c r="BA518" s="65">
        <f t="shared" si="449"/>
        <v>1026783</v>
      </c>
      <c r="BB518" s="66"/>
      <c r="BC518" s="66">
        <v>547648922</v>
      </c>
      <c r="BD518" s="66"/>
      <c r="BE518" s="66">
        <f t="shared" si="450"/>
        <v>101254</v>
      </c>
      <c r="BF518" s="66"/>
      <c r="BG518" s="144">
        <f t="shared" si="451"/>
        <v>9.8612851985278291E-2</v>
      </c>
      <c r="BH518" s="66"/>
      <c r="BI518" s="170"/>
      <c r="BJ518" s="66"/>
      <c r="BK518" s="66">
        <f t="shared" si="452"/>
        <v>8423604</v>
      </c>
      <c r="BL518" s="66"/>
      <c r="BM518" s="144">
        <f t="shared" si="453"/>
        <v>7.845798544186075E-2</v>
      </c>
      <c r="BN518" s="65">
        <f t="shared" si="454"/>
        <v>1075931.0844793713</v>
      </c>
      <c r="BO518" s="66"/>
      <c r="BP518" s="66">
        <f t="shared" si="455"/>
        <v>35057974</v>
      </c>
      <c r="BQ518" s="66"/>
      <c r="BR518" s="435">
        <f t="shared" si="456"/>
        <v>6.4015416796529362E-2</v>
      </c>
      <c r="BS518" s="66"/>
      <c r="BT518" s="75"/>
      <c r="BU518" s="170"/>
      <c r="BV518" s="1"/>
      <c r="BW518" s="61">
        <f t="shared" si="407"/>
        <v>509</v>
      </c>
    </row>
    <row r="519" spans="2:75" x14ac:dyDescent="0.3">
      <c r="B519" s="158">
        <f t="shared" ref="B519:B621" si="457">1+B518</f>
        <v>44419</v>
      </c>
      <c r="C519" s="61"/>
      <c r="D519" s="17">
        <v>144635</v>
      </c>
      <c r="E519" s="16"/>
      <c r="F519" s="16"/>
      <c r="G519" s="16"/>
      <c r="H519" s="16">
        <f t="shared" si="433"/>
        <v>36109587</v>
      </c>
      <c r="I519" s="16"/>
      <c r="J519" s="436">
        <f t="shared" si="434"/>
        <v>4.021554095220258E-3</v>
      </c>
      <c r="K519" s="16"/>
      <c r="L519" s="16"/>
      <c r="M519" s="16"/>
      <c r="N519" s="16">
        <f t="shared" si="435"/>
        <v>693255</v>
      </c>
      <c r="O519" s="16">
        <f t="shared" si="436"/>
        <v>70803.111764705885</v>
      </c>
      <c r="P519" s="41"/>
      <c r="Q519" s="17">
        <f t="shared" si="437"/>
        <v>693255</v>
      </c>
      <c r="R519" s="16"/>
      <c r="S519" s="60">
        <f t="shared" si="438"/>
        <v>0.30144006848350707</v>
      </c>
      <c r="T519" s="16"/>
      <c r="U519" s="41"/>
      <c r="V519" s="10">
        <f t="shared" si="356"/>
        <v>411</v>
      </c>
      <c r="W519" s="34">
        <v>614</v>
      </c>
      <c r="X519" s="33">
        <v>4256</v>
      </c>
      <c r="Y519" s="33"/>
      <c r="Z519" s="33">
        <f t="shared" si="439"/>
        <v>2796</v>
      </c>
      <c r="AA519" s="33">
        <f t="shared" si="440"/>
        <v>617672</v>
      </c>
      <c r="AB519" s="33"/>
      <c r="AC519" s="46">
        <f t="shared" si="441"/>
        <v>1.7105485033656019E-2</v>
      </c>
      <c r="AD519" s="33"/>
      <c r="AE519" s="33">
        <f t="shared" si="442"/>
        <v>1211.1215686274509</v>
      </c>
      <c r="AF519" s="50"/>
      <c r="AG519" s="33">
        <f t="shared" si="443"/>
        <v>3355</v>
      </c>
      <c r="AH519" s="33">
        <f t="shared" si="432"/>
        <v>1157568972.060914</v>
      </c>
      <c r="AI519" s="213">
        <f t="shared" si="444"/>
        <v>0.28840245775729645</v>
      </c>
      <c r="AJ519" s="50"/>
      <c r="AK519" s="111"/>
      <c r="AL519" s="23">
        <f t="shared" si="445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46"/>
        <v>2.7945706114541054E-3</v>
      </c>
      <c r="AS519" s="25"/>
      <c r="AT519" s="25"/>
      <c r="AU519" s="24"/>
      <c r="AV519" s="298">
        <f t="shared" si="447"/>
        <v>0.83219074203202603</v>
      </c>
      <c r="AW519" s="298"/>
      <c r="AX519" s="24">
        <f t="shared" si="448"/>
        <v>58921.694117647057</v>
      </c>
      <c r="AY519" s="308"/>
      <c r="AZ519" s="111"/>
      <c r="BA519" s="65">
        <f t="shared" si="449"/>
        <v>3442163</v>
      </c>
      <c r="BB519" s="66"/>
      <c r="BC519" s="66">
        <v>551091085</v>
      </c>
      <c r="BD519" s="66"/>
      <c r="BE519" s="66">
        <f t="shared" si="450"/>
        <v>144635</v>
      </c>
      <c r="BF519" s="66"/>
      <c r="BG519" s="144">
        <f t="shared" si="451"/>
        <v>4.2018637699609229E-2</v>
      </c>
      <c r="BH519" s="66"/>
      <c r="BI519" s="170"/>
      <c r="BJ519" s="66"/>
      <c r="BK519" s="66">
        <f t="shared" si="452"/>
        <v>10708736</v>
      </c>
      <c r="BL519" s="66"/>
      <c r="BM519" s="144">
        <f t="shared" si="453"/>
        <v>6.4737332211756829E-2</v>
      </c>
      <c r="BN519" s="65">
        <f t="shared" si="454"/>
        <v>1080570.7549019607</v>
      </c>
      <c r="BO519" s="66"/>
      <c r="BP519" s="66">
        <f t="shared" si="455"/>
        <v>35202609</v>
      </c>
      <c r="BQ519" s="66"/>
      <c r="BR519" s="435">
        <f t="shared" si="456"/>
        <v>6.387802299505535E-2</v>
      </c>
      <c r="BS519" s="66"/>
      <c r="BT519" s="75"/>
      <c r="BU519" s="170"/>
      <c r="BV519" s="1"/>
      <c r="BW519" s="61">
        <f t="shared" si="407"/>
        <v>510</v>
      </c>
    </row>
    <row r="520" spans="2:75" x14ac:dyDescent="0.3">
      <c r="B520" s="158">
        <f t="shared" si="457"/>
        <v>44420</v>
      </c>
      <c r="C520" s="61"/>
      <c r="D520" s="17">
        <v>143537</v>
      </c>
      <c r="E520" s="16"/>
      <c r="F520" s="16"/>
      <c r="G520" s="16"/>
      <c r="H520" s="16">
        <f t="shared" si="433"/>
        <v>36253124</v>
      </c>
      <c r="I520" s="16"/>
      <c r="J520" s="436">
        <f t="shared" si="434"/>
        <v>3.975038540318946E-3</v>
      </c>
      <c r="K520" s="16"/>
      <c r="L520" s="16"/>
      <c r="M520" s="16"/>
      <c r="N520" s="16">
        <f t="shared" si="435"/>
        <v>715847</v>
      </c>
      <c r="O520" s="16">
        <f t="shared" si="436"/>
        <v>70945.448140900189</v>
      </c>
      <c r="P520" s="41"/>
      <c r="Q520" s="17">
        <f t="shared" si="437"/>
        <v>715847</v>
      </c>
      <c r="R520" s="16"/>
      <c r="S520" s="60">
        <f t="shared" si="438"/>
        <v>0.2578248684360806</v>
      </c>
      <c r="T520" s="16"/>
      <c r="U520" s="41"/>
      <c r="V520" s="10">
        <f t="shared" si="356"/>
        <v>412</v>
      </c>
      <c r="W520" s="34">
        <v>660</v>
      </c>
      <c r="X520" s="33">
        <v>4256</v>
      </c>
      <c r="Y520" s="33"/>
      <c r="Z520" s="33">
        <f t="shared" si="439"/>
        <v>2706</v>
      </c>
      <c r="AA520" s="33">
        <f t="shared" si="440"/>
        <v>618332</v>
      </c>
      <c r="AB520" s="33"/>
      <c r="AC520" s="46">
        <f t="shared" si="441"/>
        <v>1.7055964611491135E-2</v>
      </c>
      <c r="AD520" s="33"/>
      <c r="AE520" s="33">
        <f t="shared" si="442"/>
        <v>1210.0430528375734</v>
      </c>
      <c r="AF520" s="50"/>
      <c r="AG520" s="33">
        <f t="shared" si="443"/>
        <v>3456</v>
      </c>
      <c r="AH520" s="33">
        <f t="shared" si="432"/>
        <v>1157529218.060914</v>
      </c>
      <c r="AI520" s="213">
        <f t="shared" si="444"/>
        <v>0.29051530993278568</v>
      </c>
      <c r="AJ520" s="50"/>
      <c r="AK520" s="111"/>
      <c r="AL520" s="23">
        <f t="shared" si="445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46"/>
        <v>1.5918102537152666E-3</v>
      </c>
      <c r="AS520" s="25"/>
      <c r="AT520" s="25"/>
      <c r="AU520" s="24"/>
      <c r="AV520" s="298">
        <f t="shared" si="447"/>
        <v>0.83021529399783589</v>
      </c>
      <c r="AW520" s="298"/>
      <c r="AX520" s="24">
        <f t="shared" si="448"/>
        <v>58899.996086105675</v>
      </c>
      <c r="AY520" s="308"/>
      <c r="AZ520" s="111"/>
      <c r="BA520" s="65">
        <f t="shared" si="449"/>
        <v>1317096</v>
      </c>
      <c r="BB520" s="66"/>
      <c r="BC520" s="66">
        <v>552408181</v>
      </c>
      <c r="BD520" s="66"/>
      <c r="BE520" s="66">
        <f t="shared" si="450"/>
        <v>143537</v>
      </c>
      <c r="BF520" s="66"/>
      <c r="BG520" s="144">
        <f t="shared" si="451"/>
        <v>0.10897990731123623</v>
      </c>
      <c r="BH520" s="66"/>
      <c r="BI520" s="170"/>
      <c r="BJ520" s="66"/>
      <c r="BK520" s="66">
        <f t="shared" si="452"/>
        <v>10925219</v>
      </c>
      <c r="BL520" s="66"/>
      <c r="BM520" s="144">
        <f t="shared" si="453"/>
        <v>6.5522439412884992E-2</v>
      </c>
      <c r="BN520" s="65">
        <f t="shared" si="454"/>
        <v>1081033.6223091977</v>
      </c>
      <c r="BO520" s="66"/>
      <c r="BP520" s="66">
        <f t="shared" si="455"/>
        <v>35346146</v>
      </c>
      <c r="BQ520" s="66"/>
      <c r="BR520" s="435">
        <f t="shared" si="456"/>
        <v>6.3985558533934894E-2</v>
      </c>
      <c r="BS520" s="66"/>
      <c r="BT520" s="75"/>
      <c r="BU520" s="170"/>
      <c r="BV520" s="1"/>
      <c r="BW520" s="61">
        <f t="shared" si="407"/>
        <v>511</v>
      </c>
    </row>
    <row r="521" spans="2:75" x14ac:dyDescent="0.3">
      <c r="B521" s="158">
        <f t="shared" si="457"/>
        <v>44421</v>
      </c>
      <c r="C521" s="61"/>
      <c r="D521" s="17">
        <v>155297</v>
      </c>
      <c r="E521" s="16"/>
      <c r="F521" s="16"/>
      <c r="G521" s="16"/>
      <c r="H521" s="16">
        <f t="shared" si="433"/>
        <v>36408421</v>
      </c>
      <c r="I521" s="16"/>
      <c r="J521" s="436">
        <f t="shared" si="434"/>
        <v>4.2836860073079495E-3</v>
      </c>
      <c r="K521" s="16"/>
      <c r="L521" s="16"/>
      <c r="M521" s="16"/>
      <c r="N521" s="16">
        <f t="shared" si="435"/>
        <v>740438</v>
      </c>
      <c r="O521" s="16">
        <f t="shared" si="436"/>
        <v>71110.197265625</v>
      </c>
      <c r="P521" s="41"/>
      <c r="Q521" s="17">
        <f t="shared" si="437"/>
        <v>740438</v>
      </c>
      <c r="R521" s="16"/>
      <c r="S521" s="60">
        <f t="shared" si="438"/>
        <v>0.23669543344752081</v>
      </c>
      <c r="T521" s="16"/>
      <c r="U521" s="41"/>
      <c r="V521" s="10">
        <f t="shared" si="356"/>
        <v>413</v>
      </c>
      <c r="W521" s="34">
        <v>769</v>
      </c>
      <c r="X521" s="33">
        <v>4256</v>
      </c>
      <c r="Y521" s="33"/>
      <c r="Z521" s="33">
        <f t="shared" si="439"/>
        <v>3155</v>
      </c>
      <c r="AA521" s="33">
        <f t="shared" si="440"/>
        <v>619101</v>
      </c>
      <c r="AB521" s="33"/>
      <c r="AC521" s="46">
        <f t="shared" si="441"/>
        <v>1.7004335343188876E-2</v>
      </c>
      <c r="AD521" s="33"/>
      <c r="AE521" s="33">
        <f t="shared" si="442"/>
        <v>1209.181640625</v>
      </c>
      <c r="AF521" s="50"/>
      <c r="AG521" s="33">
        <f t="shared" si="443"/>
        <v>3475</v>
      </c>
      <c r="AH521" s="33">
        <f t="shared" si="432"/>
        <v>1157493771.060914</v>
      </c>
      <c r="AI521" s="213">
        <f t="shared" si="444"/>
        <v>0.1587195731910637</v>
      </c>
      <c r="AJ521" s="50"/>
      <c r="AK521" s="111"/>
      <c r="AL521" s="23">
        <f t="shared" si="445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46"/>
        <v>1.0696428036270174E-3</v>
      </c>
      <c r="AS521" s="25"/>
      <c r="AT521" s="25"/>
      <c r="AU521" s="24"/>
      <c r="AV521" s="298">
        <f t="shared" si="447"/>
        <v>0.82755832778356408</v>
      </c>
      <c r="AW521" s="298"/>
      <c r="AX521" s="24">
        <f t="shared" si="448"/>
        <v>58847.8359375</v>
      </c>
      <c r="AY521" s="308"/>
      <c r="AZ521" s="111"/>
      <c r="BA521" s="65">
        <f t="shared" si="449"/>
        <v>1559142</v>
      </c>
      <c r="BB521" s="66"/>
      <c r="BC521" s="66">
        <v>553967323</v>
      </c>
      <c r="BD521" s="66"/>
      <c r="BE521" s="66">
        <f t="shared" si="450"/>
        <v>155297</v>
      </c>
      <c r="BF521" s="66"/>
      <c r="BG521" s="144">
        <f t="shared" si="451"/>
        <v>9.9604141252047598E-2</v>
      </c>
      <c r="BH521" s="66"/>
      <c r="BI521" s="170"/>
      <c r="BJ521" s="66"/>
      <c r="BK521" s="66">
        <f t="shared" si="452"/>
        <v>11075476</v>
      </c>
      <c r="BL521" s="66"/>
      <c r="BM521" s="144">
        <f t="shared" si="453"/>
        <v>6.6853830932413205E-2</v>
      </c>
      <c r="BN521" s="65">
        <f t="shared" si="454"/>
        <v>1081967.427734375</v>
      </c>
      <c r="BO521" s="66"/>
      <c r="BP521" s="66">
        <f t="shared" si="455"/>
        <v>35501443</v>
      </c>
      <c r="BQ521" s="66"/>
      <c r="BR521" s="435">
        <f t="shared" si="456"/>
        <v>6.408580709732585E-2</v>
      </c>
      <c r="BS521" s="66"/>
      <c r="BT521" s="75"/>
      <c r="BU521" s="170"/>
      <c r="BV521" s="1"/>
      <c r="BW521" s="61">
        <f t="shared" si="407"/>
        <v>512</v>
      </c>
    </row>
    <row r="522" spans="2:75" x14ac:dyDescent="0.3">
      <c r="B522" s="158">
        <f t="shared" si="457"/>
        <v>44422</v>
      </c>
      <c r="C522" s="61"/>
      <c r="D522" s="17">
        <v>71135</v>
      </c>
      <c r="E522" s="16"/>
      <c r="F522" s="16"/>
      <c r="G522" s="16"/>
      <c r="H522" s="16">
        <f t="shared" si="433"/>
        <v>36479556</v>
      </c>
      <c r="I522" s="16"/>
      <c r="J522" s="436">
        <f t="shared" si="434"/>
        <v>1.953806236200136E-3</v>
      </c>
      <c r="K522" s="16"/>
      <c r="L522" s="16"/>
      <c r="M522" s="16"/>
      <c r="N522" s="16">
        <f t="shared" si="435"/>
        <v>742623</v>
      </c>
      <c r="O522" s="16">
        <f t="shared" si="436"/>
        <v>71110.245614035084</v>
      </c>
      <c r="P522" s="41"/>
      <c r="Q522" s="17">
        <f t="shared" si="437"/>
        <v>742623</v>
      </c>
      <c r="R522" s="16"/>
      <c r="S522" s="60">
        <f t="shared" si="438"/>
        <v>0.20599732044983962</v>
      </c>
      <c r="T522" s="16"/>
      <c r="U522" s="41"/>
      <c r="V522" s="10">
        <f t="shared" si="356"/>
        <v>414</v>
      </c>
      <c r="W522" s="34">
        <v>258</v>
      </c>
      <c r="X522" s="33">
        <v>4256</v>
      </c>
      <c r="Y522" s="33"/>
      <c r="Z522" s="33">
        <f t="shared" si="439"/>
        <v>3284</v>
      </c>
      <c r="AA522" s="33">
        <f t="shared" si="440"/>
        <v>619359</v>
      </c>
      <c r="AB522" s="33"/>
      <c r="AC522" s="46">
        <f t="shared" si="441"/>
        <v>1.6978249406325013E-2</v>
      </c>
      <c r="AD522" s="33"/>
      <c r="AE522" s="33">
        <f t="shared" si="442"/>
        <v>1207.327485380117</v>
      </c>
      <c r="AF522" s="50"/>
      <c r="AG522" s="33">
        <f t="shared" si="443"/>
        <v>3413</v>
      </c>
      <c r="AH522" s="33">
        <f t="shared" si="432"/>
        <v>1157457097.060914</v>
      </c>
      <c r="AI522" s="213">
        <f t="shared" si="444"/>
        <v>0.10883690708252111</v>
      </c>
      <c r="AJ522" s="50"/>
      <c r="AK522" s="111"/>
      <c r="AL522" s="23">
        <f t="shared" si="445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46"/>
        <v>4.8181067618379656E-4</v>
      </c>
      <c r="AS522" s="25"/>
      <c r="AT522" s="25"/>
      <c r="AU522" s="24"/>
      <c r="AV522" s="298">
        <f t="shared" si="447"/>
        <v>0.82634254101118998</v>
      </c>
      <c r="AW522" s="298"/>
      <c r="AX522" s="24">
        <f t="shared" si="448"/>
        <v>58761.42105263158</v>
      </c>
      <c r="AY522" s="308"/>
      <c r="AZ522" s="111"/>
      <c r="BA522" s="65">
        <f t="shared" si="449"/>
        <v>775678</v>
      </c>
      <c r="BB522" s="66"/>
      <c r="BC522" s="66">
        <v>554743001</v>
      </c>
      <c r="BD522" s="66"/>
      <c r="BE522" s="66">
        <f t="shared" si="450"/>
        <v>71135</v>
      </c>
      <c r="BF522" s="66"/>
      <c r="BG522" s="144">
        <f t="shared" si="451"/>
        <v>9.1706868056074808E-2</v>
      </c>
      <c r="BH522" s="66"/>
      <c r="BI522" s="170"/>
      <c r="BJ522" s="66"/>
      <c r="BK522" s="66">
        <f t="shared" si="452"/>
        <v>11014420</v>
      </c>
      <c r="BL522" s="66"/>
      <c r="BM522" s="144">
        <f t="shared" si="453"/>
        <v>6.7422796661104262E-2</v>
      </c>
      <c r="BN522" s="65">
        <f t="shared" si="454"/>
        <v>1081370.3723196881</v>
      </c>
      <c r="BO522" s="66"/>
      <c r="BP522" s="66">
        <f t="shared" si="455"/>
        <v>35572578</v>
      </c>
      <c r="BQ522" s="66"/>
      <c r="BR522" s="435">
        <f t="shared" si="456"/>
        <v>6.4124428673954556E-2</v>
      </c>
      <c r="BS522" s="66"/>
      <c r="BT522" s="75"/>
      <c r="BU522" s="170"/>
      <c r="BV522" s="1"/>
      <c r="BW522" s="61">
        <f t="shared" si="407"/>
        <v>513</v>
      </c>
    </row>
    <row r="523" spans="2:75" x14ac:dyDescent="0.3">
      <c r="B523" s="347">
        <f t="shared" si="457"/>
        <v>44423</v>
      </c>
      <c r="C523" s="61"/>
      <c r="D523" s="17">
        <v>30883</v>
      </c>
      <c r="E523" s="16"/>
      <c r="F523" s="16"/>
      <c r="G523" s="16"/>
      <c r="H523" s="16">
        <f t="shared" si="433"/>
        <v>36510439</v>
      </c>
      <c r="I523" s="16"/>
      <c r="J523" s="436">
        <f t="shared" si="434"/>
        <v>8.4658376872788694E-4</v>
      </c>
      <c r="K523" s="16"/>
      <c r="L523" s="16"/>
      <c r="M523" s="16"/>
      <c r="N523" s="16">
        <f t="shared" si="435"/>
        <v>749116</v>
      </c>
      <c r="O523" s="16">
        <f t="shared" si="436"/>
        <v>71031.982490272378</v>
      </c>
      <c r="P523" s="41"/>
      <c r="Q523" s="17">
        <f t="shared" si="437"/>
        <v>749116</v>
      </c>
      <c r="R523" s="16"/>
      <c r="S523" s="60">
        <f t="shared" si="438"/>
        <v>0.21138362572910283</v>
      </c>
      <c r="T523" s="16"/>
      <c r="U523" s="41"/>
      <c r="V523" s="10">
        <f t="shared" si="356"/>
        <v>415</v>
      </c>
      <c r="W523" s="34">
        <v>122</v>
      </c>
      <c r="X523" s="33">
        <v>4256</v>
      </c>
      <c r="Y523" s="33"/>
      <c r="Z523" s="33">
        <f t="shared" si="439"/>
        <v>3080</v>
      </c>
      <c r="AA523" s="33">
        <f t="shared" si="440"/>
        <v>619481</v>
      </c>
      <c r="AB523" s="33"/>
      <c r="AC523" s="46">
        <f t="shared" si="441"/>
        <v>1.6967229564125483E-2</v>
      </c>
      <c r="AD523" s="33"/>
      <c r="AE523" s="33">
        <f t="shared" si="442"/>
        <v>1205.215953307393</v>
      </c>
      <c r="AF523" s="50"/>
      <c r="AG523" s="33">
        <f t="shared" si="443"/>
        <v>3406</v>
      </c>
      <c r="AH523" s="33">
        <f t="shared" si="432"/>
        <v>1157416568.060914</v>
      </c>
      <c r="AI523" s="213">
        <f t="shared" si="444"/>
        <v>8.3678014635698378E-2</v>
      </c>
      <c r="AJ523" s="50"/>
      <c r="AK523" s="111"/>
      <c r="AL523" s="23">
        <f t="shared" si="445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46"/>
        <v>2.9746612404227903E-4</v>
      </c>
      <c r="AS523" s="25"/>
      <c r="AT523" s="25"/>
      <c r="AU523" s="24"/>
      <c r="AV523" s="298">
        <f t="shared" si="447"/>
        <v>0.82588916556166303</v>
      </c>
      <c r="AW523" s="298"/>
      <c r="AX523" s="24">
        <f t="shared" si="448"/>
        <v>58664.544747081709</v>
      </c>
      <c r="AY523" s="308"/>
      <c r="AZ523" s="111"/>
      <c r="BA523" s="65">
        <f t="shared" si="449"/>
        <v>690474</v>
      </c>
      <c r="BB523" s="66"/>
      <c r="BC523" s="66">
        <v>555433475</v>
      </c>
      <c r="BD523" s="66"/>
      <c r="BE523" s="66">
        <f t="shared" si="450"/>
        <v>30883</v>
      </c>
      <c r="BF523" s="66"/>
      <c r="BG523" s="144">
        <f t="shared" si="451"/>
        <v>4.4727245341605909E-2</v>
      </c>
      <c r="BH523" s="66"/>
      <c r="BI523" s="170"/>
      <c r="BJ523" s="66"/>
      <c r="BK523" s="66">
        <f t="shared" si="452"/>
        <v>11052013</v>
      </c>
      <c r="BL523" s="66"/>
      <c r="BM523" s="144">
        <f t="shared" si="453"/>
        <v>6.7780955378897945E-2</v>
      </c>
      <c r="BN523" s="65">
        <f t="shared" si="454"/>
        <v>1080609.8735408559</v>
      </c>
      <c r="BO523" s="66"/>
      <c r="BP523" s="66">
        <f t="shared" si="455"/>
        <v>35603461</v>
      </c>
      <c r="BQ523" s="66"/>
      <c r="BR523" s="435">
        <f t="shared" si="456"/>
        <v>6.4100315523834786E-2</v>
      </c>
      <c r="BS523" s="66"/>
      <c r="BT523" s="75"/>
      <c r="BU523" s="170"/>
      <c r="BV523" s="1"/>
      <c r="BW523" s="61">
        <f t="shared" si="407"/>
        <v>514</v>
      </c>
    </row>
    <row r="524" spans="2:75" x14ac:dyDescent="0.3">
      <c r="B524" s="158">
        <f t="shared" si="457"/>
        <v>44424</v>
      </c>
      <c r="C524" s="61"/>
      <c r="D524" s="17">
        <v>103697</v>
      </c>
      <c r="E524" s="16"/>
      <c r="F524" s="16"/>
      <c r="G524" s="16"/>
      <c r="H524" s="16">
        <f t="shared" si="433"/>
        <v>36614136</v>
      </c>
      <c r="I524" s="16"/>
      <c r="J524" s="436">
        <f t="shared" si="434"/>
        <v>2.8402014010294424E-3</v>
      </c>
      <c r="K524" s="16"/>
      <c r="L524" s="16"/>
      <c r="M524" s="16"/>
      <c r="N524" s="16">
        <f t="shared" si="435"/>
        <v>750438</v>
      </c>
      <c r="O524" s="16">
        <f t="shared" si="436"/>
        <v>71095.409708737861</v>
      </c>
      <c r="P524" s="41"/>
      <c r="Q524" s="17">
        <f t="shared" si="437"/>
        <v>750438</v>
      </c>
      <c r="R524" s="16"/>
      <c r="S524" s="60">
        <f t="shared" si="438"/>
        <v>0.12949219073363605</v>
      </c>
      <c r="T524" s="16"/>
      <c r="U524" s="41"/>
      <c r="V524" s="10">
        <f t="shared" si="356"/>
        <v>416</v>
      </c>
      <c r="W524" s="34">
        <v>308</v>
      </c>
      <c r="X524" s="33">
        <v>4256</v>
      </c>
      <c r="Y524" s="33"/>
      <c r="Z524" s="33">
        <f t="shared" si="439"/>
        <v>2731</v>
      </c>
      <c r="AA524" s="33">
        <f t="shared" si="440"/>
        <v>619789</v>
      </c>
      <c r="AB524" s="33"/>
      <c r="AC524" s="46">
        <f t="shared" si="441"/>
        <v>1.692758774916879E-2</v>
      </c>
      <c r="AD524" s="33"/>
      <c r="AE524" s="33">
        <f t="shared" si="442"/>
        <v>1203.473786407767</v>
      </c>
      <c r="AF524" s="50"/>
      <c r="AG524" s="33">
        <f t="shared" si="443"/>
        <v>3388</v>
      </c>
      <c r="AH524" s="33">
        <f t="shared" si="432"/>
        <v>1157392487.060914</v>
      </c>
      <c r="AI524" s="213">
        <f t="shared" si="444"/>
        <v>4.0540540540540543E-2</v>
      </c>
      <c r="AJ524" s="50"/>
      <c r="AK524" s="111"/>
      <c r="AL524" s="23">
        <f t="shared" si="445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46"/>
        <v>2.4450168033138091E-3</v>
      </c>
      <c r="AS524" s="25"/>
      <c r="AT524" s="25"/>
      <c r="AU524" s="24"/>
      <c r="AV524" s="298">
        <f t="shared" si="447"/>
        <v>0.82556371123983374</v>
      </c>
      <c r="AW524" s="298"/>
      <c r="AX524" s="24">
        <f t="shared" si="448"/>
        <v>58693.790291262136</v>
      </c>
      <c r="AY524" s="308"/>
      <c r="AZ524" s="111"/>
      <c r="BA524" s="65">
        <f t="shared" si="449"/>
        <v>2711353</v>
      </c>
      <c r="BB524" s="66"/>
      <c r="BC524" s="66">
        <v>558144828</v>
      </c>
      <c r="BD524" s="66"/>
      <c r="BE524" s="66">
        <f t="shared" si="450"/>
        <v>103697</v>
      </c>
      <c r="BF524" s="66"/>
      <c r="BG524" s="144">
        <f t="shared" si="451"/>
        <v>3.824548113063847E-2</v>
      </c>
      <c r="BH524" s="66"/>
      <c r="BI524" s="170"/>
      <c r="BJ524" s="66"/>
      <c r="BK524" s="66">
        <f t="shared" si="452"/>
        <v>11522689</v>
      </c>
      <c r="BL524" s="66"/>
      <c r="BM524" s="144">
        <f t="shared" si="453"/>
        <v>6.5126985549987512E-2</v>
      </c>
      <c r="BN524" s="65">
        <f t="shared" si="454"/>
        <v>1083776.3650485438</v>
      </c>
      <c r="BO524" s="66"/>
      <c r="BP524" s="66">
        <f t="shared" si="455"/>
        <v>35707158</v>
      </c>
      <c r="BQ524" s="66"/>
      <c r="BR524" s="435">
        <f t="shared" si="456"/>
        <v>6.3974718045761408E-2</v>
      </c>
      <c r="BS524" s="66"/>
      <c r="BT524" s="75"/>
      <c r="BU524" s="170"/>
      <c r="BV524" s="1"/>
      <c r="BW524" s="61">
        <f t="shared" si="407"/>
        <v>515</v>
      </c>
    </row>
    <row r="525" spans="2:75" x14ac:dyDescent="0.3">
      <c r="B525" s="158">
        <f t="shared" si="457"/>
        <v>44425</v>
      </c>
      <c r="C525" s="61"/>
      <c r="D525" s="17">
        <v>144294</v>
      </c>
      <c r="E525" s="16"/>
      <c r="F525" s="16"/>
      <c r="G525" s="16"/>
      <c r="H525" s="16">
        <f t="shared" si="433"/>
        <v>36758430</v>
      </c>
      <c r="I525" s="16"/>
      <c r="J525" s="436">
        <f t="shared" si="434"/>
        <v>3.9409369102687553E-3</v>
      </c>
      <c r="K525" s="16"/>
      <c r="L525" s="16"/>
      <c r="M525" s="16"/>
      <c r="N525" s="16">
        <f t="shared" si="435"/>
        <v>793478</v>
      </c>
      <c r="O525" s="16">
        <f t="shared" si="436"/>
        <v>71237.267441860458</v>
      </c>
      <c r="P525" s="41"/>
      <c r="Q525" s="17">
        <f t="shared" si="437"/>
        <v>793478</v>
      </c>
      <c r="R525" s="16"/>
      <c r="S525" s="60">
        <f t="shared" si="438"/>
        <v>0.2006040257285909</v>
      </c>
      <c r="T525" s="16"/>
      <c r="U525" s="41"/>
      <c r="V525" s="10">
        <f t="shared" si="356"/>
        <v>417</v>
      </c>
      <c r="W525" s="34">
        <v>945</v>
      </c>
      <c r="X525" s="33">
        <v>4256</v>
      </c>
      <c r="Y525" s="33"/>
      <c r="Z525" s="33">
        <f t="shared" si="439"/>
        <v>3062</v>
      </c>
      <c r="AA525" s="33">
        <f t="shared" si="440"/>
        <v>620734</v>
      </c>
      <c r="AB525" s="33"/>
      <c r="AC525" s="46">
        <f t="shared" si="441"/>
        <v>1.6886847452407514E-2</v>
      </c>
      <c r="AD525" s="33"/>
      <c r="AE525" s="33">
        <f t="shared" si="442"/>
        <v>1202.9728682170542</v>
      </c>
      <c r="AF525" s="50"/>
      <c r="AG525" s="33">
        <f t="shared" si="443"/>
        <v>3676</v>
      </c>
      <c r="AH525" s="33">
        <f t="shared" si="432"/>
        <v>1157370209.060914</v>
      </c>
      <c r="AI525" s="213">
        <f t="shared" si="444"/>
        <v>8.2131292316750079E-2</v>
      </c>
      <c r="AJ525" s="50"/>
      <c r="AK525" s="111"/>
      <c r="AL525" s="23">
        <f t="shared" si="445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46"/>
        <v>2.159736254330605E-3</v>
      </c>
      <c r="AS525" s="25"/>
      <c r="AT525" s="25"/>
      <c r="AU525" s="24"/>
      <c r="AV525" s="298">
        <f t="shared" si="447"/>
        <v>0.82409898899381717</v>
      </c>
      <c r="AW525" s="298"/>
      <c r="AX525" s="24">
        <f t="shared" si="448"/>
        <v>58706.560077519382</v>
      </c>
      <c r="AY525" s="308"/>
      <c r="AZ525" s="111"/>
      <c r="BA525" s="65">
        <f t="shared" si="449"/>
        <v>2301291</v>
      </c>
      <c r="BB525" s="66"/>
      <c r="BC525" s="66">
        <v>560446119</v>
      </c>
      <c r="BD525" s="66"/>
      <c r="BE525" s="66">
        <f t="shared" si="450"/>
        <v>144294</v>
      </c>
      <c r="BF525" s="66"/>
      <c r="BG525" s="144">
        <f t="shared" si="451"/>
        <v>6.2701327211552124E-2</v>
      </c>
      <c r="BH525" s="66"/>
      <c r="BI525" s="170"/>
      <c r="BJ525" s="66"/>
      <c r="BK525" s="66">
        <f t="shared" si="452"/>
        <v>12797197</v>
      </c>
      <c r="BL525" s="66"/>
      <c r="BM525" s="144">
        <f t="shared" si="453"/>
        <v>6.2004046667406935E-2</v>
      </c>
      <c r="BN525" s="65">
        <f t="shared" si="454"/>
        <v>1086135.8895348837</v>
      </c>
      <c r="BO525" s="66"/>
      <c r="BP525" s="66">
        <f t="shared" si="455"/>
        <v>35851452</v>
      </c>
      <c r="BQ525" s="66"/>
      <c r="BR525" s="435">
        <f t="shared" si="456"/>
        <v>6.3969489277523217E-2</v>
      </c>
      <c r="BS525" s="66"/>
      <c r="BT525" s="75"/>
      <c r="BU525" s="170"/>
      <c r="BV525" s="1"/>
      <c r="BW525" s="61">
        <f t="shared" si="407"/>
        <v>516</v>
      </c>
    </row>
    <row r="526" spans="2:75" x14ac:dyDescent="0.3">
      <c r="B526" s="158">
        <f t="shared" si="457"/>
        <v>44426</v>
      </c>
      <c r="C526" s="61"/>
      <c r="D526" s="17">
        <v>158127</v>
      </c>
      <c r="E526" s="16"/>
      <c r="F526" s="16"/>
      <c r="G526" s="16"/>
      <c r="H526" s="16">
        <f t="shared" si="433"/>
        <v>36916557</v>
      </c>
      <c r="I526" s="16"/>
      <c r="J526" s="436">
        <f t="shared" si="434"/>
        <v>4.3017887325437999E-3</v>
      </c>
      <c r="K526" s="16"/>
      <c r="L526" s="16"/>
      <c r="M526" s="16"/>
      <c r="N526" s="16">
        <f t="shared" si="435"/>
        <v>806970</v>
      </c>
      <c r="O526" s="16">
        <f t="shared" si="436"/>
        <v>71405.332688588009</v>
      </c>
      <c r="P526" s="41"/>
      <c r="Q526" s="17">
        <f t="shared" si="437"/>
        <v>806970</v>
      </c>
      <c r="R526" s="16"/>
      <c r="S526" s="60">
        <f t="shared" si="438"/>
        <v>0.16403055152865828</v>
      </c>
      <c r="T526" s="16"/>
      <c r="U526" s="41"/>
      <c r="V526" s="10">
        <f t="shared" si="356"/>
        <v>418</v>
      </c>
      <c r="W526" s="34">
        <v>1127</v>
      </c>
      <c r="X526" s="33">
        <v>4256</v>
      </c>
      <c r="Y526" s="33"/>
      <c r="Z526" s="33">
        <f t="shared" si="439"/>
        <v>3529</v>
      </c>
      <c r="AA526" s="33">
        <f t="shared" si="440"/>
        <v>621861</v>
      </c>
      <c r="AB526" s="33"/>
      <c r="AC526" s="46">
        <f t="shared" si="441"/>
        <v>1.6845043268796708E-2</v>
      </c>
      <c r="AD526" s="33"/>
      <c r="AE526" s="33">
        <f t="shared" si="442"/>
        <v>1202.825918762089</v>
      </c>
      <c r="AF526" s="50"/>
      <c r="AG526" s="33">
        <f t="shared" si="443"/>
        <v>4189</v>
      </c>
      <c r="AH526" s="33">
        <f t="shared" si="432"/>
        <v>1157337633.060914</v>
      </c>
      <c r="AI526" s="213">
        <f t="shared" si="444"/>
        <v>0.24858420268256334</v>
      </c>
      <c r="AJ526" s="50"/>
      <c r="AK526" s="111"/>
      <c r="AL526" s="23">
        <f t="shared" si="445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46"/>
        <v>1.6274939890405524E-3</v>
      </c>
      <c r="AS526" s="25"/>
      <c r="AT526" s="25"/>
      <c r="AU526" s="24"/>
      <c r="AV526" s="298">
        <f t="shared" si="447"/>
        <v>0.82190454543201308</v>
      </c>
      <c r="AW526" s="298"/>
      <c r="AX526" s="24">
        <f t="shared" si="448"/>
        <v>58688.367504835587</v>
      </c>
      <c r="AY526" s="308"/>
      <c r="AZ526" s="111"/>
      <c r="BA526" s="65">
        <f t="shared" si="449"/>
        <v>1381861</v>
      </c>
      <c r="BB526" s="66"/>
      <c r="BC526" s="66">
        <v>561827980</v>
      </c>
      <c r="BD526" s="66"/>
      <c r="BE526" s="66">
        <f t="shared" si="450"/>
        <v>158127</v>
      </c>
      <c r="BF526" s="66"/>
      <c r="BG526" s="144">
        <f t="shared" si="451"/>
        <v>0.11443046731907189</v>
      </c>
      <c r="BH526" s="66"/>
      <c r="BI526" s="170"/>
      <c r="BJ526" s="66"/>
      <c r="BK526" s="66">
        <f t="shared" si="452"/>
        <v>10736895</v>
      </c>
      <c r="BL526" s="66"/>
      <c r="BM526" s="144">
        <f t="shared" si="453"/>
        <v>7.5158600321601363E-2</v>
      </c>
      <c r="BN526" s="65">
        <f t="shared" si="454"/>
        <v>1086707.8916827852</v>
      </c>
      <c r="BO526" s="66"/>
      <c r="BP526" s="66">
        <f t="shared" si="455"/>
        <v>36009579</v>
      </c>
      <c r="BQ526" s="66"/>
      <c r="BR526" s="435">
        <f t="shared" si="456"/>
        <v>6.4093602102195057E-2</v>
      </c>
      <c r="BS526" s="66"/>
      <c r="BT526" s="75"/>
      <c r="BU526" s="170"/>
      <c r="BV526" s="1"/>
      <c r="BW526" s="61">
        <f t="shared" si="407"/>
        <v>517</v>
      </c>
    </row>
    <row r="527" spans="2:75" x14ac:dyDescent="0.3">
      <c r="B527" s="158">
        <f t="shared" si="457"/>
        <v>44427</v>
      </c>
      <c r="C527" s="61"/>
      <c r="D527" s="17">
        <v>154917</v>
      </c>
      <c r="E527" s="16"/>
      <c r="F527" s="16"/>
      <c r="G527" s="16"/>
      <c r="H527" s="16">
        <f t="shared" si="433"/>
        <v>37071474</v>
      </c>
      <c r="I527" s="16"/>
      <c r="J527" s="436">
        <f t="shared" si="434"/>
        <v>4.1964097572804527E-3</v>
      </c>
      <c r="K527" s="16"/>
      <c r="L527" s="16"/>
      <c r="M527" s="16"/>
      <c r="N527" s="16">
        <f t="shared" si="435"/>
        <v>818350</v>
      </c>
      <c r="O527" s="16">
        <f t="shared" si="436"/>
        <v>71566.55212355213</v>
      </c>
      <c r="P527" s="41"/>
      <c r="Q527" s="17">
        <f t="shared" si="437"/>
        <v>818350</v>
      </c>
      <c r="R527" s="16"/>
      <c r="S527" s="60">
        <f t="shared" si="438"/>
        <v>0.14319121264739532</v>
      </c>
      <c r="T527" s="16"/>
      <c r="U527" s="41"/>
      <c r="V527" s="10">
        <f t="shared" si="356"/>
        <v>419</v>
      </c>
      <c r="W527" s="34">
        <v>967</v>
      </c>
      <c r="X527" s="33">
        <v>4256</v>
      </c>
      <c r="Y527" s="33"/>
      <c r="Z527" s="33">
        <f t="shared" si="439"/>
        <v>3727</v>
      </c>
      <c r="AA527" s="33">
        <f t="shared" si="440"/>
        <v>622828</v>
      </c>
      <c r="AB527" s="33"/>
      <c r="AC527" s="46">
        <f t="shared" si="441"/>
        <v>1.6800734710467675E-2</v>
      </c>
      <c r="AD527" s="33"/>
      <c r="AE527" s="33">
        <f t="shared" si="442"/>
        <v>1202.3706563706564</v>
      </c>
      <c r="AF527" s="50"/>
      <c r="AG527" s="33">
        <f t="shared" si="443"/>
        <v>4496</v>
      </c>
      <c r="AH527" s="33">
        <f t="shared" si="432"/>
        <v>1157293401.060914</v>
      </c>
      <c r="AI527" s="213">
        <f t="shared" si="444"/>
        <v>0.30092592592592593</v>
      </c>
      <c r="AJ527" s="50"/>
      <c r="AK527" s="111"/>
      <c r="AL527" s="23">
        <f t="shared" si="445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46"/>
        <v>1.6077774466623466E-3</v>
      </c>
      <c r="AS527" s="25"/>
      <c r="AT527" s="25"/>
      <c r="AU527" s="24"/>
      <c r="AV527" s="298">
        <f t="shared" si="447"/>
        <v>0.81978582777690467</v>
      </c>
      <c r="AW527" s="298"/>
      <c r="AX527" s="24">
        <f t="shared" si="448"/>
        <v>58669.24517374517</v>
      </c>
      <c r="AY527" s="308"/>
      <c r="AZ527" s="111"/>
      <c r="BA527" s="65">
        <f t="shared" si="449"/>
        <v>1539485</v>
      </c>
      <c r="BB527" s="66"/>
      <c r="BC527" s="66">
        <v>563367465</v>
      </c>
      <c r="BD527" s="66"/>
      <c r="BE527" s="66">
        <f t="shared" si="450"/>
        <v>154917</v>
      </c>
      <c r="BF527" s="66"/>
      <c r="BG527" s="144">
        <f t="shared" si="451"/>
        <v>0.10062910648690958</v>
      </c>
      <c r="BH527" s="66"/>
      <c r="BI527" s="170"/>
      <c r="BJ527" s="66"/>
      <c r="BK527" s="66">
        <f t="shared" si="452"/>
        <v>10959284</v>
      </c>
      <c r="BL527" s="66"/>
      <c r="BM527" s="144">
        <f t="shared" si="453"/>
        <v>7.4671849000354409E-2</v>
      </c>
      <c r="BN527" s="65">
        <f t="shared" si="454"/>
        <v>1087581.9787644788</v>
      </c>
      <c r="BO527" s="66"/>
      <c r="BP527" s="66">
        <f t="shared" si="455"/>
        <v>36164496</v>
      </c>
      <c r="BQ527" s="66"/>
      <c r="BR527" s="435">
        <f t="shared" si="456"/>
        <v>6.4193440776705135E-2</v>
      </c>
      <c r="BS527" s="66"/>
      <c r="BT527" s="75"/>
      <c r="BU527" s="170"/>
      <c r="BV527" s="1"/>
      <c r="BW527" s="61">
        <f t="shared" si="407"/>
        <v>518</v>
      </c>
    </row>
    <row r="528" spans="2:75" x14ac:dyDescent="0.3">
      <c r="B528" s="158">
        <f t="shared" si="457"/>
        <v>44428</v>
      </c>
      <c r="C528" s="61"/>
      <c r="D528" s="17">
        <v>151108</v>
      </c>
      <c r="E528" s="16"/>
      <c r="F528" s="16"/>
      <c r="G528" s="16"/>
      <c r="H528" s="16">
        <f t="shared" si="433"/>
        <v>37222582</v>
      </c>
      <c r="I528" s="16"/>
      <c r="J528" s="436">
        <f t="shared" si="434"/>
        <v>4.076126026173116E-3</v>
      </c>
      <c r="K528" s="16"/>
      <c r="L528" s="16"/>
      <c r="M528" s="16"/>
      <c r="N528" s="16">
        <f t="shared" si="435"/>
        <v>814161</v>
      </c>
      <c r="O528" s="16">
        <f t="shared" si="436"/>
        <v>71719.811175337192</v>
      </c>
      <c r="P528" s="41"/>
      <c r="Q528" s="17">
        <f t="shared" si="437"/>
        <v>814161</v>
      </c>
      <c r="R528" s="16"/>
      <c r="S528" s="60">
        <f t="shared" si="438"/>
        <v>9.9566742927834601E-2</v>
      </c>
      <c r="T528" s="16"/>
      <c r="U528" s="41"/>
      <c r="V528" s="10">
        <f t="shared" si="356"/>
        <v>420</v>
      </c>
      <c r="W528" s="34">
        <v>1059</v>
      </c>
      <c r="X528" s="33">
        <v>4256</v>
      </c>
      <c r="Y528" s="33"/>
      <c r="Z528" s="33">
        <f t="shared" si="439"/>
        <v>4528</v>
      </c>
      <c r="AA528" s="33">
        <f t="shared" si="440"/>
        <v>623887</v>
      </c>
      <c r="AB528" s="33"/>
      <c r="AC528" s="46">
        <f t="shared" si="441"/>
        <v>1.6760981277440669E-2</v>
      </c>
      <c r="AD528" s="33"/>
      <c r="AE528" s="33">
        <f t="shared" si="442"/>
        <v>1202.0944123314066</v>
      </c>
      <c r="AF528" s="50"/>
      <c r="AG528" s="33">
        <f t="shared" si="443"/>
        <v>4786</v>
      </c>
      <c r="AH528" s="33">
        <f t="shared" si="432"/>
        <v>1157236876.060914</v>
      </c>
      <c r="AI528" s="213">
        <f t="shared" si="444"/>
        <v>0.37726618705035969</v>
      </c>
      <c r="AJ528" s="50"/>
      <c r="AK528" s="111"/>
      <c r="AL528" s="23">
        <f t="shared" si="445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46"/>
        <v>1.5981879174821719E-3</v>
      </c>
      <c r="AS528" s="25"/>
      <c r="AT528" s="25"/>
      <c r="AU528" s="24"/>
      <c r="AV528" s="298">
        <f t="shared" si="447"/>
        <v>0.81776269577430172</v>
      </c>
      <c r="AW528" s="298"/>
      <c r="AX528" s="24">
        <f t="shared" si="448"/>
        <v>58649.78612716763</v>
      </c>
      <c r="AY528" s="308"/>
      <c r="AZ528" s="111"/>
      <c r="BA528" s="65">
        <f t="shared" si="449"/>
        <v>1649005</v>
      </c>
      <c r="BB528" s="66"/>
      <c r="BC528" s="66">
        <v>565016470</v>
      </c>
      <c r="BD528" s="66"/>
      <c r="BE528" s="66">
        <f t="shared" si="450"/>
        <v>151108</v>
      </c>
      <c r="BF528" s="66"/>
      <c r="BG528" s="144">
        <f t="shared" si="451"/>
        <v>9.163586526420478E-2</v>
      </c>
      <c r="BH528" s="66"/>
      <c r="BI528" s="170"/>
      <c r="BJ528" s="66"/>
      <c r="BK528" s="66">
        <f t="shared" si="452"/>
        <v>11049147</v>
      </c>
      <c r="BL528" s="66"/>
      <c r="BM528" s="144">
        <f t="shared" si="453"/>
        <v>7.3685416620848654E-2</v>
      </c>
      <c r="BN528" s="65">
        <f t="shared" si="454"/>
        <v>1088663.7186897881</v>
      </c>
      <c r="BO528" s="66"/>
      <c r="BP528" s="66">
        <f t="shared" si="455"/>
        <v>36315604</v>
      </c>
      <c r="BQ528" s="66"/>
      <c r="BR528" s="435">
        <f t="shared" si="456"/>
        <v>6.427353170784561E-2</v>
      </c>
      <c r="BS528" s="66"/>
      <c r="BT528" s="75"/>
      <c r="BU528" s="170"/>
      <c r="BV528" s="1"/>
      <c r="BW528" s="61">
        <f t="shared" si="407"/>
        <v>519</v>
      </c>
    </row>
    <row r="529" spans="2:75" x14ac:dyDescent="0.3">
      <c r="B529" s="158">
        <f t="shared" si="457"/>
        <v>44429</v>
      </c>
      <c r="C529" s="61"/>
      <c r="D529" s="17">
        <v>145083</v>
      </c>
      <c r="E529" s="16"/>
      <c r="F529" s="16"/>
      <c r="G529" s="16"/>
      <c r="H529" s="16">
        <f t="shared" si="433"/>
        <v>37367665</v>
      </c>
      <c r="I529" s="16"/>
      <c r="J529" s="436">
        <f t="shared" si="434"/>
        <v>3.8977145647768334E-3</v>
      </c>
      <c r="K529" s="16"/>
      <c r="L529" s="16"/>
      <c r="M529" s="16"/>
      <c r="N529" s="16">
        <f t="shared" si="435"/>
        <v>888109</v>
      </c>
      <c r="O529" s="16">
        <f t="shared" si="436"/>
        <v>71860.894230769234</v>
      </c>
      <c r="P529" s="41"/>
      <c r="Q529" s="17">
        <f t="shared" si="437"/>
        <v>888109</v>
      </c>
      <c r="R529" s="16"/>
      <c r="S529" s="60">
        <f t="shared" si="438"/>
        <v>0.19590828724669179</v>
      </c>
      <c r="T529" s="16"/>
      <c r="U529" s="41"/>
      <c r="V529" s="10">
        <f t="shared" si="356"/>
        <v>421</v>
      </c>
      <c r="W529" s="34">
        <v>783</v>
      </c>
      <c r="X529" s="33">
        <v>4256</v>
      </c>
      <c r="Y529" s="33"/>
      <c r="Z529" s="33">
        <f t="shared" si="439"/>
        <v>5189</v>
      </c>
      <c r="AA529" s="33">
        <f t="shared" si="440"/>
        <v>624670</v>
      </c>
      <c r="AB529" s="33"/>
      <c r="AC529" s="46">
        <f t="shared" si="441"/>
        <v>1.6716859348851473E-2</v>
      </c>
      <c r="AD529" s="33"/>
      <c r="AE529" s="33">
        <f t="shared" si="442"/>
        <v>1201.2884615384614</v>
      </c>
      <c r="AF529" s="50"/>
      <c r="AG529" s="33">
        <f t="shared" si="443"/>
        <v>5311</v>
      </c>
      <c r="AH529" s="33">
        <f t="shared" si="432"/>
        <v>1157175225.060914</v>
      </c>
      <c r="AI529" s="213">
        <f t="shared" si="444"/>
        <v>0.55610899501904487</v>
      </c>
      <c r="AJ529" s="50"/>
      <c r="AK529" s="111"/>
      <c r="AL529" s="23">
        <f t="shared" si="445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46"/>
        <v>1.1586032094954804E-3</v>
      </c>
      <c r="AS529" s="25"/>
      <c r="AT529" s="25"/>
      <c r="AU529" s="24"/>
      <c r="AV529" s="298">
        <f t="shared" si="447"/>
        <v>0.81553144944967793</v>
      </c>
      <c r="AW529" s="298"/>
      <c r="AX529" s="24">
        <f t="shared" si="448"/>
        <v>58604.81923076923</v>
      </c>
      <c r="AY529" s="308"/>
      <c r="AZ529" s="111"/>
      <c r="BA529" s="65">
        <f t="shared" si="449"/>
        <v>1071283</v>
      </c>
      <c r="BB529" s="66"/>
      <c r="BC529" s="66">
        <v>566087753</v>
      </c>
      <c r="BD529" s="66"/>
      <c r="BE529" s="66">
        <f t="shared" si="450"/>
        <v>145083</v>
      </c>
      <c r="BF529" s="66"/>
      <c r="BG529" s="144">
        <f t="shared" si="451"/>
        <v>0.13542920031401601</v>
      </c>
      <c r="BH529" s="66"/>
      <c r="BI529" s="170"/>
      <c r="BJ529" s="66"/>
      <c r="BK529" s="66">
        <f t="shared" si="452"/>
        <v>11344752</v>
      </c>
      <c r="BL529" s="66"/>
      <c r="BM529" s="144">
        <f t="shared" si="453"/>
        <v>7.8283685707717543E-2</v>
      </c>
      <c r="BN529" s="65">
        <f t="shared" si="454"/>
        <v>1088630.2942307692</v>
      </c>
      <c r="BO529" s="66"/>
      <c r="BP529" s="66">
        <f t="shared" si="455"/>
        <v>36460687</v>
      </c>
      <c r="BQ529" s="66"/>
      <c r="BR529" s="435">
        <f t="shared" si="456"/>
        <v>6.4408189025067994E-2</v>
      </c>
      <c r="BS529" s="66"/>
      <c r="BT529" s="75"/>
      <c r="BU529" s="170"/>
      <c r="BV529" s="1"/>
      <c r="BW529" s="61">
        <f t="shared" si="407"/>
        <v>520</v>
      </c>
    </row>
    <row r="530" spans="2:75" x14ac:dyDescent="0.3">
      <c r="B530" s="347">
        <f t="shared" si="457"/>
        <v>44430</v>
      </c>
      <c r="C530" s="61"/>
      <c r="D530" s="17">
        <v>99183</v>
      </c>
      <c r="E530" s="16"/>
      <c r="F530" s="16"/>
      <c r="G530" s="16"/>
      <c r="H530" s="16">
        <f t="shared" si="433"/>
        <v>37466848</v>
      </c>
      <c r="I530" s="16"/>
      <c r="J530" s="436">
        <f t="shared" si="434"/>
        <v>2.6542466595116392E-3</v>
      </c>
      <c r="K530" s="16"/>
      <c r="L530" s="16"/>
      <c r="M530" s="16"/>
      <c r="N530" s="16">
        <f t="shared" si="435"/>
        <v>956409</v>
      </c>
      <c r="O530" s="16">
        <f t="shared" si="436"/>
        <v>71913.335892514398</v>
      </c>
      <c r="P530" s="41"/>
      <c r="Q530" s="17">
        <f t="shared" si="437"/>
        <v>956409</v>
      </c>
      <c r="R530" s="16"/>
      <c r="S530" s="60">
        <f t="shared" si="438"/>
        <v>0.27671682356270588</v>
      </c>
      <c r="T530" s="16"/>
      <c r="U530" s="41"/>
      <c r="V530" s="10">
        <f t="shared" si="356"/>
        <v>422</v>
      </c>
      <c r="W530" s="34">
        <v>387</v>
      </c>
      <c r="X530" s="33">
        <v>4256</v>
      </c>
      <c r="Y530" s="33"/>
      <c r="Z530" s="33">
        <f t="shared" si="439"/>
        <v>5268</v>
      </c>
      <c r="AA530" s="33">
        <f t="shared" si="440"/>
        <v>625057</v>
      </c>
      <c r="AB530" s="33"/>
      <c r="AC530" s="46">
        <f t="shared" si="441"/>
        <v>1.6682935271202959E-2</v>
      </c>
      <c r="AD530" s="33"/>
      <c r="AE530" s="33">
        <f t="shared" si="442"/>
        <v>1199.725527831094</v>
      </c>
      <c r="AF530" s="50"/>
      <c r="AG530" s="33">
        <f t="shared" si="443"/>
        <v>5576</v>
      </c>
      <c r="AH530" s="33">
        <f t="shared" si="432"/>
        <v>1157107740.060914</v>
      </c>
      <c r="AI530" s="213">
        <f t="shared" si="444"/>
        <v>0.63711098062243099</v>
      </c>
      <c r="AJ530" s="50"/>
      <c r="AK530" s="111"/>
      <c r="AL530" s="23">
        <f t="shared" si="445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46"/>
        <v>6.2491579026744521E-4</v>
      </c>
      <c r="AS530" s="25"/>
      <c r="AT530" s="25"/>
      <c r="AU530" s="24"/>
      <c r="AV530" s="298">
        <f t="shared" si="447"/>
        <v>0.81388084740942179</v>
      </c>
      <c r="AW530" s="298"/>
      <c r="AX530" s="24">
        <f t="shared" si="448"/>
        <v>58528.886756238004</v>
      </c>
      <c r="AY530" s="308"/>
      <c r="AZ530" s="111"/>
      <c r="BA530" s="65">
        <f t="shared" si="449"/>
        <v>1182942</v>
      </c>
      <c r="BB530" s="66"/>
      <c r="BC530" s="66">
        <v>567270695</v>
      </c>
      <c r="BD530" s="66"/>
      <c r="BE530" s="66">
        <f t="shared" si="450"/>
        <v>99183</v>
      </c>
      <c r="BF530" s="66"/>
      <c r="BG530" s="144">
        <f t="shared" si="451"/>
        <v>8.384434739826635E-2</v>
      </c>
      <c r="BH530" s="66"/>
      <c r="BI530" s="170"/>
      <c r="BJ530" s="66"/>
      <c r="BK530" s="66">
        <f t="shared" si="452"/>
        <v>11837220</v>
      </c>
      <c r="BL530" s="66"/>
      <c r="BM530" s="144">
        <f t="shared" si="453"/>
        <v>8.0796758022576243E-2</v>
      </c>
      <c r="BN530" s="65">
        <f t="shared" si="454"/>
        <v>1088811.3147792707</v>
      </c>
      <c r="BO530" s="66"/>
      <c r="BP530" s="66">
        <f t="shared" si="455"/>
        <v>36559870</v>
      </c>
      <c r="BQ530" s="66"/>
      <c r="BR530" s="435">
        <f t="shared" si="456"/>
        <v>6.4448719671655164E-2</v>
      </c>
      <c r="BS530" s="66"/>
      <c r="BT530" s="75"/>
      <c r="BU530" s="170"/>
      <c r="BV530" s="1"/>
      <c r="BW530" s="61">
        <f t="shared" si="407"/>
        <v>521</v>
      </c>
    </row>
    <row r="531" spans="2:75" x14ac:dyDescent="0.3">
      <c r="B531" s="158">
        <f t="shared" si="457"/>
        <v>44431</v>
      </c>
      <c r="C531" s="61"/>
      <c r="D531" s="17">
        <v>111134</v>
      </c>
      <c r="E531" s="16"/>
      <c r="F531" s="16"/>
      <c r="G531" s="16"/>
      <c r="H531" s="16">
        <f t="shared" si="433"/>
        <v>37577982</v>
      </c>
      <c r="I531" s="16"/>
      <c r="J531" s="436">
        <f t="shared" si="434"/>
        <v>2.9661956084483009E-3</v>
      </c>
      <c r="K531" s="16"/>
      <c r="L531" s="16"/>
      <c r="M531" s="16"/>
      <c r="N531" s="16">
        <f t="shared" si="435"/>
        <v>963846</v>
      </c>
      <c r="O531" s="16">
        <f t="shared" si="436"/>
        <v>71988.471264367821</v>
      </c>
      <c r="P531" s="41"/>
      <c r="Q531" s="17">
        <f t="shared" si="437"/>
        <v>963846</v>
      </c>
      <c r="R531" s="16"/>
      <c r="S531" s="60">
        <f t="shared" si="438"/>
        <v>0.28437792329279699</v>
      </c>
      <c r="T531" s="16"/>
      <c r="U531" s="41"/>
      <c r="V531" s="10">
        <f t="shared" si="356"/>
        <v>423</v>
      </c>
      <c r="W531" s="34">
        <v>406</v>
      </c>
      <c r="X531" s="33">
        <v>4256</v>
      </c>
      <c r="Y531" s="33"/>
      <c r="Z531" s="33">
        <f t="shared" si="439"/>
        <v>4729</v>
      </c>
      <c r="AA531" s="33">
        <f t="shared" si="440"/>
        <v>625463</v>
      </c>
      <c r="AB531" s="33"/>
      <c r="AC531" s="46">
        <f t="shared" si="441"/>
        <v>1.6644400968631047E-2</v>
      </c>
      <c r="AD531" s="33"/>
      <c r="AE531" s="33">
        <f t="shared" si="442"/>
        <v>1198.2049808429119</v>
      </c>
      <c r="AF531" s="50"/>
      <c r="AG531" s="33">
        <f t="shared" si="443"/>
        <v>5674</v>
      </c>
      <c r="AH531" s="33">
        <f t="shared" si="432"/>
        <v>1157070961.060914</v>
      </c>
      <c r="AI531" s="213">
        <f t="shared" si="444"/>
        <v>0.67473435655253833</v>
      </c>
      <c r="AJ531" s="50"/>
      <c r="AK531" s="111"/>
      <c r="AL531" s="23">
        <f t="shared" si="445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46"/>
        <v>2.5145973492755025E-3</v>
      </c>
      <c r="AS531" s="25"/>
      <c r="AT531" s="25"/>
      <c r="AU531" s="24"/>
      <c r="AV531" s="298">
        <f t="shared" si="447"/>
        <v>0.81351438722813796</v>
      </c>
      <c r="AW531" s="298"/>
      <c r="AX531" s="24">
        <f t="shared" si="448"/>
        <v>58563.657088122607</v>
      </c>
      <c r="AY531" s="308"/>
      <c r="AZ531" s="111"/>
      <c r="BA531" s="65">
        <f t="shared" si="449"/>
        <v>1795660</v>
      </c>
      <c r="BB531" s="66"/>
      <c r="BC531" s="66">
        <v>569066355</v>
      </c>
      <c r="BD531" s="66"/>
      <c r="BE531" s="66">
        <f t="shared" si="450"/>
        <v>111134</v>
      </c>
      <c r="BF531" s="66"/>
      <c r="BG531" s="144">
        <f t="shared" si="451"/>
        <v>6.1890335586915118E-2</v>
      </c>
      <c r="BH531" s="66"/>
      <c r="BI531" s="170"/>
      <c r="BJ531" s="66"/>
      <c r="BK531" s="66">
        <f t="shared" si="452"/>
        <v>10921527</v>
      </c>
      <c r="BL531" s="66"/>
      <c r="BM531" s="144">
        <f t="shared" si="453"/>
        <v>8.825194498901115E-2</v>
      </c>
      <c r="BN531" s="65">
        <f t="shared" si="454"/>
        <v>1090165.4310344828</v>
      </c>
      <c r="BO531" s="66"/>
      <c r="BP531" s="66">
        <f t="shared" si="455"/>
        <v>36671004</v>
      </c>
      <c r="BQ531" s="66"/>
      <c r="BR531" s="435">
        <f t="shared" si="456"/>
        <v>6.4440646820527636E-2</v>
      </c>
      <c r="BS531" s="66"/>
      <c r="BT531" s="75"/>
      <c r="BU531" s="170"/>
      <c r="BV531" s="1"/>
      <c r="BW531" s="61">
        <f t="shared" si="407"/>
        <v>522</v>
      </c>
    </row>
    <row r="532" spans="2:75" x14ac:dyDescent="0.3">
      <c r="B532" s="158">
        <f t="shared" si="457"/>
        <v>44432</v>
      </c>
      <c r="C532" s="61"/>
      <c r="D532" s="17">
        <v>147619</v>
      </c>
      <c r="E532" s="16"/>
      <c r="F532" s="16"/>
      <c r="G532" s="16"/>
      <c r="H532" s="16">
        <f t="shared" si="433"/>
        <v>37725601</v>
      </c>
      <c r="I532" s="16"/>
      <c r="J532" s="436">
        <f t="shared" si="434"/>
        <v>3.9283376100398368E-3</v>
      </c>
      <c r="K532" s="16"/>
      <c r="L532" s="16"/>
      <c r="M532" s="16"/>
      <c r="N532" s="16">
        <f t="shared" si="435"/>
        <v>967171</v>
      </c>
      <c r="O532" s="16">
        <f t="shared" si="436"/>
        <v>72133.080305927346</v>
      </c>
      <c r="P532" s="41"/>
      <c r="Q532" s="17">
        <f t="shared" si="437"/>
        <v>967171</v>
      </c>
      <c r="R532" s="16"/>
      <c r="S532" s="60">
        <f t="shared" si="438"/>
        <v>0.21890083909068683</v>
      </c>
      <c r="T532" s="16"/>
      <c r="U532" s="41"/>
      <c r="V532" s="10">
        <f t="shared" si="356"/>
        <v>424</v>
      </c>
      <c r="W532" s="34">
        <v>1134</v>
      </c>
      <c r="X532" s="33">
        <v>4256</v>
      </c>
      <c r="Y532" s="33"/>
      <c r="Z532" s="33">
        <f t="shared" si="439"/>
        <v>4736</v>
      </c>
      <c r="AA532" s="33">
        <f t="shared" si="440"/>
        <v>626597</v>
      </c>
      <c r="AB532" s="33"/>
      <c r="AC532" s="46">
        <f t="shared" si="441"/>
        <v>1.6609331154194204E-2</v>
      </c>
      <c r="AD532" s="33"/>
      <c r="AE532" s="33">
        <f t="shared" si="442"/>
        <v>1198.0822179732313</v>
      </c>
      <c r="AF532" s="50"/>
      <c r="AG532" s="33">
        <f t="shared" si="443"/>
        <v>5863</v>
      </c>
      <c r="AH532" s="33">
        <f t="shared" si="432"/>
        <v>1157057143.060914</v>
      </c>
      <c r="AI532" s="213">
        <f t="shared" si="444"/>
        <v>0.59494015233949948</v>
      </c>
      <c r="AJ532" s="50"/>
      <c r="AK532" s="111"/>
      <c r="AL532" s="23">
        <f t="shared" si="445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46"/>
        <v>1.5837303672144557E-3</v>
      </c>
      <c r="AS532" s="25"/>
      <c r="AT532" s="25"/>
      <c r="AU532" s="24"/>
      <c r="AV532" s="298">
        <f t="shared" si="447"/>
        <v>0.81161447898470851</v>
      </c>
      <c r="AW532" s="298"/>
      <c r="AX532" s="24">
        <f t="shared" si="448"/>
        <v>58544.252390057358</v>
      </c>
      <c r="AY532" s="308"/>
      <c r="AZ532" s="111"/>
      <c r="BA532" s="65">
        <f t="shared" si="449"/>
        <v>1447069</v>
      </c>
      <c r="BB532" s="66"/>
      <c r="BC532" s="66">
        <v>570513424</v>
      </c>
      <c r="BD532" s="66"/>
      <c r="BE532" s="66">
        <f t="shared" si="450"/>
        <v>147619</v>
      </c>
      <c r="BF532" s="66"/>
      <c r="BG532" s="144">
        <f t="shared" si="451"/>
        <v>0.10201241267693524</v>
      </c>
      <c r="BH532" s="66"/>
      <c r="BI532" s="170"/>
      <c r="BJ532" s="66"/>
      <c r="BK532" s="66">
        <f t="shared" si="452"/>
        <v>10067305</v>
      </c>
      <c r="BL532" s="66"/>
      <c r="BM532" s="144">
        <f t="shared" si="453"/>
        <v>9.6070497516465431E-2</v>
      </c>
      <c r="BN532" s="65">
        <f t="shared" si="454"/>
        <v>1090847.8470363289</v>
      </c>
      <c r="BO532" s="66"/>
      <c r="BP532" s="66">
        <f t="shared" si="455"/>
        <v>36818623</v>
      </c>
      <c r="BQ532" s="66"/>
      <c r="BR532" s="435">
        <f t="shared" si="456"/>
        <v>6.4535945082336926E-2</v>
      </c>
      <c r="BS532" s="66"/>
      <c r="BT532" s="75"/>
      <c r="BU532" s="170"/>
      <c r="BV532" s="1"/>
      <c r="BW532" s="61">
        <f t="shared" si="407"/>
        <v>523</v>
      </c>
    </row>
    <row r="533" spans="2:75" x14ac:dyDescent="0.3">
      <c r="B533" s="158">
        <f t="shared" si="457"/>
        <v>44433</v>
      </c>
      <c r="C533" s="61"/>
      <c r="D533" s="17">
        <v>171737</v>
      </c>
      <c r="E533" s="16"/>
      <c r="F533" s="16"/>
      <c r="G533" s="16"/>
      <c r="H533" s="16">
        <f t="shared" si="433"/>
        <v>37897338</v>
      </c>
      <c r="I533" s="16"/>
      <c r="J533" s="436">
        <f t="shared" si="434"/>
        <v>4.5522667750210258E-3</v>
      </c>
      <c r="K533" s="16"/>
      <c r="L533" s="16"/>
      <c r="M533" s="16"/>
      <c r="N533" s="16">
        <f t="shared" si="435"/>
        <v>980781</v>
      </c>
      <c r="O533" s="16">
        <f t="shared" si="436"/>
        <v>72323.164122137401</v>
      </c>
      <c r="P533" s="41"/>
      <c r="Q533" s="17">
        <f t="shared" si="437"/>
        <v>980781</v>
      </c>
      <c r="R533" s="16"/>
      <c r="S533" s="60">
        <f t="shared" si="438"/>
        <v>0.21538718911483698</v>
      </c>
      <c r="T533" s="16"/>
      <c r="U533" s="41"/>
      <c r="V533" s="10">
        <f t="shared" si="356"/>
        <v>425</v>
      </c>
      <c r="W533" s="34">
        <v>1287</v>
      </c>
      <c r="X533" s="33">
        <v>4256</v>
      </c>
      <c r="Y533" s="33"/>
      <c r="Z533" s="33">
        <f t="shared" si="439"/>
        <v>5056</v>
      </c>
      <c r="AA533" s="33">
        <f t="shared" si="440"/>
        <v>627884</v>
      </c>
      <c r="AB533" s="33"/>
      <c r="AC533" s="46">
        <f t="shared" si="441"/>
        <v>1.6568023854340377E-2</v>
      </c>
      <c r="AD533" s="33"/>
      <c r="AE533" s="33">
        <f t="shared" si="442"/>
        <v>1198.2519083969466</v>
      </c>
      <c r="AF533" s="50"/>
      <c r="AG533" s="33">
        <f t="shared" si="443"/>
        <v>6023</v>
      </c>
      <c r="AH533" s="33">
        <f t="shared" si="432"/>
        <v>1157021327.060914</v>
      </c>
      <c r="AI533" s="213">
        <f t="shared" si="444"/>
        <v>0.43781332060157557</v>
      </c>
      <c r="AJ533" s="50"/>
      <c r="AK533" s="111"/>
      <c r="AL533" s="23">
        <f t="shared" si="445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46"/>
        <v>1.9478001703798508E-3</v>
      </c>
      <c r="AS533" s="25"/>
      <c r="AT533" s="25"/>
      <c r="AU533" s="24"/>
      <c r="AV533" s="298">
        <f t="shared" si="447"/>
        <v>0.80951023525715715</v>
      </c>
      <c r="AW533" s="298"/>
      <c r="AX533" s="24">
        <f t="shared" si="448"/>
        <v>58546.341603053435</v>
      </c>
      <c r="AY533" s="308"/>
      <c r="AZ533" s="111"/>
      <c r="BA533" s="65">
        <f t="shared" si="449"/>
        <v>3138100</v>
      </c>
      <c r="BB533" s="66"/>
      <c r="BC533" s="66">
        <v>573651524</v>
      </c>
      <c r="BD533" s="66"/>
      <c r="BE533" s="66">
        <f t="shared" si="450"/>
        <v>171737</v>
      </c>
      <c r="BF533" s="66"/>
      <c r="BG533" s="144">
        <f t="shared" si="451"/>
        <v>5.4726426818775695E-2</v>
      </c>
      <c r="BH533" s="66"/>
      <c r="BI533" s="170"/>
      <c r="BJ533" s="66"/>
      <c r="BK533" s="66">
        <f t="shared" si="452"/>
        <v>11823544</v>
      </c>
      <c r="BL533" s="66"/>
      <c r="BM533" s="144">
        <f t="shared" si="453"/>
        <v>8.2951524517521982E-2</v>
      </c>
      <c r="BN533" s="65">
        <f t="shared" si="454"/>
        <v>1094754.8167938932</v>
      </c>
      <c r="BO533" s="66"/>
      <c r="BP533" s="66">
        <f t="shared" si="455"/>
        <v>36990360</v>
      </c>
      <c r="BQ533" s="66"/>
      <c r="BR533" s="435">
        <f t="shared" si="456"/>
        <v>6.448228315000519E-2</v>
      </c>
      <c r="BS533" s="66"/>
      <c r="BT533" s="75"/>
      <c r="BU533" s="170"/>
      <c r="BV533" s="1"/>
      <c r="BW533" s="61">
        <f t="shared" si="407"/>
        <v>524</v>
      </c>
    </row>
    <row r="534" spans="2:75" x14ac:dyDescent="0.3">
      <c r="B534" s="158">
        <f t="shared" si="457"/>
        <v>44434</v>
      </c>
      <c r="C534" s="61"/>
      <c r="D534" s="17">
        <v>177206</v>
      </c>
      <c r="E534" s="16"/>
      <c r="F534" s="16"/>
      <c r="G534" s="16"/>
      <c r="H534" s="16">
        <f t="shared" si="433"/>
        <v>38074544</v>
      </c>
      <c r="I534" s="16"/>
      <c r="J534" s="436">
        <f t="shared" si="434"/>
        <v>4.6759484795475606E-3</v>
      </c>
      <c r="K534" s="16"/>
      <c r="L534" s="16"/>
      <c r="M534" s="16"/>
      <c r="N534" s="16">
        <f t="shared" si="435"/>
        <v>1003070</v>
      </c>
      <c r="O534" s="16">
        <f t="shared" si="436"/>
        <v>72522.940952380959</v>
      </c>
      <c r="P534" s="41"/>
      <c r="Q534" s="17">
        <f t="shared" si="437"/>
        <v>1003070</v>
      </c>
      <c r="R534" s="16"/>
      <c r="S534" s="60">
        <f t="shared" si="438"/>
        <v>0.22572249037697806</v>
      </c>
      <c r="T534" s="16"/>
      <c r="U534" s="41"/>
      <c r="V534" s="10">
        <f t="shared" si="356"/>
        <v>426</v>
      </c>
      <c r="W534" s="34">
        <v>1338</v>
      </c>
      <c r="X534" s="33">
        <v>4256</v>
      </c>
      <c r="Y534" s="33"/>
      <c r="Z534" s="33">
        <f t="shared" si="439"/>
        <v>5335</v>
      </c>
      <c r="AA534" s="33">
        <f t="shared" si="440"/>
        <v>629222</v>
      </c>
      <c r="AB534" s="33"/>
      <c r="AC534" s="46">
        <f t="shared" si="441"/>
        <v>1.6526054783479481E-2</v>
      </c>
      <c r="AD534" s="33"/>
      <c r="AE534" s="33">
        <f t="shared" si="442"/>
        <v>1198.5180952380952</v>
      </c>
      <c r="AF534" s="50"/>
      <c r="AG534" s="33">
        <f t="shared" si="443"/>
        <v>6394</v>
      </c>
      <c r="AH534" s="33">
        <f t="shared" si="432"/>
        <v>1156959746.060914</v>
      </c>
      <c r="AI534" s="213">
        <f t="shared" si="444"/>
        <v>0.42215302491103202</v>
      </c>
      <c r="AJ534" s="50"/>
      <c r="AK534" s="111" t="s">
        <v>26</v>
      </c>
      <c r="AL534" s="23">
        <f t="shared" si="445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46"/>
        <v>7.0789489750779078E-4</v>
      </c>
      <c r="AS534" s="25"/>
      <c r="AT534" s="25"/>
      <c r="AU534" s="24"/>
      <c r="AV534" s="298">
        <f t="shared" si="447"/>
        <v>0.80631300535076667</v>
      </c>
      <c r="AW534" s="298"/>
      <c r="AX534" s="24">
        <f t="shared" si="448"/>
        <v>58476.190476190473</v>
      </c>
      <c r="AY534" s="308"/>
      <c r="AZ534" s="111" t="s">
        <v>26</v>
      </c>
      <c r="BA534" s="65">
        <f t="shared" si="449"/>
        <v>2348476</v>
      </c>
      <c r="BB534" s="66"/>
      <c r="BC534" s="66">
        <v>576000000</v>
      </c>
      <c r="BD534" s="66"/>
      <c r="BE534" s="66">
        <f t="shared" si="450"/>
        <v>177206</v>
      </c>
      <c r="BF534" s="66"/>
      <c r="BG534" s="144">
        <f t="shared" si="451"/>
        <v>7.5455742362280906E-2</v>
      </c>
      <c r="BH534" s="66"/>
      <c r="BI534" s="170"/>
      <c r="BJ534" s="66"/>
      <c r="BK534" s="66">
        <f t="shared" si="452"/>
        <v>12632535</v>
      </c>
      <c r="BL534" s="66"/>
      <c r="BM534" s="144">
        <f t="shared" si="453"/>
        <v>7.9403698465905698E-2</v>
      </c>
      <c r="BN534" s="65">
        <f t="shared" si="454"/>
        <v>1097142.857142857</v>
      </c>
      <c r="BO534" s="66"/>
      <c r="BP534" s="66">
        <f t="shared" si="455"/>
        <v>37167566</v>
      </c>
      <c r="BQ534" s="66"/>
      <c r="BR534" s="435">
        <f t="shared" si="456"/>
        <v>6.4527024305555555E-2</v>
      </c>
      <c r="BS534" s="66"/>
      <c r="BT534" s="75"/>
      <c r="BU534" s="170"/>
      <c r="BV534" s="1"/>
      <c r="BW534" s="61">
        <f t="shared" si="407"/>
        <v>525</v>
      </c>
    </row>
    <row r="535" spans="2:75" x14ac:dyDescent="0.3">
      <c r="B535" s="158">
        <f t="shared" si="457"/>
        <v>44435</v>
      </c>
      <c r="C535" s="61"/>
      <c r="D535" s="17">
        <v>190370</v>
      </c>
      <c r="E535" s="16"/>
      <c r="F535" s="16"/>
      <c r="G535" s="16"/>
      <c r="H535" s="16">
        <f t="shared" si="433"/>
        <v>38264914</v>
      </c>
      <c r="I535" s="16"/>
      <c r="J535" s="436">
        <f t="shared" si="434"/>
        <v>4.9999285611930112E-3</v>
      </c>
      <c r="K535" s="16"/>
      <c r="L535" s="16"/>
      <c r="M535" s="16"/>
      <c r="N535" s="16">
        <f t="shared" si="435"/>
        <v>1042332</v>
      </c>
      <c r="O535" s="16">
        <f t="shared" si="436"/>
        <v>72746.984790874529</v>
      </c>
      <c r="P535" s="41"/>
      <c r="Q535" s="17">
        <f t="shared" si="437"/>
        <v>1042332</v>
      </c>
      <c r="R535" s="16"/>
      <c r="S535" s="60">
        <f t="shared" si="438"/>
        <v>0.28025292294767251</v>
      </c>
      <c r="T535" s="16"/>
      <c r="U535" s="41"/>
      <c r="V535" s="10">
        <f t="shared" si="356"/>
        <v>427</v>
      </c>
      <c r="W535" s="34">
        <v>1304</v>
      </c>
      <c r="X535" s="33">
        <v>4256</v>
      </c>
      <c r="Y535" s="33"/>
      <c r="Z535" s="33">
        <f t="shared" si="439"/>
        <v>5856</v>
      </c>
      <c r="AA535" s="33">
        <f t="shared" si="440"/>
        <v>630526</v>
      </c>
      <c r="AB535" s="33"/>
      <c r="AC535" s="46">
        <f t="shared" si="441"/>
        <v>1.6477914990217932E-2</v>
      </c>
      <c r="AD535" s="33"/>
      <c r="AE535" s="33">
        <f t="shared" si="442"/>
        <v>1198.7186311787073</v>
      </c>
      <c r="AF535" s="50"/>
      <c r="AG535" s="33">
        <f t="shared" si="443"/>
        <v>6639</v>
      </c>
      <c r="AH535" s="33">
        <f t="shared" si="432"/>
        <v>1156875212.060914</v>
      </c>
      <c r="AI535" s="213">
        <f t="shared" si="444"/>
        <v>0.38717091516924362</v>
      </c>
      <c r="AJ535" s="50"/>
      <c r="AK535" s="111"/>
      <c r="AL535" s="23">
        <f t="shared" si="445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46"/>
        <v>2.8132899022801305E-3</v>
      </c>
      <c r="AS535" s="25"/>
      <c r="AT535" s="25"/>
      <c r="AU535" s="24"/>
      <c r="AV535" s="298">
        <f t="shared" si="447"/>
        <v>0.80455866175473434</v>
      </c>
      <c r="AW535" s="298"/>
      <c r="AX535" s="24">
        <f t="shared" si="448"/>
        <v>58529.216730038024</v>
      </c>
      <c r="AY535" s="308"/>
      <c r="AZ535" s="111"/>
      <c r="BA535" s="65">
        <f t="shared" si="449"/>
        <v>1474238</v>
      </c>
      <c r="BB535" s="66"/>
      <c r="BC535" s="66">
        <v>577474238</v>
      </c>
      <c r="BD535" s="66"/>
      <c r="BE535" s="66">
        <f t="shared" si="450"/>
        <v>190370</v>
      </c>
      <c r="BF535" s="66"/>
      <c r="BG535" s="144">
        <f t="shared" si="451"/>
        <v>0.12913111722801882</v>
      </c>
      <c r="BH535" s="66"/>
      <c r="BI535" s="170"/>
      <c r="BJ535" s="66"/>
      <c r="BK535" s="66">
        <f t="shared" si="452"/>
        <v>12457768</v>
      </c>
      <c r="BL535" s="66"/>
      <c r="BM535" s="144">
        <f t="shared" si="453"/>
        <v>8.3669241552740428E-2</v>
      </c>
      <c r="BN535" s="65">
        <f t="shared" si="454"/>
        <v>1097859.7680608365</v>
      </c>
      <c r="BO535" s="66"/>
      <c r="BP535" s="66">
        <f t="shared" si="455"/>
        <v>37357936</v>
      </c>
      <c r="BQ535" s="66"/>
      <c r="BR535" s="435">
        <f t="shared" si="456"/>
        <v>6.4691952543863951E-2</v>
      </c>
      <c r="BS535" s="66"/>
      <c r="BT535" s="75"/>
      <c r="BU535" s="170"/>
      <c r="BV535" s="1"/>
      <c r="BW535" s="61">
        <f t="shared" si="407"/>
        <v>526</v>
      </c>
    </row>
    <row r="536" spans="2:75" x14ac:dyDescent="0.3">
      <c r="B536" s="158">
        <f t="shared" si="457"/>
        <v>44436</v>
      </c>
      <c r="C536" s="61"/>
      <c r="D536" s="17">
        <v>72785</v>
      </c>
      <c r="E536" s="16"/>
      <c r="F536" s="16"/>
      <c r="G536" s="16"/>
      <c r="H536" s="16">
        <f t="shared" ref="H536:H551" si="458">+H535+D536</f>
        <v>38337699</v>
      </c>
      <c r="I536" s="16"/>
      <c r="J536" s="436">
        <f t="shared" ref="J536:J551" si="459">+D536/H535</f>
        <v>1.9021341587230538E-3</v>
      </c>
      <c r="K536" s="16"/>
      <c r="L536" s="16"/>
      <c r="M536" s="16"/>
      <c r="N536" s="16">
        <f t="shared" ref="N536:N551" si="460">SUM(D530:D536)</f>
        <v>970034</v>
      </c>
      <c r="O536" s="16">
        <f t="shared" ref="O536:O551" si="461">+H536/BW536</f>
        <v>72747.056925996207</v>
      </c>
      <c r="P536" s="41"/>
      <c r="Q536" s="17">
        <f t="shared" ref="Q536:Q551" si="462">SUM(D530:D536)</f>
        <v>970034</v>
      </c>
      <c r="R536" s="16"/>
      <c r="S536" s="60">
        <f t="shared" ref="S536:S551" si="463">+(Q536-Q529)/Q529</f>
        <v>9.224655982542683E-2</v>
      </c>
      <c r="T536" s="16"/>
      <c r="U536" s="41"/>
      <c r="V536" s="10">
        <f t="shared" si="356"/>
        <v>428</v>
      </c>
      <c r="W536" s="34">
        <v>648</v>
      </c>
      <c r="X536" s="33">
        <v>4256</v>
      </c>
      <c r="Y536" s="33"/>
      <c r="Z536" s="33">
        <f t="shared" ref="Z536:Z551" si="464">SUM(W531:W536)</f>
        <v>6117</v>
      </c>
      <c r="AA536" s="33">
        <f t="shared" ref="AA536:AA551" si="465">+AA535+W536</f>
        <v>631174</v>
      </c>
      <c r="AB536" s="33"/>
      <c r="AC536" s="46">
        <f t="shared" ref="AC536:AC551" si="466">+AA536/H536</f>
        <v>1.6463533713903904E-2</v>
      </c>
      <c r="AD536" s="33"/>
      <c r="AE536" s="33">
        <f t="shared" ref="AE536:AE551" si="467">+AA536/BW536</f>
        <v>1197.6736242884251</v>
      </c>
      <c r="AF536" s="50"/>
      <c r="AG536" s="33">
        <f t="shared" ref="AG536:AG551" si="468">SUM(W530:W536)</f>
        <v>6504</v>
      </c>
      <c r="AH536" s="33">
        <f t="shared" si="432"/>
        <v>1156790699.060914</v>
      </c>
      <c r="AI536" s="213">
        <f t="shared" ref="AI536:AI551" si="469">+(AG536-AG529)/AG529</f>
        <v>0.22462813029561288</v>
      </c>
      <c r="AJ536" s="50"/>
      <c r="AK536" s="111"/>
      <c r="AL536" s="23">
        <f t="shared" ref="AL536:AL551" si="470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71">+AL536/AP535</f>
        <v>8.4043691025846242E-4</v>
      </c>
      <c r="AS536" s="25"/>
      <c r="AT536" s="25"/>
      <c r="AU536" s="24"/>
      <c r="AV536" s="298">
        <f t="shared" ref="AV536:AV551" si="472">+AP536/H536</f>
        <v>0.80370608575126012</v>
      </c>
      <c r="AW536" s="298"/>
      <c r="AX536" s="24">
        <f t="shared" ref="AX536:AX551" si="473">+AP536/BW536</f>
        <v>58467.252371916511</v>
      </c>
      <c r="AY536" s="308"/>
      <c r="AZ536" s="111"/>
      <c r="BA536" s="65">
        <f t="shared" ref="BA536:BA551" si="474">+BC536-BC535</f>
        <v>999373</v>
      </c>
      <c r="BB536" s="66"/>
      <c r="BC536" s="66">
        <v>578473611</v>
      </c>
      <c r="BD536" s="66"/>
      <c r="BE536" s="66">
        <f t="shared" ref="BE536:BE551" si="475">+D536</f>
        <v>72785</v>
      </c>
      <c r="BF536" s="66"/>
      <c r="BG536" s="144">
        <f t="shared" ref="BG536:BG551" si="476">+BE536/BA536</f>
        <v>7.2830664826846428E-2</v>
      </c>
      <c r="BH536" s="66"/>
      <c r="BI536" s="170"/>
      <c r="BJ536" s="66"/>
      <c r="BK536" s="66">
        <f t="shared" ref="BK536:BK551" si="477">SUM(BA530:BA536)</f>
        <v>12385858</v>
      </c>
      <c r="BL536" s="66"/>
      <c r="BM536" s="144">
        <f t="shared" ref="BM536:BM551" si="478">+Q536/BK536</f>
        <v>7.8317868653104208E-2</v>
      </c>
      <c r="BN536" s="65">
        <f t="shared" ref="BN536:BN551" si="479">+BC536/BW536</f>
        <v>1097672.8861480076</v>
      </c>
      <c r="BO536" s="66"/>
      <c r="BP536" s="66">
        <f t="shared" ref="BP536:BP551" si="480">+BP535+BE536</f>
        <v>37430721</v>
      </c>
      <c r="BQ536" s="66"/>
      <c r="BR536" s="435">
        <f t="shared" ref="BR536:BR551" si="481">+BP536/BC536</f>
        <v>6.47060130111968E-2</v>
      </c>
      <c r="BS536" s="66"/>
      <c r="BT536" s="75"/>
      <c r="BU536" s="170"/>
      <c r="BV536" s="1"/>
      <c r="BW536" s="61">
        <f t="shared" si="407"/>
        <v>527</v>
      </c>
    </row>
    <row r="537" spans="2:75" x14ac:dyDescent="0.3">
      <c r="B537" s="347">
        <f t="shared" si="457"/>
        <v>44437</v>
      </c>
      <c r="C537" s="61"/>
      <c r="D537" s="17">
        <v>37262</v>
      </c>
      <c r="E537" s="16"/>
      <c r="F537" s="16"/>
      <c r="G537" s="16"/>
      <c r="H537" s="16">
        <f t="shared" si="458"/>
        <v>38374961</v>
      </c>
      <c r="I537" s="16"/>
      <c r="J537" s="436">
        <f t="shared" si="459"/>
        <v>9.7194148245568937E-4</v>
      </c>
      <c r="K537" s="16"/>
      <c r="L537" s="16"/>
      <c r="M537" s="16"/>
      <c r="N537" s="16">
        <f t="shared" si="460"/>
        <v>908113</v>
      </c>
      <c r="O537" s="16">
        <f t="shared" si="461"/>
        <v>72679.850378787873</v>
      </c>
      <c r="P537" s="41"/>
      <c r="Q537" s="17">
        <f t="shared" si="462"/>
        <v>908113</v>
      </c>
      <c r="R537" s="16"/>
      <c r="S537" s="60">
        <f t="shared" si="463"/>
        <v>-5.0497224513780192E-2</v>
      </c>
      <c r="T537" s="16"/>
      <c r="U537" s="41"/>
      <c r="V537" s="10">
        <f t="shared" si="356"/>
        <v>429</v>
      </c>
      <c r="W537" s="34">
        <v>284</v>
      </c>
      <c r="X537" s="33">
        <v>4256</v>
      </c>
      <c r="Y537" s="33"/>
      <c r="Z537" s="33">
        <f t="shared" si="464"/>
        <v>5995</v>
      </c>
      <c r="AA537" s="33">
        <f t="shared" si="465"/>
        <v>631458</v>
      </c>
      <c r="AB537" s="33"/>
      <c r="AC537" s="46">
        <f t="shared" si="466"/>
        <v>1.6454948319035424E-2</v>
      </c>
      <c r="AD537" s="33"/>
      <c r="AE537" s="33">
        <f t="shared" si="467"/>
        <v>1195.9431818181818</v>
      </c>
      <c r="AF537" s="50"/>
      <c r="AG537" s="33">
        <f t="shared" si="468"/>
        <v>6401</v>
      </c>
      <c r="AH537" s="33">
        <f t="shared" si="432"/>
        <v>1156689601.060914</v>
      </c>
      <c r="AI537" s="213">
        <f t="shared" si="469"/>
        <v>0.14795552367288378</v>
      </c>
      <c r="AJ537" s="50"/>
      <c r="AK537" s="111"/>
      <c r="AL537" s="23">
        <f t="shared" si="470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71"/>
        <v>4.6202415260791476E-4</v>
      </c>
      <c r="AS537" s="25"/>
      <c r="AT537" s="25"/>
      <c r="AU537" s="24"/>
      <c r="AV537" s="298">
        <f t="shared" si="472"/>
        <v>0.80329666002787603</v>
      </c>
      <c r="AW537" s="298"/>
      <c r="AX537" s="24">
        <f t="shared" si="473"/>
        <v>58383.481060606064</v>
      </c>
      <c r="AY537" s="308"/>
      <c r="AZ537" s="111"/>
      <c r="BA537" s="65">
        <f t="shared" si="474"/>
        <v>891043</v>
      </c>
      <c r="BB537" s="66"/>
      <c r="BC537" s="66">
        <v>579364654</v>
      </c>
      <c r="BD537" s="66"/>
      <c r="BE537" s="66">
        <f t="shared" si="475"/>
        <v>37262</v>
      </c>
      <c r="BF537" s="66"/>
      <c r="BG537" s="144">
        <f t="shared" si="476"/>
        <v>4.1818408314750241E-2</v>
      </c>
      <c r="BH537" s="66"/>
      <c r="BI537" s="170"/>
      <c r="BJ537" s="66"/>
      <c r="BK537" s="66">
        <f t="shared" si="477"/>
        <v>12093959</v>
      </c>
      <c r="BL537" s="66"/>
      <c r="BM537" s="144">
        <f t="shared" si="478"/>
        <v>7.508814938102569E-2</v>
      </c>
      <c r="BN537" s="65">
        <f t="shared" si="479"/>
        <v>1097281.5416666667</v>
      </c>
      <c r="BO537" s="66"/>
      <c r="BP537" s="66">
        <f t="shared" si="480"/>
        <v>37467983</v>
      </c>
      <c r="BQ537" s="66"/>
      <c r="BR537" s="435">
        <f t="shared" si="481"/>
        <v>6.4670812658861307E-2</v>
      </c>
      <c r="BS537" s="66"/>
      <c r="BT537" s="75"/>
      <c r="BU537" s="170"/>
      <c r="BV537" s="1"/>
      <c r="BW537" s="61">
        <f t="shared" si="407"/>
        <v>528</v>
      </c>
    </row>
    <row r="538" spans="2:75" x14ac:dyDescent="0.3">
      <c r="B538" s="158">
        <f t="shared" si="457"/>
        <v>44438</v>
      </c>
      <c r="C538" s="61"/>
      <c r="D538" s="17">
        <v>119642</v>
      </c>
      <c r="E538" s="16"/>
      <c r="F538" s="16"/>
      <c r="G538" s="16"/>
      <c r="H538" s="16">
        <f t="shared" si="458"/>
        <v>38494603</v>
      </c>
      <c r="I538" s="16"/>
      <c r="J538" s="436">
        <f t="shared" si="459"/>
        <v>3.1177100088779245E-3</v>
      </c>
      <c r="K538" s="16"/>
      <c r="L538" s="16"/>
      <c r="M538" s="16"/>
      <c r="N538" s="16">
        <f t="shared" si="460"/>
        <v>916621</v>
      </c>
      <c r="O538" s="16">
        <f t="shared" si="461"/>
        <v>72768.625708884691</v>
      </c>
      <c r="P538" s="41"/>
      <c r="Q538" s="17">
        <f t="shared" si="462"/>
        <v>916621</v>
      </c>
      <c r="R538" s="16"/>
      <c r="S538" s="60">
        <f t="shared" si="463"/>
        <v>-4.89964164399707E-2</v>
      </c>
      <c r="T538" s="16"/>
      <c r="U538" s="41"/>
      <c r="V538" s="10">
        <f t="shared" si="356"/>
        <v>430</v>
      </c>
      <c r="W538" s="34">
        <v>569</v>
      </c>
      <c r="X538" s="33">
        <v>4256</v>
      </c>
      <c r="Y538" s="33"/>
      <c r="Z538" s="33">
        <f t="shared" si="464"/>
        <v>5430</v>
      </c>
      <c r="AA538" s="33">
        <f t="shared" si="465"/>
        <v>632027</v>
      </c>
      <c r="AB538" s="33"/>
      <c r="AC538" s="46">
        <f t="shared" si="466"/>
        <v>1.6418587301705645E-2</v>
      </c>
      <c r="AD538" s="33"/>
      <c r="AE538" s="33">
        <f t="shared" si="467"/>
        <v>1194.7580340264651</v>
      </c>
      <c r="AF538" s="50"/>
      <c r="AG538" s="33">
        <f t="shared" si="468"/>
        <v>6564</v>
      </c>
      <c r="AH538" s="33">
        <f t="shared" si="432"/>
        <v>1156637703.060914</v>
      </c>
      <c r="AI538" s="213">
        <f t="shared" si="469"/>
        <v>0.15685583362707084</v>
      </c>
      <c r="AJ538" s="50"/>
      <c r="AK538" s="111"/>
      <c r="AL538" s="23">
        <f t="shared" si="470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71"/>
        <v>3.8274563834376409E-3</v>
      </c>
      <c r="AS538" s="25"/>
      <c r="AT538" s="25"/>
      <c r="AU538" s="24"/>
      <c r="AV538" s="298">
        <f t="shared" si="472"/>
        <v>0.80386502492310419</v>
      </c>
      <c r="AW538" s="298"/>
      <c r="AX538" s="24">
        <f t="shared" si="473"/>
        <v>58496.153119092625</v>
      </c>
      <c r="AY538" s="308"/>
      <c r="AZ538" s="111"/>
      <c r="BA538" s="65">
        <f t="shared" si="474"/>
        <v>3159358</v>
      </c>
      <c r="BB538" s="66"/>
      <c r="BC538" s="66">
        <v>582524012</v>
      </c>
      <c r="BD538" s="66"/>
      <c r="BE538" s="66">
        <f t="shared" si="475"/>
        <v>119642</v>
      </c>
      <c r="BF538" s="66"/>
      <c r="BG538" s="144">
        <f t="shared" si="476"/>
        <v>3.7869086061155466E-2</v>
      </c>
      <c r="BH538" s="66"/>
      <c r="BI538" s="170"/>
      <c r="BJ538" s="66"/>
      <c r="BK538" s="66">
        <f t="shared" si="477"/>
        <v>13457657</v>
      </c>
      <c r="BL538" s="66"/>
      <c r="BM538" s="144">
        <f t="shared" si="478"/>
        <v>6.8111484785204443E-2</v>
      </c>
      <c r="BN538" s="65">
        <f t="shared" si="479"/>
        <v>1101179.6068052929</v>
      </c>
      <c r="BO538" s="66"/>
      <c r="BP538" s="66">
        <f t="shared" si="480"/>
        <v>37587625</v>
      </c>
      <c r="BQ538" s="66"/>
      <c r="BR538" s="435">
        <f t="shared" si="481"/>
        <v>6.4525451699319822E-2</v>
      </c>
      <c r="BS538" s="66"/>
      <c r="BT538" s="75"/>
      <c r="BU538" s="170"/>
      <c r="BV538" s="1"/>
      <c r="BW538" s="61">
        <f t="shared" si="407"/>
        <v>529</v>
      </c>
    </row>
    <row r="539" spans="2:75" x14ac:dyDescent="0.3">
      <c r="B539" s="158">
        <f t="shared" si="457"/>
        <v>44439</v>
      </c>
      <c r="C539" s="61"/>
      <c r="D539" s="17">
        <v>158666</v>
      </c>
      <c r="E539" s="16"/>
      <c r="F539" s="16"/>
      <c r="G539" s="16"/>
      <c r="H539" s="16">
        <f t="shared" si="458"/>
        <v>38653269</v>
      </c>
      <c r="I539" s="16"/>
      <c r="J539" s="436">
        <f t="shared" si="459"/>
        <v>4.1217726027723937E-3</v>
      </c>
      <c r="K539" s="16"/>
      <c r="L539" s="16"/>
      <c r="M539" s="16"/>
      <c r="N539" s="16">
        <f t="shared" si="460"/>
        <v>927668</v>
      </c>
      <c r="O539" s="16">
        <f t="shared" si="461"/>
        <v>72930.696226415093</v>
      </c>
      <c r="P539" s="41"/>
      <c r="Q539" s="17">
        <f t="shared" si="462"/>
        <v>927668</v>
      </c>
      <c r="R539" s="16"/>
      <c r="S539" s="60">
        <f t="shared" si="463"/>
        <v>-4.0843863184483409E-2</v>
      </c>
      <c r="T539" s="16"/>
      <c r="U539" s="41"/>
      <c r="V539" s="10">
        <f t="shared" si="356"/>
        <v>431</v>
      </c>
      <c r="W539" s="34">
        <v>1266</v>
      </c>
      <c r="X539" s="33">
        <v>4256</v>
      </c>
      <c r="Y539" s="33"/>
      <c r="Z539" s="33">
        <f t="shared" si="464"/>
        <v>5409</v>
      </c>
      <c r="AA539" s="33">
        <f t="shared" si="465"/>
        <v>633293</v>
      </c>
      <c r="AB539" s="33"/>
      <c r="AC539" s="46">
        <f t="shared" si="466"/>
        <v>1.6383944136781809E-2</v>
      </c>
      <c r="AD539" s="33"/>
      <c r="AE539" s="33">
        <f t="shared" si="467"/>
        <v>1194.8924528301886</v>
      </c>
      <c r="AF539" s="50"/>
      <c r="AG539" s="33">
        <f t="shared" si="468"/>
        <v>6696</v>
      </c>
      <c r="AH539" s="33">
        <f t="shared" si="432"/>
        <v>1156615935.060914</v>
      </c>
      <c r="AI539" s="213">
        <f t="shared" si="469"/>
        <v>0.14207743476036158</v>
      </c>
      <c r="AJ539" s="50"/>
      <c r="AK539" s="111"/>
      <c r="AL539" s="23">
        <f t="shared" si="470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71"/>
        <v>2.4607631768718574E-3</v>
      </c>
      <c r="AS539" s="25"/>
      <c r="AT539" s="25"/>
      <c r="AU539" s="24"/>
      <c r="AV539" s="298">
        <f t="shared" si="472"/>
        <v>0.8025352784521278</v>
      </c>
      <c r="AW539" s="298"/>
      <c r="AX539" s="24">
        <f t="shared" si="473"/>
        <v>58529.456603773586</v>
      </c>
      <c r="AY539" s="308"/>
      <c r="AZ539" s="111"/>
      <c r="BA539" s="65">
        <f t="shared" si="474"/>
        <v>1787032</v>
      </c>
      <c r="BB539" s="66"/>
      <c r="BC539" s="66">
        <v>584311044</v>
      </c>
      <c r="BD539" s="66"/>
      <c r="BE539" s="66">
        <f t="shared" si="475"/>
        <v>158666</v>
      </c>
      <c r="BF539" s="66"/>
      <c r="BG539" s="144">
        <f t="shared" si="476"/>
        <v>8.8787441970820891E-2</v>
      </c>
      <c r="BH539" s="66"/>
      <c r="BI539" s="170"/>
      <c r="BJ539" s="66"/>
      <c r="BK539" s="66">
        <f t="shared" si="477"/>
        <v>13797620</v>
      </c>
      <c r="BL539" s="66"/>
      <c r="BM539" s="144">
        <f t="shared" si="478"/>
        <v>6.7233914254777274E-2</v>
      </c>
      <c r="BN539" s="65">
        <f t="shared" si="479"/>
        <v>1102473.6679245282</v>
      </c>
      <c r="BO539" s="66"/>
      <c r="BP539" s="66">
        <f t="shared" si="480"/>
        <v>37746291</v>
      </c>
      <c r="BQ539" s="66"/>
      <c r="BR539" s="435">
        <f t="shared" si="481"/>
        <v>6.4599653536584534E-2</v>
      </c>
      <c r="BS539" s="66"/>
      <c r="BT539" s="75"/>
      <c r="BU539" s="170"/>
      <c r="BV539" s="1"/>
      <c r="BW539" s="61">
        <f t="shared" si="407"/>
        <v>530</v>
      </c>
    </row>
    <row r="540" spans="2:75" x14ac:dyDescent="0.3">
      <c r="B540" s="158">
        <f t="shared" si="457"/>
        <v>44440</v>
      </c>
      <c r="C540" s="61"/>
      <c r="D540" s="17">
        <v>184420</v>
      </c>
      <c r="E540" s="16"/>
      <c r="F540" s="16"/>
      <c r="G540" s="16"/>
      <c r="H540" s="16">
        <f t="shared" si="458"/>
        <v>38837689</v>
      </c>
      <c r="I540" s="16"/>
      <c r="J540" s="436">
        <f t="shared" si="459"/>
        <v>4.7711359160851315E-3</v>
      </c>
      <c r="K540" s="16"/>
      <c r="L540" s="16"/>
      <c r="M540" s="16"/>
      <c r="N540" s="16">
        <f t="shared" si="460"/>
        <v>940351</v>
      </c>
      <c r="O540" s="16">
        <f t="shared" si="461"/>
        <v>73140.657250470817</v>
      </c>
      <c r="P540" s="41"/>
      <c r="Q540" s="17">
        <f t="shared" si="462"/>
        <v>940351</v>
      </c>
      <c r="R540" s="16"/>
      <c r="S540" s="60">
        <f t="shared" si="463"/>
        <v>-4.1222250431034044E-2</v>
      </c>
      <c r="T540" s="16"/>
      <c r="U540" s="41"/>
      <c r="V540" s="10">
        <f t="shared" si="356"/>
        <v>432</v>
      </c>
      <c r="W540" s="34">
        <v>1480</v>
      </c>
      <c r="X540" s="33">
        <v>4256</v>
      </c>
      <c r="Y540" s="33"/>
      <c r="Z540" s="33">
        <f t="shared" si="464"/>
        <v>5551</v>
      </c>
      <c r="AA540" s="33">
        <f t="shared" si="465"/>
        <v>634773</v>
      </c>
      <c r="AB540" s="33"/>
      <c r="AC540" s="46">
        <f t="shared" si="466"/>
        <v>1.6344252615030724E-2</v>
      </c>
      <c r="AD540" s="33"/>
      <c r="AE540" s="33">
        <f t="shared" si="467"/>
        <v>1195.4293785310736</v>
      </c>
      <c r="AF540" s="50"/>
      <c r="AG540" s="33">
        <f t="shared" si="468"/>
        <v>6889</v>
      </c>
      <c r="AH540" s="33">
        <f t="shared" si="432"/>
        <v>1156559566.060914</v>
      </c>
      <c r="AI540" s="213">
        <f t="shared" si="469"/>
        <v>0.14378216835464055</v>
      </c>
      <c r="AJ540" s="50"/>
      <c r="AK540" s="111"/>
      <c r="AL540" s="23">
        <f t="shared" si="470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71"/>
        <v>3.7821304105799072E-3</v>
      </c>
      <c r="AS540" s="25"/>
      <c r="AT540" s="25"/>
      <c r="AU540" s="24"/>
      <c r="AV540" s="298">
        <f t="shared" si="472"/>
        <v>0.80174533556824146</v>
      </c>
      <c r="AW540" s="298"/>
      <c r="AX540" s="24">
        <f t="shared" si="473"/>
        <v>58640.180790960454</v>
      </c>
      <c r="AY540" s="308"/>
      <c r="AZ540" s="111"/>
      <c r="BA540" s="65">
        <f t="shared" si="474"/>
        <v>2369139</v>
      </c>
      <c r="BB540" s="66"/>
      <c r="BC540" s="66">
        <v>586680183</v>
      </c>
      <c r="BD540" s="66"/>
      <c r="BE540" s="66">
        <f t="shared" si="475"/>
        <v>184420</v>
      </c>
      <c r="BF540" s="66"/>
      <c r="BG540" s="144">
        <f t="shared" si="476"/>
        <v>7.78426255276706E-2</v>
      </c>
      <c r="BH540" s="66"/>
      <c r="BI540" s="170"/>
      <c r="BJ540" s="66"/>
      <c r="BK540" s="66">
        <f t="shared" si="477"/>
        <v>13028659</v>
      </c>
      <c r="BL540" s="66"/>
      <c r="BM540" s="144">
        <f t="shared" si="478"/>
        <v>7.217557846897367E-2</v>
      </c>
      <c r="BN540" s="65">
        <f t="shared" si="479"/>
        <v>1104859.1016949152</v>
      </c>
      <c r="BO540" s="66"/>
      <c r="BP540" s="66">
        <f t="shared" si="480"/>
        <v>37930711</v>
      </c>
      <c r="BQ540" s="66"/>
      <c r="BR540" s="435">
        <f t="shared" si="481"/>
        <v>6.465313146600693E-2</v>
      </c>
      <c r="BS540" s="66"/>
      <c r="BT540" s="75"/>
      <c r="BU540" s="170"/>
      <c r="BV540" s="1"/>
      <c r="BW540" s="61">
        <f t="shared" si="407"/>
        <v>531</v>
      </c>
    </row>
    <row r="541" spans="2:75" x14ac:dyDescent="0.3">
      <c r="B541" s="158">
        <f t="shared" si="457"/>
        <v>44441</v>
      </c>
      <c r="C541" s="61"/>
      <c r="D541" s="17">
        <v>177568</v>
      </c>
      <c r="E541" s="16"/>
      <c r="F541" s="16"/>
      <c r="G541" s="16"/>
      <c r="H541" s="16">
        <f t="shared" si="458"/>
        <v>39015257</v>
      </c>
      <c r="I541" s="16"/>
      <c r="J541" s="436">
        <f t="shared" si="459"/>
        <v>4.5720537079330338E-3</v>
      </c>
      <c r="K541" s="16"/>
      <c r="L541" s="16"/>
      <c r="M541" s="16"/>
      <c r="N541" s="16">
        <f t="shared" si="460"/>
        <v>940713</v>
      </c>
      <c r="O541" s="16">
        <f t="shared" si="461"/>
        <v>73336.949248120305</v>
      </c>
      <c r="P541" s="41"/>
      <c r="Q541" s="17">
        <f t="shared" si="462"/>
        <v>940713</v>
      </c>
      <c r="R541" s="16"/>
      <c r="S541" s="60">
        <f t="shared" si="463"/>
        <v>-6.216614991974638E-2</v>
      </c>
      <c r="T541" s="16"/>
      <c r="U541" s="41"/>
      <c r="V541" s="10">
        <f t="shared" si="356"/>
        <v>433</v>
      </c>
      <c r="W541" s="34">
        <v>1565</v>
      </c>
      <c r="X541" s="33">
        <v>4256</v>
      </c>
      <c r="Y541" s="33"/>
      <c r="Z541" s="33">
        <f t="shared" si="464"/>
        <v>5812</v>
      </c>
      <c r="AA541" s="33">
        <f t="shared" si="465"/>
        <v>636338</v>
      </c>
      <c r="AB541" s="33"/>
      <c r="AC541" s="46">
        <f t="shared" si="466"/>
        <v>1.6309978427157354E-2</v>
      </c>
      <c r="AD541" s="33"/>
      <c r="AE541" s="33">
        <f t="shared" si="467"/>
        <v>1196.124060150376</v>
      </c>
      <c r="AF541" s="50"/>
      <c r="AG541" s="33">
        <f t="shared" si="468"/>
        <v>7116</v>
      </c>
      <c r="AH541" s="33">
        <f t="shared" si="432"/>
        <v>1156454808.060914</v>
      </c>
      <c r="AI541" s="213">
        <f t="shared" si="469"/>
        <v>0.11291836096340319</v>
      </c>
      <c r="AJ541" s="50"/>
      <c r="AK541" s="111"/>
      <c r="AL541" s="23">
        <f t="shared" si="470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71"/>
        <v>1.9878966929599957E-3</v>
      </c>
      <c r="AS541" s="25"/>
      <c r="AT541" s="25"/>
      <c r="AU541" s="24"/>
      <c r="AV541" s="298">
        <f t="shared" si="472"/>
        <v>0.79968292916794059</v>
      </c>
      <c r="AW541" s="298"/>
      <c r="AX541" s="24">
        <f t="shared" si="473"/>
        <v>58646.306390977443</v>
      </c>
      <c r="AY541" s="308"/>
      <c r="AZ541" s="111"/>
      <c r="BA541" s="65">
        <f t="shared" si="474"/>
        <v>1881537</v>
      </c>
      <c r="BB541" s="66"/>
      <c r="BC541" s="66">
        <v>588561720</v>
      </c>
      <c r="BD541" s="66"/>
      <c r="BE541" s="66">
        <f t="shared" si="475"/>
        <v>177568</v>
      </c>
      <c r="BF541" s="66"/>
      <c r="BG541" s="144">
        <f t="shared" si="476"/>
        <v>9.4373908139994064E-2</v>
      </c>
      <c r="BH541" s="66"/>
      <c r="BI541" s="170"/>
      <c r="BJ541" s="66"/>
      <c r="BK541" s="66">
        <f t="shared" si="477"/>
        <v>12561720</v>
      </c>
      <c r="BL541" s="66"/>
      <c r="BM541" s="144">
        <f t="shared" si="478"/>
        <v>7.4887276583143078E-2</v>
      </c>
      <c r="BN541" s="65">
        <f t="shared" si="479"/>
        <v>1106319.0225563911</v>
      </c>
      <c r="BO541" s="66"/>
      <c r="BP541" s="66">
        <f t="shared" si="480"/>
        <v>38108279</v>
      </c>
      <c r="BQ541" s="66"/>
      <c r="BR541" s="435">
        <f t="shared" si="481"/>
        <v>6.4748144000938423E-2</v>
      </c>
      <c r="BS541" s="66"/>
      <c r="BT541" s="75"/>
      <c r="BU541" s="170"/>
      <c r="BV541" s="1"/>
      <c r="BW541" s="61">
        <f t="shared" si="407"/>
        <v>532</v>
      </c>
    </row>
    <row r="542" spans="2:75" x14ac:dyDescent="0.3">
      <c r="B542" s="158">
        <f t="shared" si="457"/>
        <v>44442</v>
      </c>
      <c r="C542" s="61"/>
      <c r="D542" s="17">
        <v>182593</v>
      </c>
      <c r="E542" s="16"/>
      <c r="F542" s="16"/>
      <c r="G542" s="16"/>
      <c r="H542" s="16">
        <f t="shared" si="458"/>
        <v>39197850</v>
      </c>
      <c r="I542" s="16"/>
      <c r="J542" s="436">
        <f t="shared" si="459"/>
        <v>4.6800409388563042E-3</v>
      </c>
      <c r="K542" s="16"/>
      <c r="L542" s="16"/>
      <c r="M542" s="16"/>
      <c r="N542" s="16">
        <f t="shared" si="460"/>
        <v>932936</v>
      </c>
      <c r="O542" s="16">
        <f t="shared" si="461"/>
        <v>73541.932457786112</v>
      </c>
      <c r="P542" s="41"/>
      <c r="Q542" s="17">
        <f t="shared" si="462"/>
        <v>932936</v>
      </c>
      <c r="R542" s="16"/>
      <c r="S542" s="60">
        <f t="shared" si="463"/>
        <v>-0.10495312434042128</v>
      </c>
      <c r="T542" s="16"/>
      <c r="U542" s="41"/>
      <c r="V542" s="10">
        <f t="shared" si="356"/>
        <v>434</v>
      </c>
      <c r="W542" s="34">
        <v>1512</v>
      </c>
      <c r="X542" s="33">
        <v>4256</v>
      </c>
      <c r="Y542" s="33"/>
      <c r="Z542" s="33">
        <f t="shared" si="464"/>
        <v>6676</v>
      </c>
      <c r="AA542" s="33">
        <f t="shared" si="465"/>
        <v>637850</v>
      </c>
      <c r="AB542" s="33"/>
      <c r="AC542" s="46">
        <f t="shared" si="466"/>
        <v>1.6272576174458549E-2</v>
      </c>
      <c r="AD542" s="33"/>
      <c r="AE542" s="33">
        <f t="shared" si="467"/>
        <v>1196.71669793621</v>
      </c>
      <c r="AF542" s="50"/>
      <c r="AG542" s="33">
        <f t="shared" si="468"/>
        <v>7324</v>
      </c>
      <c r="AH542" s="33">
        <f t="shared" si="432"/>
        <v>1156342529.060914</v>
      </c>
      <c r="AI542" s="213">
        <f t="shared" si="469"/>
        <v>0.10317818948636844</v>
      </c>
      <c r="AJ542" s="50"/>
      <c r="AK542" s="111"/>
      <c r="AL542" s="23">
        <f t="shared" si="470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71"/>
        <v>2.1157804199926056E-3</v>
      </c>
      <c r="AS542" s="25"/>
      <c r="AT542" s="25"/>
      <c r="AU542" s="24"/>
      <c r="AV542" s="298">
        <f t="shared" si="472"/>
        <v>0.79764188597078667</v>
      </c>
      <c r="AW542" s="298"/>
      <c r="AX542" s="24">
        <f t="shared" si="473"/>
        <v>58660.125703564729</v>
      </c>
      <c r="AY542" s="308"/>
      <c r="AZ542" s="111"/>
      <c r="BA542" s="65">
        <f t="shared" si="474"/>
        <v>2113664</v>
      </c>
      <c r="BB542" s="66"/>
      <c r="BC542" s="66">
        <v>590675384</v>
      </c>
      <c r="BD542" s="66"/>
      <c r="BE542" s="66">
        <f t="shared" si="475"/>
        <v>182593</v>
      </c>
      <c r="BF542" s="66"/>
      <c r="BG542" s="144">
        <f t="shared" si="476"/>
        <v>8.638695648882698E-2</v>
      </c>
      <c r="BH542" s="66"/>
      <c r="BI542" s="170"/>
      <c r="BJ542" s="66"/>
      <c r="BK542" s="66">
        <f t="shared" si="477"/>
        <v>13201146</v>
      </c>
      <c r="BL542" s="66"/>
      <c r="BM542" s="144">
        <f t="shared" si="478"/>
        <v>7.0670834183638301E-2</v>
      </c>
      <c r="BN542" s="65">
        <f t="shared" si="479"/>
        <v>1108208.9756097561</v>
      </c>
      <c r="BO542" s="66"/>
      <c r="BP542" s="66">
        <f t="shared" si="480"/>
        <v>38290872</v>
      </c>
      <c r="BQ542" s="66"/>
      <c r="BR542" s="435">
        <f t="shared" si="481"/>
        <v>6.4825576005381663E-2</v>
      </c>
      <c r="BS542" s="66"/>
      <c r="BT542" s="75"/>
      <c r="BU542" s="170"/>
      <c r="BV542" s="1"/>
      <c r="BW542" s="61">
        <f t="shared" si="407"/>
        <v>533</v>
      </c>
    </row>
    <row r="543" spans="2:75" x14ac:dyDescent="0.3">
      <c r="B543" s="158">
        <f t="shared" si="457"/>
        <v>44443</v>
      </c>
      <c r="C543" s="61"/>
      <c r="D543" s="17">
        <v>58682</v>
      </c>
      <c r="E543" s="16"/>
      <c r="F543" s="16"/>
      <c r="G543" s="16"/>
      <c r="H543" s="16">
        <f t="shared" si="458"/>
        <v>39256532</v>
      </c>
      <c r="I543" s="16"/>
      <c r="J543" s="436">
        <f t="shared" si="459"/>
        <v>1.4970719057295235E-3</v>
      </c>
      <c r="K543" s="16"/>
      <c r="L543" s="16"/>
      <c r="M543" s="16"/>
      <c r="N543" s="16">
        <f t="shared" si="460"/>
        <v>918833</v>
      </c>
      <c r="O543" s="16">
        <f t="shared" si="461"/>
        <v>73514.104868913855</v>
      </c>
      <c r="P543" s="41"/>
      <c r="Q543" s="17">
        <f t="shared" si="462"/>
        <v>918833</v>
      </c>
      <c r="R543" s="16"/>
      <c r="S543" s="60">
        <f t="shared" si="463"/>
        <v>-5.2782685967708347E-2</v>
      </c>
      <c r="T543" s="16"/>
      <c r="U543" s="41"/>
      <c r="V543" s="10">
        <f t="shared" si="356"/>
        <v>435</v>
      </c>
      <c r="W543" s="34">
        <v>576</v>
      </c>
      <c r="X543" s="33">
        <v>4256</v>
      </c>
      <c r="Y543" s="33"/>
      <c r="Z543" s="33">
        <f t="shared" si="464"/>
        <v>6968</v>
      </c>
      <c r="AA543" s="33">
        <f t="shared" si="465"/>
        <v>638426</v>
      </c>
      <c r="AB543" s="33"/>
      <c r="AC543" s="46">
        <f t="shared" si="466"/>
        <v>1.626292409120602E-2</v>
      </c>
      <c r="AD543" s="33"/>
      <c r="AE543" s="33">
        <f t="shared" si="467"/>
        <v>1195.5543071161048</v>
      </c>
      <c r="AF543" s="50"/>
      <c r="AG543" s="33">
        <f t="shared" si="468"/>
        <v>7252</v>
      </c>
      <c r="AH543" s="33">
        <f t="shared" si="432"/>
        <v>1156221584.060914</v>
      </c>
      <c r="AI543" s="213">
        <f t="shared" si="469"/>
        <v>0.11500615006150061</v>
      </c>
      <c r="AJ543" s="50"/>
      <c r="AK543" s="111"/>
      <c r="AL543" s="23">
        <f t="shared" si="470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71"/>
        <v>1.0899113016193036E-3</v>
      </c>
      <c r="AS543" s="25"/>
      <c r="AT543" s="25"/>
      <c r="AU543" s="24"/>
      <c r="AV543" s="298">
        <f t="shared" si="472"/>
        <v>0.79731760309341637</v>
      </c>
      <c r="AW543" s="298"/>
      <c r="AX543" s="24">
        <f t="shared" si="473"/>
        <v>58614.089887640446</v>
      </c>
      <c r="AY543" s="308"/>
      <c r="AZ543" s="111"/>
      <c r="BA543" s="65">
        <f t="shared" si="474"/>
        <v>834621</v>
      </c>
      <c r="BB543" s="66"/>
      <c r="BC543" s="66">
        <v>591510005</v>
      </c>
      <c r="BD543" s="66"/>
      <c r="BE543" s="66">
        <f t="shared" si="475"/>
        <v>58682</v>
      </c>
      <c r="BF543" s="66"/>
      <c r="BG543" s="144">
        <f t="shared" si="476"/>
        <v>7.0309757362922817E-2</v>
      </c>
      <c r="BH543" s="66"/>
      <c r="BI543" s="170"/>
      <c r="BJ543" s="66"/>
      <c r="BK543" s="66">
        <f t="shared" si="477"/>
        <v>13036394</v>
      </c>
      <c r="BL543" s="66"/>
      <c r="BM543" s="144">
        <f t="shared" si="478"/>
        <v>7.0482144065299041E-2</v>
      </c>
      <c r="BN543" s="65">
        <f t="shared" si="479"/>
        <v>1107696.638576779</v>
      </c>
      <c r="BO543" s="66"/>
      <c r="BP543" s="66">
        <f t="shared" si="480"/>
        <v>38349554</v>
      </c>
      <c r="BQ543" s="66"/>
      <c r="BR543" s="435">
        <f t="shared" si="481"/>
        <v>6.4833314188827623E-2</v>
      </c>
      <c r="BS543" s="66"/>
      <c r="BT543" s="75"/>
      <c r="BU543" s="170"/>
      <c r="BV543" s="1"/>
      <c r="BW543" s="61">
        <f t="shared" si="407"/>
        <v>534</v>
      </c>
    </row>
    <row r="544" spans="2:75" x14ac:dyDescent="0.3">
      <c r="B544" s="347">
        <f t="shared" si="457"/>
        <v>44444</v>
      </c>
      <c r="C544" s="61"/>
      <c r="D544" s="17">
        <v>35586</v>
      </c>
      <c r="E544" s="16"/>
      <c r="F544" s="16"/>
      <c r="G544" s="16"/>
      <c r="H544" s="16">
        <f t="shared" si="458"/>
        <v>39292118</v>
      </c>
      <c r="I544" s="16"/>
      <c r="J544" s="436">
        <f t="shared" si="459"/>
        <v>9.0649882164833102E-4</v>
      </c>
      <c r="K544" s="16"/>
      <c r="L544" s="16"/>
      <c r="M544" s="16"/>
      <c r="N544" s="16">
        <f t="shared" si="460"/>
        <v>917157</v>
      </c>
      <c r="O544" s="16">
        <f t="shared" si="461"/>
        <v>73443.211214953277</v>
      </c>
      <c r="P544" s="41"/>
      <c r="Q544" s="17">
        <f t="shared" si="462"/>
        <v>917157</v>
      </c>
      <c r="R544" s="16"/>
      <c r="S544" s="60">
        <f t="shared" si="463"/>
        <v>9.9591130178733264E-3</v>
      </c>
      <c r="T544" s="16"/>
      <c r="U544" s="41"/>
      <c r="V544" s="10">
        <f t="shared" si="356"/>
        <v>436</v>
      </c>
      <c r="W544" s="34">
        <v>367</v>
      </c>
      <c r="X544" s="33">
        <v>4256</v>
      </c>
      <c r="Y544" s="33"/>
      <c r="Z544" s="33">
        <f t="shared" si="464"/>
        <v>6766</v>
      </c>
      <c r="AA544" s="33">
        <f t="shared" si="465"/>
        <v>638793</v>
      </c>
      <c r="AB544" s="33"/>
      <c r="AC544" s="46">
        <f t="shared" si="466"/>
        <v>1.6257535417154148E-2</v>
      </c>
      <c r="AD544" s="33"/>
      <c r="AE544" s="33">
        <f t="shared" si="467"/>
        <v>1194.0056074766355</v>
      </c>
      <c r="AF544" s="50"/>
      <c r="AG544" s="33">
        <f t="shared" si="468"/>
        <v>7335</v>
      </c>
      <c r="AH544" s="33">
        <f t="shared" si="432"/>
        <v>1156090878.060914</v>
      </c>
      <c r="AI544" s="213">
        <f t="shared" si="469"/>
        <v>0.14591470082799562</v>
      </c>
      <c r="AJ544" s="50"/>
      <c r="AK544" s="111"/>
      <c r="AL544" s="23">
        <f t="shared" si="470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71"/>
        <v>5.0565617986804054E-4</v>
      </c>
      <c r="AS544" s="25"/>
      <c r="AT544" s="25"/>
      <c r="AU544" s="24"/>
      <c r="AV544" s="298">
        <f t="shared" si="472"/>
        <v>0.79699829365268626</v>
      </c>
      <c r="AW544" s="298"/>
      <c r="AX544" s="24">
        <f t="shared" si="473"/>
        <v>58534.114018691587</v>
      </c>
      <c r="AY544" s="308"/>
      <c r="AZ544" s="111"/>
      <c r="BA544" s="65">
        <f t="shared" si="474"/>
        <v>907739</v>
      </c>
      <c r="BB544" s="66"/>
      <c r="BC544" s="66">
        <v>592417744</v>
      </c>
      <c r="BD544" s="66"/>
      <c r="BE544" s="66">
        <f t="shared" si="475"/>
        <v>35586</v>
      </c>
      <c r="BF544" s="66"/>
      <c r="BG544" s="144">
        <f t="shared" si="476"/>
        <v>3.9202898630553498E-2</v>
      </c>
      <c r="BH544" s="66"/>
      <c r="BI544" s="170"/>
      <c r="BJ544" s="66"/>
      <c r="BK544" s="66">
        <f t="shared" si="477"/>
        <v>13053090</v>
      </c>
      <c r="BL544" s="66"/>
      <c r="BM544" s="144">
        <f t="shared" si="478"/>
        <v>7.0263592758496266E-2</v>
      </c>
      <c r="BN544" s="65">
        <f t="shared" si="479"/>
        <v>1107322.8859813083</v>
      </c>
      <c r="BO544" s="66"/>
      <c r="BP544" s="66">
        <f t="shared" si="480"/>
        <v>38385140</v>
      </c>
      <c r="BQ544" s="66"/>
      <c r="BR544" s="435">
        <f t="shared" si="481"/>
        <v>6.4794041685557621E-2</v>
      </c>
      <c r="BS544" s="66"/>
      <c r="BT544" s="75"/>
      <c r="BU544" s="170"/>
      <c r="BV544" s="1"/>
      <c r="BW544" s="61">
        <f t="shared" si="407"/>
        <v>535</v>
      </c>
    </row>
    <row r="545" spans="2:75" x14ac:dyDescent="0.3">
      <c r="B545" s="158">
        <f t="shared" si="457"/>
        <v>44445</v>
      </c>
      <c r="C545" s="61"/>
      <c r="D545" s="17">
        <v>39644</v>
      </c>
      <c r="E545" s="16"/>
      <c r="F545" s="16"/>
      <c r="G545" s="16"/>
      <c r="H545" s="16">
        <f t="shared" si="458"/>
        <v>39331762</v>
      </c>
      <c r="I545" s="16"/>
      <c r="J545" s="436">
        <f t="shared" si="459"/>
        <v>1.0089555365786086E-3</v>
      </c>
      <c r="K545" s="16"/>
      <c r="L545" s="16"/>
      <c r="M545" s="16"/>
      <c r="N545" s="16">
        <f t="shared" si="460"/>
        <v>837159</v>
      </c>
      <c r="O545" s="16">
        <f t="shared" si="461"/>
        <v>73380.15298507463</v>
      </c>
      <c r="P545" s="41"/>
      <c r="Q545" s="17">
        <f t="shared" si="462"/>
        <v>837159</v>
      </c>
      <c r="R545" s="16"/>
      <c r="S545" s="60">
        <f t="shared" si="463"/>
        <v>-8.669013692682144E-2</v>
      </c>
      <c r="T545" s="16"/>
      <c r="U545" s="41"/>
      <c r="V545" s="10">
        <f t="shared" si="356"/>
        <v>437</v>
      </c>
      <c r="W545" s="34">
        <v>236</v>
      </c>
      <c r="X545" s="33">
        <v>4256</v>
      </c>
      <c r="Y545" s="33"/>
      <c r="Z545" s="33">
        <f t="shared" si="464"/>
        <v>5736</v>
      </c>
      <c r="AA545" s="33">
        <f t="shared" si="465"/>
        <v>639029</v>
      </c>
      <c r="AB545" s="33"/>
      <c r="AC545" s="46">
        <f t="shared" si="466"/>
        <v>1.624714905983617E-2</v>
      </c>
      <c r="AD545" s="33"/>
      <c r="AE545" s="33">
        <f t="shared" si="467"/>
        <v>1192.2182835820895</v>
      </c>
      <c r="AF545" s="50"/>
      <c r="AG545" s="33">
        <f t="shared" si="468"/>
        <v>7002</v>
      </c>
      <c r="AH545" s="33">
        <f t="shared" si="432"/>
        <v>1156021928.060914</v>
      </c>
      <c r="AI545" s="213">
        <f t="shared" si="469"/>
        <v>6.6727605118829983E-2</v>
      </c>
      <c r="AJ545" s="50"/>
      <c r="AK545" s="111"/>
      <c r="AL545" s="23">
        <f t="shared" si="470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71"/>
        <v>6.2355202658240575E-4</v>
      </c>
      <c r="AS545" s="25"/>
      <c r="AT545" s="25"/>
      <c r="AU545" s="24"/>
      <c r="AV545" s="298">
        <f t="shared" si="472"/>
        <v>0.79669143731725012</v>
      </c>
      <c r="AW545" s="298"/>
      <c r="AX545" s="24">
        <f t="shared" si="473"/>
        <v>58461.339552238809</v>
      </c>
      <c r="AY545" s="308"/>
      <c r="AZ545" s="111"/>
      <c r="BA545" s="65">
        <f t="shared" si="474"/>
        <v>953476</v>
      </c>
      <c r="BB545" s="66"/>
      <c r="BC545" s="66">
        <v>593371220</v>
      </c>
      <c r="BD545" s="66"/>
      <c r="BE545" s="66">
        <f t="shared" si="475"/>
        <v>39644</v>
      </c>
      <c r="BF545" s="66"/>
      <c r="BG545" s="144">
        <f t="shared" si="476"/>
        <v>4.1578393163540561E-2</v>
      </c>
      <c r="BH545" s="66"/>
      <c r="BI545" s="170"/>
      <c r="BJ545" s="66"/>
      <c r="BK545" s="66">
        <f t="shared" si="477"/>
        <v>10847208</v>
      </c>
      <c r="BL545" s="66"/>
      <c r="BM545" s="144">
        <f t="shared" si="478"/>
        <v>7.7177371356758354E-2</v>
      </c>
      <c r="BN545" s="65">
        <f t="shared" si="479"/>
        <v>1107035.8582089553</v>
      </c>
      <c r="BO545" s="66"/>
      <c r="BP545" s="66">
        <f t="shared" si="480"/>
        <v>38424784</v>
      </c>
      <c r="BQ545" s="66"/>
      <c r="BR545" s="435">
        <f t="shared" si="481"/>
        <v>6.4756736937797557E-2</v>
      </c>
      <c r="BS545" s="66"/>
      <c r="BT545" s="75"/>
      <c r="BU545" s="170"/>
      <c r="BV545" s="1"/>
      <c r="BW545" s="61">
        <f t="shared" si="407"/>
        <v>536</v>
      </c>
    </row>
    <row r="546" spans="2:75" x14ac:dyDescent="0.3">
      <c r="B546" s="158">
        <f t="shared" si="457"/>
        <v>44446</v>
      </c>
      <c r="C546" s="61"/>
      <c r="D546" s="17">
        <v>115776</v>
      </c>
      <c r="E546" s="16"/>
      <c r="F546" s="16"/>
      <c r="G546" s="16"/>
      <c r="H546" s="16">
        <f t="shared" si="458"/>
        <v>39447538</v>
      </c>
      <c r="I546" s="16"/>
      <c r="J546" s="436">
        <f t="shared" si="459"/>
        <v>2.9435752204541457E-3</v>
      </c>
      <c r="K546" s="16"/>
      <c r="L546" s="16"/>
      <c r="M546" s="16"/>
      <c r="N546" s="16">
        <f t="shared" si="460"/>
        <v>794269</v>
      </c>
      <c r="O546" s="16">
        <f t="shared" si="461"/>
        <v>73459.102420856609</v>
      </c>
      <c r="P546" s="41"/>
      <c r="Q546" s="17">
        <f t="shared" si="462"/>
        <v>794269</v>
      </c>
      <c r="R546" s="16"/>
      <c r="S546" s="60">
        <f t="shared" si="463"/>
        <v>-0.14380036823518758</v>
      </c>
      <c r="T546" s="16"/>
      <c r="U546" s="41"/>
      <c r="V546" s="10">
        <f t="shared" si="356"/>
        <v>438</v>
      </c>
      <c r="W546" s="34">
        <v>919</v>
      </c>
      <c r="X546" s="33">
        <v>4256</v>
      </c>
      <c r="Y546" s="33"/>
      <c r="Z546" s="33">
        <f t="shared" si="464"/>
        <v>5175</v>
      </c>
      <c r="AA546" s="33">
        <f t="shared" si="465"/>
        <v>639948</v>
      </c>
      <c r="AB546" s="33"/>
      <c r="AC546" s="46">
        <f t="shared" si="466"/>
        <v>1.6222761481337569E-2</v>
      </c>
      <c r="AD546" s="33"/>
      <c r="AE546" s="33">
        <f t="shared" si="467"/>
        <v>1191.7094972067039</v>
      </c>
      <c r="AF546" s="50"/>
      <c r="AG546" s="33">
        <f t="shared" si="468"/>
        <v>6655</v>
      </c>
      <c r="AH546" s="33">
        <f t="shared" si="432"/>
        <v>1155997538.060914</v>
      </c>
      <c r="AI546" s="213">
        <f t="shared" si="469"/>
        <v>-6.1230585424133814E-3</v>
      </c>
      <c r="AJ546" s="50"/>
      <c r="AK546" s="111"/>
      <c r="AL546" s="23">
        <f t="shared" si="470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71"/>
        <v>6.6756069628614752E-3</v>
      </c>
      <c r="AS546" s="25"/>
      <c r="AT546" s="25"/>
      <c r="AU546" s="24"/>
      <c r="AV546" s="298">
        <f t="shared" si="472"/>
        <v>0.79965598867031951</v>
      </c>
      <c r="AW546" s="298"/>
      <c r="AX546" s="24">
        <f t="shared" si="473"/>
        <v>58742.011173184357</v>
      </c>
      <c r="AY546" s="308"/>
      <c r="AZ546" s="111"/>
      <c r="BA546" s="65">
        <f t="shared" si="474"/>
        <v>3957044</v>
      </c>
      <c r="BB546" s="66"/>
      <c r="BC546" s="66">
        <v>597328264</v>
      </c>
      <c r="BD546" s="66"/>
      <c r="BE546" s="66">
        <f t="shared" si="475"/>
        <v>115776</v>
      </c>
      <c r="BF546" s="66"/>
      <c r="BG546" s="144">
        <f t="shared" si="476"/>
        <v>2.9258203851157582E-2</v>
      </c>
      <c r="BH546" s="66"/>
      <c r="BI546" s="170"/>
      <c r="BJ546" s="66"/>
      <c r="BK546" s="66">
        <f t="shared" si="477"/>
        <v>13017220</v>
      </c>
      <c r="BL546" s="66"/>
      <c r="BM546" s="144">
        <f t="shared" si="478"/>
        <v>6.1016791603737207E-2</v>
      </c>
      <c r="BN546" s="65">
        <f t="shared" si="479"/>
        <v>1112343.1359404097</v>
      </c>
      <c r="BO546" s="66"/>
      <c r="BP546" s="66">
        <f t="shared" si="480"/>
        <v>38540560</v>
      </c>
      <c r="BQ546" s="66"/>
      <c r="BR546" s="435">
        <f t="shared" si="481"/>
        <v>6.4521574354968081E-2</v>
      </c>
      <c r="BS546" s="66"/>
      <c r="BT546" s="75"/>
      <c r="BU546" s="170"/>
      <c r="BV546" s="1"/>
      <c r="BW546" s="61">
        <f t="shared" si="407"/>
        <v>537</v>
      </c>
    </row>
    <row r="547" spans="2:75" x14ac:dyDescent="0.3">
      <c r="B547" s="158">
        <f t="shared" si="457"/>
        <v>44447</v>
      </c>
      <c r="C547" s="61"/>
      <c r="D547" s="17">
        <v>157759</v>
      </c>
      <c r="E547" s="16"/>
      <c r="F547" s="16"/>
      <c r="G547" s="16"/>
      <c r="H547" s="16">
        <f t="shared" si="458"/>
        <v>39605297</v>
      </c>
      <c r="I547" s="16"/>
      <c r="J547" s="436">
        <f t="shared" si="459"/>
        <v>3.9992102929211956E-3</v>
      </c>
      <c r="K547" s="16"/>
      <c r="L547" s="16"/>
      <c r="M547" s="16"/>
      <c r="N547" s="16">
        <f t="shared" si="460"/>
        <v>767608</v>
      </c>
      <c r="O547" s="16">
        <f t="shared" si="461"/>
        <v>73615.7936802974</v>
      </c>
      <c r="P547" s="41"/>
      <c r="Q547" s="17">
        <f t="shared" si="462"/>
        <v>767608</v>
      </c>
      <c r="R547" s="16"/>
      <c r="S547" s="60">
        <f t="shared" si="463"/>
        <v>-0.18370055436746491</v>
      </c>
      <c r="T547" s="16"/>
      <c r="U547" s="41"/>
      <c r="V547" s="10">
        <f t="shared" si="356"/>
        <v>439</v>
      </c>
      <c r="W547" s="34">
        <v>1700</v>
      </c>
      <c r="X547" s="33">
        <v>4256</v>
      </c>
      <c r="Y547" s="33"/>
      <c r="Z547" s="33">
        <f t="shared" si="464"/>
        <v>5310</v>
      </c>
      <c r="AA547" s="33">
        <f t="shared" si="465"/>
        <v>641648</v>
      </c>
      <c r="AB547" s="33"/>
      <c r="AC547" s="46">
        <f t="shared" si="466"/>
        <v>1.6201065226199414E-2</v>
      </c>
      <c r="AD547" s="33"/>
      <c r="AE547" s="33">
        <f t="shared" si="467"/>
        <v>1192.6542750929368</v>
      </c>
      <c r="AF547" s="50"/>
      <c r="AG547" s="33">
        <f t="shared" si="468"/>
        <v>6875</v>
      </c>
      <c r="AH547" s="33">
        <f t="shared" si="432"/>
        <v>1155895163.060914</v>
      </c>
      <c r="AI547" s="213">
        <f t="shared" si="469"/>
        <v>-2.0322252866889243E-3</v>
      </c>
      <c r="AJ547" s="50"/>
      <c r="AK547" s="111"/>
      <c r="AL547" s="23">
        <f t="shared" si="470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71"/>
        <v>3.9007483405960985E-3</v>
      </c>
      <c r="AS547" s="25"/>
      <c r="AT547" s="25"/>
      <c r="AU547" s="24"/>
      <c r="AV547" s="298">
        <f t="shared" si="472"/>
        <v>0.79957756660681023</v>
      </c>
      <c r="AW547" s="298"/>
      <c r="AX547" s="24">
        <f t="shared" si="473"/>
        <v>58861.53717472119</v>
      </c>
      <c r="AY547" s="308"/>
      <c r="AZ547" s="111"/>
      <c r="BA547" s="65">
        <f t="shared" si="474"/>
        <v>1689006</v>
      </c>
      <c r="BB547" s="66"/>
      <c r="BC547" s="66">
        <v>599017270</v>
      </c>
      <c r="BD547" s="66"/>
      <c r="BE547" s="66">
        <f t="shared" si="475"/>
        <v>157759</v>
      </c>
      <c r="BF547" s="66"/>
      <c r="BG547" s="144">
        <f t="shared" si="476"/>
        <v>9.3403457418150079E-2</v>
      </c>
      <c r="BH547" s="66"/>
      <c r="BI547" s="170"/>
      <c r="BJ547" s="66"/>
      <c r="BK547" s="66">
        <f t="shared" si="477"/>
        <v>12337087</v>
      </c>
      <c r="BL547" s="66"/>
      <c r="BM547" s="144">
        <f t="shared" si="478"/>
        <v>6.2219549882399305E-2</v>
      </c>
      <c r="BN547" s="65">
        <f t="shared" si="479"/>
        <v>1113415</v>
      </c>
      <c r="BO547" s="66"/>
      <c r="BP547" s="66">
        <f t="shared" si="480"/>
        <v>38698319</v>
      </c>
      <c r="BQ547" s="66"/>
      <c r="BR547" s="435">
        <f t="shared" si="481"/>
        <v>6.4603010527559582E-2</v>
      </c>
      <c r="BS547" s="66"/>
      <c r="BT547" s="75"/>
      <c r="BU547" s="170"/>
      <c r="BV547" s="1"/>
      <c r="BW547" s="61">
        <f t="shared" si="407"/>
        <v>538</v>
      </c>
    </row>
    <row r="548" spans="2:75" x14ac:dyDescent="0.3">
      <c r="B548" s="158">
        <f t="shared" si="457"/>
        <v>44448</v>
      </c>
      <c r="C548" s="61"/>
      <c r="D548" s="17">
        <v>160748</v>
      </c>
      <c r="E548" s="16"/>
      <c r="F548" s="16"/>
      <c r="G548" s="16"/>
      <c r="H548" s="16">
        <f t="shared" si="458"/>
        <v>39766045</v>
      </c>
      <c r="I548" s="16"/>
      <c r="J548" s="436">
        <f t="shared" si="459"/>
        <v>4.0587500202308793E-3</v>
      </c>
      <c r="K548" s="16"/>
      <c r="L548" s="16"/>
      <c r="M548" s="16"/>
      <c r="N548" s="16">
        <f t="shared" si="460"/>
        <v>750788</v>
      </c>
      <c r="O548" s="16">
        <f t="shared" si="461"/>
        <v>73777.448979591834</v>
      </c>
      <c r="P548" s="41"/>
      <c r="Q548" s="17">
        <f t="shared" si="462"/>
        <v>750788</v>
      </c>
      <c r="R548" s="16"/>
      <c r="S548" s="60">
        <f t="shared" si="463"/>
        <v>-0.20189473303760019</v>
      </c>
      <c r="T548" s="16"/>
      <c r="U548" s="41"/>
      <c r="V548" s="10">
        <f t="shared" si="356"/>
        <v>440</v>
      </c>
      <c r="W548" s="34">
        <v>1929</v>
      </c>
      <c r="X548" s="33">
        <v>4256</v>
      </c>
      <c r="Y548" s="33"/>
      <c r="Z548" s="33">
        <f t="shared" si="464"/>
        <v>5727</v>
      </c>
      <c r="AA548" s="33">
        <f t="shared" si="465"/>
        <v>643577</v>
      </c>
      <c r="AB548" s="33"/>
      <c r="AC548" s="46">
        <f t="shared" si="466"/>
        <v>1.618408368244818E-2</v>
      </c>
      <c r="AD548" s="33"/>
      <c r="AE548" s="33">
        <f t="shared" si="467"/>
        <v>1194.0204081632653</v>
      </c>
      <c r="AF548" s="50"/>
      <c r="AG548" s="33">
        <f t="shared" si="468"/>
        <v>7239</v>
      </c>
      <c r="AH548" s="33">
        <f t="shared" si="432"/>
        <v>1155793909.060914</v>
      </c>
      <c r="AI548" s="213">
        <f t="shared" si="469"/>
        <v>1.7284991568296795E-2</v>
      </c>
      <c r="AJ548" s="50"/>
      <c r="AK548" s="111"/>
      <c r="AL548" s="23">
        <f t="shared" si="470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71"/>
        <v>2.4457877280961841E-3</v>
      </c>
      <c r="AS548" s="25"/>
      <c r="AT548" s="25"/>
      <c r="AU548" s="24"/>
      <c r="AV548" s="298">
        <f t="shared" si="472"/>
        <v>0.7982930915055797</v>
      </c>
      <c r="AW548" s="298"/>
      <c r="AX548" s="24">
        <f t="shared" si="473"/>
        <v>58896.027829313542</v>
      </c>
      <c r="AY548" s="308"/>
      <c r="AZ548" s="111"/>
      <c r="BA548" s="65">
        <f t="shared" si="474"/>
        <v>1876420</v>
      </c>
      <c r="BB548" s="66"/>
      <c r="BC548" s="66">
        <v>600893690</v>
      </c>
      <c r="BD548" s="66"/>
      <c r="BE548" s="66">
        <f t="shared" si="475"/>
        <v>160748</v>
      </c>
      <c r="BF548" s="66"/>
      <c r="BG548" s="144">
        <f t="shared" si="476"/>
        <v>8.5667387898231737E-2</v>
      </c>
      <c r="BH548" s="66"/>
      <c r="BI548" s="170"/>
      <c r="BJ548" s="66"/>
      <c r="BK548" s="66">
        <f t="shared" si="477"/>
        <v>12331970</v>
      </c>
      <c r="BL548" s="66"/>
      <c r="BM548" s="144">
        <f t="shared" si="478"/>
        <v>6.0881432569167782E-2</v>
      </c>
      <c r="BN548" s="65">
        <f t="shared" si="479"/>
        <v>1114830.5936920224</v>
      </c>
      <c r="BO548" s="66"/>
      <c r="BP548" s="66">
        <f t="shared" si="480"/>
        <v>38859067</v>
      </c>
      <c r="BQ548" s="66"/>
      <c r="BR548" s="435">
        <f t="shared" si="481"/>
        <v>6.4668788583884113E-2</v>
      </c>
      <c r="BS548" s="66"/>
      <c r="BT548" s="75"/>
      <c r="BU548" s="170"/>
      <c r="BV548" s="1"/>
      <c r="BW548" s="61">
        <f t="shared" si="407"/>
        <v>539</v>
      </c>
    </row>
    <row r="549" spans="2:75" x14ac:dyDescent="0.3">
      <c r="B549" s="158">
        <f t="shared" si="457"/>
        <v>44449</v>
      </c>
      <c r="C549" s="61"/>
      <c r="D549" s="17">
        <v>171125</v>
      </c>
      <c r="E549" s="16"/>
      <c r="F549" s="16"/>
      <c r="G549" s="16"/>
      <c r="H549" s="16">
        <f t="shared" si="458"/>
        <v>39937170</v>
      </c>
      <c r="I549" s="16"/>
      <c r="J549" s="436">
        <f t="shared" si="459"/>
        <v>4.3032944312163804E-3</v>
      </c>
      <c r="K549" s="16"/>
      <c r="L549" s="16"/>
      <c r="M549" s="16"/>
      <c r="N549" s="16">
        <f t="shared" si="460"/>
        <v>739320</v>
      </c>
      <c r="O549" s="16">
        <f t="shared" si="461"/>
        <v>73957.722222222219</v>
      </c>
      <c r="P549" s="41"/>
      <c r="Q549" s="17">
        <f t="shared" si="462"/>
        <v>739320</v>
      </c>
      <c r="R549" s="16"/>
      <c r="S549" s="60">
        <f t="shared" si="463"/>
        <v>-0.20753406450174502</v>
      </c>
      <c r="T549" s="16"/>
      <c r="U549" s="41"/>
      <c r="V549" s="10">
        <f t="shared" si="356"/>
        <v>441</v>
      </c>
      <c r="W549" s="34">
        <v>1761</v>
      </c>
      <c r="X549" s="33">
        <v>4256</v>
      </c>
      <c r="Y549" s="33"/>
      <c r="Z549" s="33">
        <f t="shared" si="464"/>
        <v>6912</v>
      </c>
      <c r="AA549" s="33">
        <f t="shared" si="465"/>
        <v>645338</v>
      </c>
      <c r="AB549" s="33"/>
      <c r="AC549" s="46">
        <f t="shared" si="466"/>
        <v>1.6158831484554364E-2</v>
      </c>
      <c r="AD549" s="33"/>
      <c r="AE549" s="33">
        <f t="shared" si="467"/>
        <v>1195.0703703703705</v>
      </c>
      <c r="AF549" s="50"/>
      <c r="AG549" s="33">
        <f t="shared" si="468"/>
        <v>7488</v>
      </c>
      <c r="AH549" s="33">
        <f t="shared" si="432"/>
        <v>1155649274.060914</v>
      </c>
      <c r="AI549" s="213">
        <f t="shared" si="469"/>
        <v>2.2392135445111962E-2</v>
      </c>
      <c r="AJ549" s="50"/>
      <c r="AK549" s="111"/>
      <c r="AL549" s="23">
        <f t="shared" si="470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71"/>
        <v>2.3951834368411062E-3</v>
      </c>
      <c r="AS549" s="25"/>
      <c r="AT549" s="25"/>
      <c r="AU549" s="24"/>
      <c r="AV549" s="298">
        <f t="shared" si="472"/>
        <v>0.7967763865091092</v>
      </c>
      <c r="AW549" s="298"/>
      <c r="AX549" s="24">
        <f t="shared" si="473"/>
        <v>58927.76666666667</v>
      </c>
      <c r="AY549" s="308"/>
      <c r="AZ549" s="111"/>
      <c r="BA549" s="65">
        <f t="shared" si="474"/>
        <v>1900343</v>
      </c>
      <c r="BB549" s="66"/>
      <c r="BC549" s="66">
        <v>602794033</v>
      </c>
      <c r="BD549" s="66"/>
      <c r="BE549" s="66">
        <f t="shared" si="475"/>
        <v>171125</v>
      </c>
      <c r="BF549" s="66"/>
      <c r="BG549" s="144">
        <f t="shared" si="476"/>
        <v>9.0049533163223686E-2</v>
      </c>
      <c r="BH549" s="66"/>
      <c r="BI549" s="170"/>
      <c r="BJ549" s="66"/>
      <c r="BK549" s="66">
        <f t="shared" si="477"/>
        <v>12118649</v>
      </c>
      <c r="BL549" s="66"/>
      <c r="BM549" s="144">
        <f t="shared" si="478"/>
        <v>6.1006800345484058E-2</v>
      </c>
      <c r="BN549" s="65">
        <f t="shared" si="479"/>
        <v>1116285.2462962964</v>
      </c>
      <c r="BO549" s="66"/>
      <c r="BP549" s="66">
        <f t="shared" si="480"/>
        <v>39030192</v>
      </c>
      <c r="BQ549" s="66"/>
      <c r="BR549" s="435">
        <f t="shared" si="481"/>
        <v>6.4748802846892148E-2</v>
      </c>
      <c r="BS549" s="66"/>
      <c r="BT549" s="75"/>
      <c r="BU549" s="170"/>
      <c r="BV549" s="1"/>
      <c r="BW549" s="61">
        <f t="shared" si="407"/>
        <v>540</v>
      </c>
    </row>
    <row r="550" spans="2:75" x14ac:dyDescent="0.3">
      <c r="B550" s="158">
        <f t="shared" si="457"/>
        <v>44450</v>
      </c>
      <c r="C550" s="61"/>
      <c r="D550" s="17">
        <v>72088</v>
      </c>
      <c r="E550" s="16"/>
      <c r="F550" s="16"/>
      <c r="G550" s="16"/>
      <c r="H550" s="16">
        <f t="shared" si="458"/>
        <v>40009258</v>
      </c>
      <c r="I550" s="16"/>
      <c r="J550" s="436">
        <f t="shared" si="459"/>
        <v>1.8050352591332836E-3</v>
      </c>
      <c r="K550" s="16"/>
      <c r="L550" s="16"/>
      <c r="M550" s="16"/>
      <c r="N550" s="16">
        <f t="shared" si="460"/>
        <v>752726</v>
      </c>
      <c r="O550" s="16">
        <f t="shared" si="461"/>
        <v>73954.266173752316</v>
      </c>
      <c r="P550" s="41"/>
      <c r="Q550" s="17">
        <f t="shared" si="462"/>
        <v>752726</v>
      </c>
      <c r="R550" s="16"/>
      <c r="S550" s="60">
        <f t="shared" si="463"/>
        <v>-0.18078040296767747</v>
      </c>
      <c r="T550" s="16"/>
      <c r="U550" s="41"/>
      <c r="V550" s="10">
        <f t="shared" si="356"/>
        <v>442</v>
      </c>
      <c r="W550" s="34">
        <v>719</v>
      </c>
      <c r="X550" s="33">
        <v>4256</v>
      </c>
      <c r="Y550" s="33"/>
      <c r="Z550" s="33">
        <f t="shared" si="464"/>
        <v>7264</v>
      </c>
      <c r="AA550" s="33">
        <f t="shared" si="465"/>
        <v>646057</v>
      </c>
      <c r="AB550" s="33"/>
      <c r="AC550" s="46">
        <f t="shared" si="466"/>
        <v>1.6147687617700884E-2</v>
      </c>
      <c r="AD550" s="33"/>
      <c r="AE550" s="33">
        <f t="shared" si="467"/>
        <v>1194.1903881700555</v>
      </c>
      <c r="AF550" s="50"/>
      <c r="AG550" s="33">
        <f t="shared" si="468"/>
        <v>7631</v>
      </c>
      <c r="AH550" s="33">
        <f t="shared" ref="AH550:AH613" si="482">SUM(D521:D1270)</f>
        <v>1155505737.060914</v>
      </c>
      <c r="AI550" s="213">
        <f t="shared" si="469"/>
        <v>5.2261445118587976E-2</v>
      </c>
      <c r="AJ550" s="50"/>
      <c r="AK550" s="111"/>
      <c r="AL550" s="23">
        <f t="shared" si="470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71"/>
        <v>1.1590775574138255E-3</v>
      </c>
      <c r="AS550" s="25"/>
      <c r="AT550" s="25"/>
      <c r="AU550" s="24"/>
      <c r="AV550" s="298">
        <f t="shared" si="472"/>
        <v>0.79626263001428321</v>
      </c>
      <c r="AW550" s="298"/>
      <c r="AX550" s="24">
        <f t="shared" si="473"/>
        <v>58887.018484288354</v>
      </c>
      <c r="AY550" s="308"/>
      <c r="AZ550" s="111"/>
      <c r="BA550" s="65">
        <f t="shared" si="474"/>
        <v>2261409</v>
      </c>
      <c r="BB550" s="66"/>
      <c r="BC550" s="66">
        <v>605055442</v>
      </c>
      <c r="BD550" s="66"/>
      <c r="BE550" s="66">
        <f t="shared" si="475"/>
        <v>72088</v>
      </c>
      <c r="BF550" s="66"/>
      <c r="BG550" s="144">
        <f t="shared" si="476"/>
        <v>3.1877471081082638E-2</v>
      </c>
      <c r="BH550" s="66"/>
      <c r="BI550" s="170"/>
      <c r="BJ550" s="66"/>
      <c r="BK550" s="66">
        <f t="shared" si="477"/>
        <v>13545437</v>
      </c>
      <c r="BL550" s="66"/>
      <c r="BM550" s="144">
        <f t="shared" si="478"/>
        <v>5.5570447819439123E-2</v>
      </c>
      <c r="BN550" s="65">
        <f t="shared" si="479"/>
        <v>1118401.9260628466</v>
      </c>
      <c r="BO550" s="66"/>
      <c r="BP550" s="66">
        <f t="shared" si="480"/>
        <v>39102280</v>
      </c>
      <c r="BQ550" s="66"/>
      <c r="BR550" s="435">
        <f t="shared" si="481"/>
        <v>6.4625945468316279E-2</v>
      </c>
      <c r="BS550" s="66"/>
      <c r="BT550" s="75"/>
      <c r="BU550" s="170"/>
      <c r="BV550" s="1"/>
      <c r="BW550" s="61">
        <f t="shared" si="407"/>
        <v>541</v>
      </c>
    </row>
    <row r="551" spans="2:75" x14ac:dyDescent="0.3">
      <c r="B551" s="347">
        <f t="shared" si="457"/>
        <v>44451</v>
      </c>
      <c r="C551" s="61"/>
      <c r="D551" s="17">
        <v>35450</v>
      </c>
      <c r="E551" s="16"/>
      <c r="F551" s="16"/>
      <c r="G551" s="16"/>
      <c r="H551" s="16">
        <f t="shared" si="458"/>
        <v>40044708</v>
      </c>
      <c r="I551" s="16"/>
      <c r="J551" s="436">
        <f t="shared" si="459"/>
        <v>8.8604492490213145E-4</v>
      </c>
      <c r="K551" s="16"/>
      <c r="L551" s="16"/>
      <c r="M551" s="16"/>
      <c r="N551" s="16">
        <f t="shared" si="460"/>
        <v>752590</v>
      </c>
      <c r="O551" s="16">
        <f t="shared" si="461"/>
        <v>73883.225092250927</v>
      </c>
      <c r="P551" s="41"/>
      <c r="Q551" s="17">
        <f t="shared" si="462"/>
        <v>752590</v>
      </c>
      <c r="R551" s="16"/>
      <c r="S551" s="60">
        <f t="shared" si="463"/>
        <v>-0.17943165673924966</v>
      </c>
      <c r="T551" s="16"/>
      <c r="U551" s="41"/>
      <c r="V551" s="10">
        <f t="shared" si="356"/>
        <v>443</v>
      </c>
      <c r="W551" s="34">
        <v>251</v>
      </c>
      <c r="X551" s="33">
        <v>4256</v>
      </c>
      <c r="Y551" s="33"/>
      <c r="Z551" s="33">
        <f t="shared" si="464"/>
        <v>7279</v>
      </c>
      <c r="AA551" s="33">
        <f t="shared" si="465"/>
        <v>646308</v>
      </c>
      <c r="AB551" s="33"/>
      <c r="AC551" s="46">
        <f t="shared" si="466"/>
        <v>1.6139660701234231E-2</v>
      </c>
      <c r="AD551" s="33"/>
      <c r="AE551" s="33">
        <f t="shared" si="467"/>
        <v>1192.4501845018451</v>
      </c>
      <c r="AF551" s="50"/>
      <c r="AG551" s="33">
        <f t="shared" si="468"/>
        <v>7515</v>
      </c>
      <c r="AH551" s="33">
        <f t="shared" si="482"/>
        <v>1155350440.060914</v>
      </c>
      <c r="AI551" s="213">
        <f t="shared" si="469"/>
        <v>2.4539877300613498E-2</v>
      </c>
      <c r="AJ551" s="50"/>
      <c r="AK551" s="111"/>
      <c r="AL551" s="23">
        <f t="shared" si="470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71"/>
        <v>4.3916925161083394E-4</v>
      </c>
      <c r="AS551" s="25"/>
      <c r="AT551" s="25"/>
      <c r="AU551" s="24"/>
      <c r="AV551" s="298">
        <f t="shared" si="472"/>
        <v>0.79590711461799146</v>
      </c>
      <c r="AW551" s="298"/>
      <c r="AX551" s="24">
        <f t="shared" si="473"/>
        <v>58804.184501845019</v>
      </c>
      <c r="AY551" s="308"/>
      <c r="AZ551" s="111"/>
      <c r="BA551" s="65">
        <f t="shared" si="474"/>
        <v>1143410</v>
      </c>
      <c r="BB551" s="66"/>
      <c r="BC551" s="66">
        <v>606198852</v>
      </c>
      <c r="BD551" s="66"/>
      <c r="BE551" s="66">
        <f t="shared" si="475"/>
        <v>35450</v>
      </c>
      <c r="BF551" s="66"/>
      <c r="BG551" s="144">
        <f t="shared" si="476"/>
        <v>3.1003751935001444E-2</v>
      </c>
      <c r="BH551" s="66"/>
      <c r="BI551" s="170"/>
      <c r="BJ551" s="66"/>
      <c r="BK551" s="66">
        <f t="shared" si="477"/>
        <v>13781108</v>
      </c>
      <c r="BL551" s="66"/>
      <c r="BM551" s="144">
        <f t="shared" si="478"/>
        <v>5.4610267911694765E-2</v>
      </c>
      <c r="BN551" s="65">
        <f t="shared" si="479"/>
        <v>1118448.0664206643</v>
      </c>
      <c r="BO551" s="66"/>
      <c r="BP551" s="66">
        <f t="shared" si="480"/>
        <v>39137730</v>
      </c>
      <c r="BQ551" s="66"/>
      <c r="BR551" s="435">
        <f t="shared" si="481"/>
        <v>6.4562527413034435E-2</v>
      </c>
      <c r="BS551" s="66"/>
      <c r="BT551" s="75"/>
      <c r="BU551" s="170"/>
      <c r="BV551" s="1"/>
      <c r="BW551" s="61">
        <f t="shared" si="407"/>
        <v>542</v>
      </c>
    </row>
    <row r="552" spans="2:75" x14ac:dyDescent="0.3">
      <c r="B552" s="158">
        <f t="shared" si="457"/>
        <v>44452</v>
      </c>
      <c r="C552" s="61"/>
      <c r="D552" s="17">
        <v>109432</v>
      </c>
      <c r="E552" s="16"/>
      <c r="F552" s="16"/>
      <c r="G552" s="16"/>
      <c r="H552" s="16">
        <f t="shared" ref="H552:H583" si="483">+H551+D552</f>
        <v>40154140</v>
      </c>
      <c r="I552" s="16"/>
      <c r="J552" s="436">
        <f t="shared" ref="J552:J583" si="484">+D552/H551</f>
        <v>2.7327456102314443E-3</v>
      </c>
      <c r="K552" s="16"/>
      <c r="L552" s="16"/>
      <c r="M552" s="16"/>
      <c r="N552" s="16">
        <f t="shared" ref="N552:N583" si="485">SUM(D546:D552)</f>
        <v>822378</v>
      </c>
      <c r="O552" s="16">
        <f t="shared" ref="O552:O583" si="486">+H552/BW552</f>
        <v>73948.69244935544</v>
      </c>
      <c r="P552" s="41"/>
      <c r="Q552" s="17">
        <f t="shared" ref="Q552:Q583" si="487">SUM(D546:D552)</f>
        <v>822378</v>
      </c>
      <c r="R552" s="16"/>
      <c r="S552" s="60">
        <f t="shared" ref="S552:S583" si="488">+(Q552-Q545)/Q545</f>
        <v>-1.7656144173329082E-2</v>
      </c>
      <c r="T552" s="16"/>
      <c r="U552" s="41"/>
      <c r="V552" s="10">
        <f t="shared" si="356"/>
        <v>444</v>
      </c>
      <c r="W552" s="34">
        <v>815</v>
      </c>
      <c r="X552" s="33">
        <v>4256</v>
      </c>
      <c r="Y552" s="33"/>
      <c r="Z552" s="33">
        <f t="shared" ref="Z552:Z583" si="489">SUM(W547:W552)</f>
        <v>7175</v>
      </c>
      <c r="AA552" s="33">
        <f t="shared" ref="AA552:AA583" si="490">+AA551+W552</f>
        <v>647123</v>
      </c>
      <c r="AB552" s="33"/>
      <c r="AC552" s="46">
        <f t="shared" ref="AC552:AC583" si="491">+AA552/H552</f>
        <v>1.6115972101506844E-2</v>
      </c>
      <c r="AD552" s="33"/>
      <c r="AE552" s="33">
        <f t="shared" ref="AE552:AE583" si="492">+AA552/BW552</f>
        <v>1191.7550644567218</v>
      </c>
      <c r="AF552" s="50"/>
      <c r="AG552" s="33">
        <f t="shared" ref="AG552:AG580" si="493">SUM(W546:W552)</f>
        <v>8094</v>
      </c>
      <c r="AH552" s="33">
        <f t="shared" si="482"/>
        <v>1155279305.060914</v>
      </c>
      <c r="AI552" s="213">
        <f t="shared" ref="AI552:AI580" si="494">+(AG552-AG545)/AG545</f>
        <v>0.15595544130248501</v>
      </c>
      <c r="AJ552" s="50"/>
      <c r="AK552" s="111"/>
      <c r="AL552" s="23">
        <f t="shared" ref="AL552:AL583" si="49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96">+AL552/AP551</f>
        <v>5.9939066012698093E-3</v>
      </c>
      <c r="AS552" s="25"/>
      <c r="AT552" s="25"/>
      <c r="AU552" s="24"/>
      <c r="AV552" s="298">
        <f t="shared" ref="AV552:AV583" si="497">+AP552/H552</f>
        <v>0.79849562212016001</v>
      </c>
      <c r="AW552" s="298"/>
      <c r="AX552" s="24">
        <f t="shared" ref="AX552:AX583" si="498">+AP552/BW552</f>
        <v>59047.707182320439</v>
      </c>
      <c r="AY552" s="308"/>
      <c r="AZ552" s="111"/>
      <c r="BA552" s="65">
        <f t="shared" ref="BA552:BA583" si="499">+BC552-BC551</f>
        <v>3507865</v>
      </c>
      <c r="BB552" s="66"/>
      <c r="BC552" s="66">
        <v>609706717</v>
      </c>
      <c r="BD552" s="66"/>
      <c r="BE552" s="66">
        <f t="shared" ref="BE552:BE583" si="500">+D552</f>
        <v>109432</v>
      </c>
      <c r="BF552" s="66"/>
      <c r="BG552" s="144">
        <f t="shared" ref="BG552:BG583" si="501">+BE552/BA552</f>
        <v>3.1196183433512978E-2</v>
      </c>
      <c r="BH552" s="66"/>
      <c r="BI552" s="170"/>
      <c r="BJ552" s="66"/>
      <c r="BK552" s="66">
        <f t="shared" ref="BK552:BK580" si="502">SUM(BA546:BA552)</f>
        <v>16335497</v>
      </c>
      <c r="BL552" s="66"/>
      <c r="BM552" s="144">
        <f t="shared" ref="BM552:BM580" si="503">+Q552/BK552</f>
        <v>5.034300456239562E-2</v>
      </c>
      <c r="BN552" s="65">
        <f t="shared" ref="BN552:BN583" si="504">+BC552/BW552</f>
        <v>1122848.4659300183</v>
      </c>
      <c r="BO552" s="66"/>
      <c r="BP552" s="66">
        <f t="shared" ref="BP552:BP583" si="505">+BP551+BE552</f>
        <v>39247162</v>
      </c>
      <c r="BQ552" s="66"/>
      <c r="BR552" s="435">
        <f t="shared" ref="BR552:BR583" si="506">+BP552/BC552</f>
        <v>6.4370558673048042E-2</v>
      </c>
      <c r="BS552" s="66"/>
      <c r="BT552" s="75"/>
      <c r="BU552" s="170"/>
      <c r="BV552" s="1"/>
      <c r="BW552" s="61">
        <f t="shared" si="407"/>
        <v>543</v>
      </c>
    </row>
    <row r="553" spans="2:75" x14ac:dyDescent="0.3">
      <c r="B553" s="158">
        <f t="shared" si="457"/>
        <v>44453</v>
      </c>
      <c r="C553" s="61"/>
      <c r="D553" s="17">
        <v>142059</v>
      </c>
      <c r="E553" s="16"/>
      <c r="F553" s="16"/>
      <c r="G553" s="16"/>
      <c r="H553" s="16">
        <f t="shared" si="483"/>
        <v>40296199</v>
      </c>
      <c r="I553" s="16"/>
      <c r="J553" s="436">
        <f t="shared" si="484"/>
        <v>3.5378419261376287E-3</v>
      </c>
      <c r="K553" s="16"/>
      <c r="L553" s="16"/>
      <c r="M553" s="16"/>
      <c r="N553" s="16">
        <f t="shared" si="485"/>
        <v>848661</v>
      </c>
      <c r="O553" s="16">
        <f t="shared" si="486"/>
        <v>74073.895220588238</v>
      </c>
      <c r="P553" s="41"/>
      <c r="Q553" s="17">
        <f t="shared" si="487"/>
        <v>848661</v>
      </c>
      <c r="R553" s="16"/>
      <c r="S553" s="60">
        <f t="shared" si="488"/>
        <v>6.8480577738776152E-2</v>
      </c>
      <c r="T553" s="16"/>
      <c r="U553" s="41"/>
      <c r="V553" s="10">
        <f t="shared" si="356"/>
        <v>445</v>
      </c>
      <c r="W553" s="34">
        <v>1934</v>
      </c>
      <c r="X553" s="33">
        <v>4256</v>
      </c>
      <c r="Y553" s="33"/>
      <c r="Z553" s="33">
        <f t="shared" si="489"/>
        <v>7409</v>
      </c>
      <c r="AA553" s="33">
        <f t="shared" si="490"/>
        <v>649057</v>
      </c>
      <c r="AB553" s="33"/>
      <c r="AC553" s="46">
        <f t="shared" si="491"/>
        <v>1.6107151942544258E-2</v>
      </c>
      <c r="AD553" s="33"/>
      <c r="AE553" s="33">
        <f t="shared" si="492"/>
        <v>1193.1194852941176</v>
      </c>
      <c r="AF553" s="50"/>
      <c r="AG553" s="33">
        <f t="shared" si="493"/>
        <v>9109</v>
      </c>
      <c r="AH553" s="33">
        <f t="shared" si="482"/>
        <v>1155248422.060914</v>
      </c>
      <c r="AI553" s="213">
        <f t="shared" si="494"/>
        <v>0.36874530428249436</v>
      </c>
      <c r="AJ553" s="50"/>
      <c r="AK553" s="111"/>
      <c r="AL553" s="23">
        <f t="shared" si="49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96"/>
        <v>3.5517368123693096E-3</v>
      </c>
      <c r="AS553" s="25"/>
      <c r="AT553" s="25"/>
      <c r="AU553" s="24"/>
      <c r="AV553" s="298">
        <f t="shared" si="497"/>
        <v>0.79850667801198816</v>
      </c>
      <c r="AW553" s="298"/>
      <c r="AX553" s="24">
        <f t="shared" si="498"/>
        <v>59148.5</v>
      </c>
      <c r="AY553" s="308"/>
      <c r="AZ553" s="111"/>
      <c r="BA553" s="65">
        <f t="shared" si="499"/>
        <v>1509314</v>
      </c>
      <c r="BB553" s="66"/>
      <c r="BC553" s="66">
        <v>611216031</v>
      </c>
      <c r="BD553" s="66"/>
      <c r="BE553" s="66">
        <f t="shared" si="500"/>
        <v>142059</v>
      </c>
      <c r="BF553" s="66"/>
      <c r="BG553" s="144">
        <f t="shared" si="501"/>
        <v>9.4121567811601831E-2</v>
      </c>
      <c r="BH553" s="66"/>
      <c r="BI553" s="170"/>
      <c r="BJ553" s="66"/>
      <c r="BK553" s="66">
        <f t="shared" si="502"/>
        <v>13887767</v>
      </c>
      <c r="BL553" s="66"/>
      <c r="BM553" s="144">
        <f t="shared" si="503"/>
        <v>6.1108528102466003E-2</v>
      </c>
      <c r="BN553" s="65">
        <f t="shared" si="504"/>
        <v>1123558.8805147058</v>
      </c>
      <c r="BO553" s="66"/>
      <c r="BP553" s="66">
        <f t="shared" si="505"/>
        <v>39389221</v>
      </c>
      <c r="BQ553" s="66"/>
      <c r="BR553" s="435">
        <f t="shared" si="506"/>
        <v>6.4444024701963351E-2</v>
      </c>
      <c r="BS553" s="66"/>
      <c r="BT553" s="75"/>
      <c r="BU553" s="170"/>
      <c r="BV553" s="1"/>
      <c r="BW553" s="61">
        <f t="shared" si="407"/>
        <v>544</v>
      </c>
    </row>
    <row r="554" spans="2:75" x14ac:dyDescent="0.3">
      <c r="B554" s="158">
        <f t="shared" si="457"/>
        <v>44454</v>
      </c>
      <c r="C554" s="61"/>
      <c r="D554" s="17">
        <v>164509</v>
      </c>
      <c r="E554" s="16"/>
      <c r="F554" s="16"/>
      <c r="G554" s="16"/>
      <c r="H554" s="16">
        <f t="shared" si="483"/>
        <v>40460708</v>
      </c>
      <c r="I554" s="16"/>
      <c r="J554" s="436">
        <f t="shared" si="484"/>
        <v>4.0824942322723792E-3</v>
      </c>
      <c r="K554" s="16"/>
      <c r="L554" s="16"/>
      <c r="M554" s="16"/>
      <c r="N554" s="16">
        <f t="shared" si="485"/>
        <v>855411</v>
      </c>
      <c r="O554" s="16">
        <f t="shared" si="486"/>
        <v>74239.831192660553</v>
      </c>
      <c r="P554" s="41"/>
      <c r="Q554" s="17">
        <f t="shared" si="487"/>
        <v>855411</v>
      </c>
      <c r="R554" s="16"/>
      <c r="S554" s="60">
        <f t="shared" si="488"/>
        <v>0.1143852070327563</v>
      </c>
      <c r="T554" s="16"/>
      <c r="U554" s="41"/>
      <c r="V554" s="10">
        <f t="shared" si="356"/>
        <v>446</v>
      </c>
      <c r="W554" s="34">
        <v>2282</v>
      </c>
      <c r="X554" s="33">
        <v>4256</v>
      </c>
      <c r="Y554" s="33"/>
      <c r="Z554" s="33">
        <f t="shared" si="489"/>
        <v>7762</v>
      </c>
      <c r="AA554" s="33">
        <f t="shared" si="490"/>
        <v>651339</v>
      </c>
      <c r="AB554" s="33"/>
      <c r="AC554" s="46">
        <f t="shared" si="491"/>
        <v>1.6098062347302475E-2</v>
      </c>
      <c r="AD554" s="33"/>
      <c r="AE554" s="33">
        <f t="shared" si="492"/>
        <v>1195.1174311926607</v>
      </c>
      <c r="AF554" s="50"/>
      <c r="AG554" s="33">
        <f t="shared" si="493"/>
        <v>9691</v>
      </c>
      <c r="AH554" s="33">
        <f t="shared" si="482"/>
        <v>1155144725.060914</v>
      </c>
      <c r="AI554" s="213">
        <f t="shared" si="494"/>
        <v>0.40960000000000002</v>
      </c>
      <c r="AJ554" s="50"/>
      <c r="AK554" s="111"/>
      <c r="AL554" s="23">
        <f t="shared" si="49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96"/>
        <v>2.9306844338452221E-3</v>
      </c>
      <c r="AS554" s="25"/>
      <c r="AT554" s="25"/>
      <c r="AU554" s="24"/>
      <c r="AV554" s="298">
        <f t="shared" si="497"/>
        <v>0.79759068971309155</v>
      </c>
      <c r="AW554" s="298"/>
      <c r="AX554" s="24">
        <f t="shared" si="498"/>
        <v>59212.998165137615</v>
      </c>
      <c r="AY554" s="308"/>
      <c r="AZ554" s="111"/>
      <c r="BA554" s="65">
        <f t="shared" si="499"/>
        <v>2550940</v>
      </c>
      <c r="BB554" s="66"/>
      <c r="BC554" s="66">
        <v>613766971</v>
      </c>
      <c r="BD554" s="66"/>
      <c r="BE554" s="66">
        <f t="shared" si="500"/>
        <v>164509</v>
      </c>
      <c r="BF554" s="66"/>
      <c r="BG554" s="144">
        <f t="shared" si="501"/>
        <v>6.4489560710953603E-2</v>
      </c>
      <c r="BH554" s="66"/>
      <c r="BI554" s="170"/>
      <c r="BJ554" s="66"/>
      <c r="BK554" s="66">
        <f t="shared" si="502"/>
        <v>14749701</v>
      </c>
      <c r="BL554" s="66"/>
      <c r="BM554" s="144">
        <f t="shared" si="503"/>
        <v>5.7995141732025621E-2</v>
      </c>
      <c r="BN554" s="65">
        <f t="shared" si="504"/>
        <v>1126177.9284403669</v>
      </c>
      <c r="BO554" s="66"/>
      <c r="BP554" s="66">
        <f t="shared" si="505"/>
        <v>39553730</v>
      </c>
      <c r="BQ554" s="66"/>
      <c r="BR554" s="435">
        <f t="shared" si="506"/>
        <v>6.4444213958851165E-2</v>
      </c>
      <c r="BS554" s="66"/>
      <c r="BT554" s="75"/>
      <c r="BU554" s="170"/>
      <c r="BV554" s="1"/>
      <c r="BW554" s="61">
        <f t="shared" si="407"/>
        <v>545</v>
      </c>
    </row>
    <row r="555" spans="2:75" x14ac:dyDescent="0.3">
      <c r="B555" s="158">
        <f t="shared" si="457"/>
        <v>44455</v>
      </c>
      <c r="C555" s="61"/>
      <c r="D555" s="17">
        <v>151142</v>
      </c>
      <c r="E555" s="16"/>
      <c r="F555" s="16"/>
      <c r="G555" s="16"/>
      <c r="H555" s="16">
        <f t="shared" si="483"/>
        <v>40611850</v>
      </c>
      <c r="I555" s="16"/>
      <c r="J555" s="436">
        <f t="shared" si="484"/>
        <v>3.7355253397938562E-3</v>
      </c>
      <c r="K555" s="16"/>
      <c r="L555" s="16"/>
      <c r="M555" s="16"/>
      <c r="N555" s="16">
        <f t="shared" si="485"/>
        <v>845805</v>
      </c>
      <c r="O555" s="16">
        <f t="shared" si="486"/>
        <v>74380.67765567766</v>
      </c>
      <c r="P555" s="41"/>
      <c r="Q555" s="17">
        <f t="shared" si="487"/>
        <v>845805</v>
      </c>
      <c r="R555" s="16"/>
      <c r="S555" s="60">
        <f t="shared" si="488"/>
        <v>0.1265563647794051</v>
      </c>
      <c r="T555" s="16"/>
      <c r="U555" s="41"/>
      <c r="V555" s="10">
        <f t="shared" si="356"/>
        <v>447</v>
      </c>
      <c r="W555" s="34">
        <v>1871</v>
      </c>
      <c r="X555" s="33">
        <v>4256</v>
      </c>
      <c r="Y555" s="33"/>
      <c r="Z555" s="33">
        <f t="shared" si="489"/>
        <v>7872</v>
      </c>
      <c r="AA555" s="33">
        <f t="shared" si="490"/>
        <v>653210</v>
      </c>
      <c r="AB555" s="33"/>
      <c r="AC555" s="46">
        <f t="shared" si="491"/>
        <v>1.6084221723462487E-2</v>
      </c>
      <c r="AD555" s="33"/>
      <c r="AE555" s="33">
        <f t="shared" si="492"/>
        <v>1196.3553113553114</v>
      </c>
      <c r="AF555" s="50"/>
      <c r="AG555" s="33">
        <f t="shared" si="493"/>
        <v>9633</v>
      </c>
      <c r="AH555" s="33">
        <f t="shared" si="482"/>
        <v>1155000431.060914</v>
      </c>
      <c r="AI555" s="213">
        <f t="shared" si="494"/>
        <v>0.33070866141732286</v>
      </c>
      <c r="AJ555" s="50"/>
      <c r="AK555" s="111"/>
      <c r="AL555" s="23">
        <f t="shared" si="49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96"/>
        <v>2.3749434633184309E-3</v>
      </c>
      <c r="AS555" s="25"/>
      <c r="AT555" s="25"/>
      <c r="AU555" s="24"/>
      <c r="AV555" s="298">
        <f t="shared" si="497"/>
        <v>0.7965095409344809</v>
      </c>
      <c r="AW555" s="298"/>
      <c r="AX555" s="24">
        <f t="shared" si="498"/>
        <v>59244.919413919415</v>
      </c>
      <c r="AY555" s="308"/>
      <c r="AZ555" s="111"/>
      <c r="BA555" s="65">
        <f t="shared" si="499"/>
        <v>1917422</v>
      </c>
      <c r="BB555" s="66"/>
      <c r="BC555" s="66">
        <v>615684393</v>
      </c>
      <c r="BD555" s="66"/>
      <c r="BE555" s="66">
        <f t="shared" si="500"/>
        <v>151142</v>
      </c>
      <c r="BF555" s="66"/>
      <c r="BG555" s="144">
        <f t="shared" si="501"/>
        <v>7.8825631498960588E-2</v>
      </c>
      <c r="BH555" s="66"/>
      <c r="BI555" s="170"/>
      <c r="BJ555" s="66"/>
      <c r="BK555" s="66">
        <f t="shared" si="502"/>
        <v>14790703</v>
      </c>
      <c r="BL555" s="66"/>
      <c r="BM555" s="144">
        <f t="shared" si="503"/>
        <v>5.7184908655119368E-2</v>
      </c>
      <c r="BN555" s="65">
        <f t="shared" si="504"/>
        <v>1127627.0934065934</v>
      </c>
      <c r="BO555" s="66"/>
      <c r="BP555" s="66">
        <f t="shared" si="505"/>
        <v>39704872</v>
      </c>
      <c r="BQ555" s="66"/>
      <c r="BR555" s="435">
        <f t="shared" si="506"/>
        <v>6.4489001916278876E-2</v>
      </c>
      <c r="BS555" s="66"/>
      <c r="BT555" s="75"/>
      <c r="BU555" s="170"/>
      <c r="BV555" s="1"/>
      <c r="BW555" s="61">
        <f t="shared" si="407"/>
        <v>546</v>
      </c>
    </row>
    <row r="556" spans="2:75" x14ac:dyDescent="0.3">
      <c r="B556" s="158">
        <f t="shared" si="457"/>
        <v>44456</v>
      </c>
      <c r="C556" s="61"/>
      <c r="D556" s="17">
        <v>158156</v>
      </c>
      <c r="E556" s="16"/>
      <c r="F556" s="16"/>
      <c r="G556" s="16"/>
      <c r="H556" s="16">
        <f t="shared" si="483"/>
        <v>40770006</v>
      </c>
      <c r="I556" s="16"/>
      <c r="J556" s="436">
        <f t="shared" si="484"/>
        <v>3.8943313343272959E-3</v>
      </c>
      <c r="K556" s="16"/>
      <c r="L556" s="16"/>
      <c r="M556" s="16"/>
      <c r="N556" s="16">
        <f t="shared" si="485"/>
        <v>832836</v>
      </c>
      <c r="O556" s="16">
        <f t="shared" si="486"/>
        <v>74533.831809872034</v>
      </c>
      <c r="P556" s="41"/>
      <c r="Q556" s="17">
        <f t="shared" si="487"/>
        <v>832836</v>
      </c>
      <c r="R556" s="16"/>
      <c r="S556" s="60">
        <f t="shared" si="488"/>
        <v>0.12648920629767896</v>
      </c>
      <c r="T556" s="16"/>
      <c r="U556" s="41"/>
      <c r="V556" s="10">
        <f t="shared" si="356"/>
        <v>448</v>
      </c>
      <c r="W556" s="34">
        <v>1938</v>
      </c>
      <c r="X556" s="33">
        <v>4256</v>
      </c>
      <c r="Y556" s="33"/>
      <c r="Z556" s="33">
        <f t="shared" si="489"/>
        <v>9091</v>
      </c>
      <c r="AA556" s="33">
        <f t="shared" si="490"/>
        <v>655148</v>
      </c>
      <c r="AB556" s="33"/>
      <c r="AC556" s="46">
        <f t="shared" si="491"/>
        <v>1.6069362364086973E-2</v>
      </c>
      <c r="AD556" s="33"/>
      <c r="AE556" s="33">
        <f t="shared" si="492"/>
        <v>1197.7111517367459</v>
      </c>
      <c r="AF556" s="50"/>
      <c r="AG556" s="33">
        <f t="shared" si="493"/>
        <v>9810</v>
      </c>
      <c r="AH556" s="33">
        <f t="shared" si="482"/>
        <v>1154842304.060914</v>
      </c>
      <c r="AI556" s="213">
        <f t="shared" si="494"/>
        <v>0.31009615384615385</v>
      </c>
      <c r="AJ556" s="50"/>
      <c r="AK556" s="111"/>
      <c r="AL556" s="23">
        <f t="shared" si="49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96"/>
        <v>2.6722125691308256E-3</v>
      </c>
      <c r="AS556" s="25"/>
      <c r="AT556" s="25"/>
      <c r="AU556" s="24"/>
      <c r="AV556" s="298">
        <f t="shared" si="497"/>
        <v>0.79553988782832163</v>
      </c>
      <c r="AW556" s="298"/>
      <c r="AX556" s="24">
        <f t="shared" si="498"/>
        <v>59294.636197440588</v>
      </c>
      <c r="AY556" s="308"/>
      <c r="AZ556" s="111"/>
      <c r="BA556" s="65">
        <f t="shared" si="499"/>
        <v>2140934</v>
      </c>
      <c r="BB556" s="66"/>
      <c r="BC556" s="66">
        <v>617825327</v>
      </c>
      <c r="BD556" s="66"/>
      <c r="BE556" s="66">
        <f t="shared" si="500"/>
        <v>158156</v>
      </c>
      <c r="BF556" s="66"/>
      <c r="BG556" s="144">
        <f t="shared" si="501"/>
        <v>7.3872431378080777E-2</v>
      </c>
      <c r="BH556" s="66"/>
      <c r="BI556" s="170"/>
      <c r="BJ556" s="66"/>
      <c r="BK556" s="66">
        <f t="shared" si="502"/>
        <v>15031294</v>
      </c>
      <c r="BL556" s="66"/>
      <c r="BM556" s="144">
        <f t="shared" si="503"/>
        <v>5.5406806626229252E-2</v>
      </c>
      <c r="BN556" s="65">
        <f t="shared" si="504"/>
        <v>1129479.5740402194</v>
      </c>
      <c r="BO556" s="66"/>
      <c r="BP556" s="66">
        <f t="shared" si="505"/>
        <v>39863028</v>
      </c>
      <c r="BQ556" s="66"/>
      <c r="BR556" s="435">
        <f t="shared" si="506"/>
        <v>6.452151806978286E-2</v>
      </c>
      <c r="BS556" s="66"/>
      <c r="BT556" s="75"/>
      <c r="BU556" s="170"/>
      <c r="BV556" s="1"/>
      <c r="BW556" s="61">
        <f t="shared" si="407"/>
        <v>547</v>
      </c>
    </row>
    <row r="557" spans="2:75" x14ac:dyDescent="0.3">
      <c r="B557" s="158">
        <f t="shared" si="457"/>
        <v>44457</v>
      </c>
      <c r="C557" s="61"/>
      <c r="D557" s="17">
        <v>64559</v>
      </c>
      <c r="E557" s="16"/>
      <c r="F557" s="16"/>
      <c r="G557" s="16"/>
      <c r="H557" s="16">
        <f t="shared" si="483"/>
        <v>40834565</v>
      </c>
      <c r="I557" s="16"/>
      <c r="J557" s="436">
        <f t="shared" si="484"/>
        <v>1.5834925312495662E-3</v>
      </c>
      <c r="K557" s="16"/>
      <c r="L557" s="16"/>
      <c r="M557" s="16"/>
      <c r="N557" s="16">
        <f t="shared" si="485"/>
        <v>825307</v>
      </c>
      <c r="O557" s="16">
        <f t="shared" si="486"/>
        <v>74515.629562043789</v>
      </c>
      <c r="P557" s="41"/>
      <c r="Q557" s="17">
        <f t="shared" si="487"/>
        <v>825307</v>
      </c>
      <c r="R557" s="16"/>
      <c r="S557" s="60">
        <f t="shared" si="488"/>
        <v>9.6424196852506749E-2</v>
      </c>
      <c r="T557" s="16"/>
      <c r="U557" s="41"/>
      <c r="V557" s="10">
        <f t="shared" si="356"/>
        <v>449</v>
      </c>
      <c r="W557" s="34">
        <v>849</v>
      </c>
      <c r="X557" s="33">
        <v>4256</v>
      </c>
      <c r="Y557" s="33"/>
      <c r="Z557" s="33">
        <f t="shared" si="489"/>
        <v>9689</v>
      </c>
      <c r="AA557" s="33">
        <f t="shared" si="490"/>
        <v>655997</v>
      </c>
      <c r="AB557" s="33"/>
      <c r="AC557" s="46">
        <f t="shared" si="491"/>
        <v>1.6064748087802574E-2</v>
      </c>
      <c r="AD557" s="33"/>
      <c r="AE557" s="33">
        <f t="shared" si="492"/>
        <v>1197.0748175182482</v>
      </c>
      <c r="AF557" s="50"/>
      <c r="AG557" s="33">
        <f t="shared" si="493"/>
        <v>9940</v>
      </c>
      <c r="AH557" s="33">
        <f t="shared" si="482"/>
        <v>1154687387.060914</v>
      </c>
      <c r="AI557" s="213">
        <f t="shared" si="494"/>
        <v>0.30258157515397721</v>
      </c>
      <c r="AJ557" s="50"/>
      <c r="AK557" s="111"/>
      <c r="AL557" s="23">
        <f t="shared" si="49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96"/>
        <v>1.5126024822096551E-3</v>
      </c>
      <c r="AS557" s="25"/>
      <c r="AT557" s="25"/>
      <c r="AU557" s="24"/>
      <c r="AV557" s="298">
        <f t="shared" si="497"/>
        <v>0.79548358112789985</v>
      </c>
      <c r="AW557" s="298"/>
      <c r="AX557" s="24">
        <f t="shared" si="498"/>
        <v>59275.959854014596</v>
      </c>
      <c r="AY557" s="308"/>
      <c r="AZ557" s="111"/>
      <c r="BA557" s="65">
        <f t="shared" si="499"/>
        <v>1161730</v>
      </c>
      <c r="BB557" s="66"/>
      <c r="BC557" s="66">
        <v>618987057</v>
      </c>
      <c r="BD557" s="66"/>
      <c r="BE557" s="66">
        <f t="shared" si="500"/>
        <v>64559</v>
      </c>
      <c r="BF557" s="66"/>
      <c r="BG557" s="144">
        <f t="shared" si="501"/>
        <v>5.5571432260508036E-2</v>
      </c>
      <c r="BH557" s="66"/>
      <c r="BI557" s="170"/>
      <c r="BJ557" s="66"/>
      <c r="BK557" s="66">
        <f t="shared" si="502"/>
        <v>13931615</v>
      </c>
      <c r="BL557" s="66"/>
      <c r="BM557" s="144">
        <f t="shared" si="503"/>
        <v>5.9239865586294196E-2</v>
      </c>
      <c r="BN557" s="65">
        <f t="shared" si="504"/>
        <v>1129538.4251824818</v>
      </c>
      <c r="BO557" s="66"/>
      <c r="BP557" s="66">
        <f t="shared" si="505"/>
        <v>39927587</v>
      </c>
      <c r="BQ557" s="66"/>
      <c r="BR557" s="435">
        <f t="shared" si="506"/>
        <v>6.4504720330525428E-2</v>
      </c>
      <c r="BS557" s="66"/>
      <c r="BT557" s="75"/>
      <c r="BU557" s="170"/>
      <c r="BV557" s="1"/>
      <c r="BW557" s="61">
        <f t="shared" si="407"/>
        <v>548</v>
      </c>
    </row>
    <row r="558" spans="2:75" x14ac:dyDescent="0.3">
      <c r="B558" s="347">
        <f t="shared" si="457"/>
        <v>44458</v>
      </c>
      <c r="C558" s="61"/>
      <c r="D558" s="17">
        <v>36497</v>
      </c>
      <c r="E558" s="16"/>
      <c r="F558" s="16"/>
      <c r="G558" s="16"/>
      <c r="H558" s="16">
        <f t="shared" si="483"/>
        <v>40871062</v>
      </c>
      <c r="I558" s="16"/>
      <c r="J558" s="436">
        <f t="shared" si="484"/>
        <v>8.9377712239618564E-4</v>
      </c>
      <c r="K558" s="16"/>
      <c r="L558" s="16"/>
      <c r="M558" s="16"/>
      <c r="N558" s="16">
        <f t="shared" si="485"/>
        <v>826354</v>
      </c>
      <c r="O558" s="16">
        <f t="shared" si="486"/>
        <v>74446.378870673958</v>
      </c>
      <c r="P558" s="41"/>
      <c r="Q558" s="17">
        <f t="shared" si="487"/>
        <v>826354</v>
      </c>
      <c r="R558" s="16"/>
      <c r="S558" s="60">
        <f t="shared" si="488"/>
        <v>9.8013526621400768E-2</v>
      </c>
      <c r="T558" s="16"/>
      <c r="U558" s="41"/>
      <c r="V558" s="10">
        <f t="shared" si="356"/>
        <v>450</v>
      </c>
      <c r="W558" s="34">
        <v>373</v>
      </c>
      <c r="X558" s="33">
        <v>4256</v>
      </c>
      <c r="Y558" s="33"/>
      <c r="Z558" s="33">
        <f t="shared" si="489"/>
        <v>9247</v>
      </c>
      <c r="AA558" s="33">
        <f t="shared" si="490"/>
        <v>656370</v>
      </c>
      <c r="AB558" s="33"/>
      <c r="AC558" s="46">
        <f t="shared" si="491"/>
        <v>1.6059528866658762E-2</v>
      </c>
      <c r="AD558" s="33"/>
      <c r="AE558" s="33">
        <f t="shared" si="492"/>
        <v>1195.5737704918033</v>
      </c>
      <c r="AF558" s="50"/>
      <c r="AG558" s="33">
        <f t="shared" si="493"/>
        <v>10062</v>
      </c>
      <c r="AH558" s="33">
        <f t="shared" si="482"/>
        <v>1154536279.060914</v>
      </c>
      <c r="AI558" s="213">
        <f t="shared" si="494"/>
        <v>0.33892215568862277</v>
      </c>
      <c r="AJ558" s="50"/>
      <c r="AK558" s="111"/>
      <c r="AL558" s="23">
        <f t="shared" si="49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96"/>
        <v>6.393761506323294E-4</v>
      </c>
      <c r="AS558" s="25"/>
      <c r="AT558" s="25"/>
      <c r="AU558" s="24"/>
      <c r="AV558" s="298">
        <f t="shared" si="497"/>
        <v>0.79528139004560239</v>
      </c>
      <c r="AW558" s="298"/>
      <c r="AX558" s="24">
        <f t="shared" si="498"/>
        <v>59205.819672131147</v>
      </c>
      <c r="AY558" s="308"/>
      <c r="AZ558" s="111"/>
      <c r="BA558" s="65">
        <f t="shared" si="499"/>
        <v>938244</v>
      </c>
      <c r="BB558" s="66"/>
      <c r="BC558" s="66">
        <v>619925301</v>
      </c>
      <c r="BD558" s="66"/>
      <c r="BE558" s="66">
        <f t="shared" si="500"/>
        <v>36497</v>
      </c>
      <c r="BF558" s="66"/>
      <c r="BG558" s="144">
        <f t="shared" si="501"/>
        <v>3.8899262878313107E-2</v>
      </c>
      <c r="BH558" s="66"/>
      <c r="BI558" s="170"/>
      <c r="BJ558" s="66"/>
      <c r="BK558" s="66">
        <f t="shared" si="502"/>
        <v>13726449</v>
      </c>
      <c r="BL558" s="66"/>
      <c r="BM558" s="144">
        <f t="shared" si="503"/>
        <v>6.0201586003779999E-2</v>
      </c>
      <c r="BN558" s="65">
        <f t="shared" si="504"/>
        <v>1129189.9836065574</v>
      </c>
      <c r="BO558" s="66"/>
      <c r="BP558" s="66">
        <f t="shared" si="505"/>
        <v>39964084</v>
      </c>
      <c r="BQ558" s="66"/>
      <c r="BR558" s="435">
        <f t="shared" si="506"/>
        <v>6.4465967005273114E-2</v>
      </c>
      <c r="BS558" s="66"/>
      <c r="BT558" s="75"/>
      <c r="BU558" s="170"/>
      <c r="BV558" s="1"/>
      <c r="BW558" s="61">
        <f t="shared" si="407"/>
        <v>549</v>
      </c>
    </row>
    <row r="559" spans="2:75" x14ac:dyDescent="0.3">
      <c r="B559" s="158">
        <f t="shared" si="457"/>
        <v>44459</v>
      </c>
      <c r="C559" s="61"/>
      <c r="D559" s="17">
        <v>86072</v>
      </c>
      <c r="E559" s="16"/>
      <c r="F559" s="16"/>
      <c r="G559" s="16"/>
      <c r="H559" s="16">
        <f t="shared" si="483"/>
        <v>40957134</v>
      </c>
      <c r="I559" s="16"/>
      <c r="J559" s="436">
        <f t="shared" si="484"/>
        <v>2.105939894588499E-3</v>
      </c>
      <c r="K559" s="16"/>
      <c r="L559" s="16"/>
      <c r="M559" s="16"/>
      <c r="N559" s="16">
        <f t="shared" si="485"/>
        <v>802994</v>
      </c>
      <c r="O559" s="16">
        <f t="shared" si="486"/>
        <v>74467.516363636358</v>
      </c>
      <c r="P559" s="41"/>
      <c r="Q559" s="17">
        <f t="shared" si="487"/>
        <v>802994</v>
      </c>
      <c r="R559" s="16"/>
      <c r="S559" s="60">
        <f t="shared" si="488"/>
        <v>-2.3570669448842261E-2</v>
      </c>
      <c r="T559" s="16"/>
      <c r="U559" s="41"/>
      <c r="V559" s="10">
        <f t="shared" si="356"/>
        <v>451</v>
      </c>
      <c r="W559" s="34">
        <v>746</v>
      </c>
      <c r="X559" s="33">
        <v>4256</v>
      </c>
      <c r="Y559" s="33"/>
      <c r="Z559" s="33">
        <f t="shared" si="489"/>
        <v>8059</v>
      </c>
      <c r="AA559" s="33">
        <f t="shared" si="490"/>
        <v>657116</v>
      </c>
      <c r="AB559" s="33"/>
      <c r="AC559" s="46">
        <f t="shared" si="491"/>
        <v>1.6043993703270351E-2</v>
      </c>
      <c r="AD559" s="33"/>
      <c r="AE559" s="33">
        <f t="shared" si="492"/>
        <v>1194.7563636363636</v>
      </c>
      <c r="AF559" s="50"/>
      <c r="AG559" s="33">
        <f t="shared" si="493"/>
        <v>9993</v>
      </c>
      <c r="AH559" s="33">
        <f t="shared" si="482"/>
        <v>1154391196.060914</v>
      </c>
      <c r="AI559" s="213">
        <f t="shared" si="494"/>
        <v>0.23461823573017049</v>
      </c>
      <c r="AJ559" s="50"/>
      <c r="AK559" s="111"/>
      <c r="AL559" s="23">
        <f t="shared" si="49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96"/>
        <v>5.2912572746826965E-3</v>
      </c>
      <c r="AS559" s="25"/>
      <c r="AT559" s="25"/>
      <c r="AU559" s="24"/>
      <c r="AV559" s="298">
        <f t="shared" si="497"/>
        <v>0.79780929007386114</v>
      </c>
      <c r="AW559" s="298"/>
      <c r="AX559" s="24">
        <f t="shared" si="498"/>
        <v>59410.876363636366</v>
      </c>
      <c r="AY559" s="308"/>
      <c r="AZ559" s="111"/>
      <c r="BA559" s="65">
        <f t="shared" si="499"/>
        <v>3246880</v>
      </c>
      <c r="BB559" s="66"/>
      <c r="BC559" s="66">
        <v>623172181</v>
      </c>
      <c r="BD559" s="66"/>
      <c r="BE559" s="66">
        <f t="shared" si="500"/>
        <v>86072</v>
      </c>
      <c r="BF559" s="66"/>
      <c r="BG559" s="144">
        <f t="shared" si="501"/>
        <v>2.6509141083132116E-2</v>
      </c>
      <c r="BH559" s="66"/>
      <c r="BI559" s="170"/>
      <c r="BJ559" s="66"/>
      <c r="BK559" s="66">
        <f t="shared" si="502"/>
        <v>13465464</v>
      </c>
      <c r="BL559" s="66"/>
      <c r="BM559" s="144">
        <f t="shared" si="503"/>
        <v>5.9633593019891476E-2</v>
      </c>
      <c r="BN559" s="65">
        <f t="shared" si="504"/>
        <v>1133040.3290909091</v>
      </c>
      <c r="BO559" s="66"/>
      <c r="BP559" s="66">
        <f t="shared" si="505"/>
        <v>40050156</v>
      </c>
      <c r="BQ559" s="66"/>
      <c r="BR559" s="435">
        <f t="shared" si="506"/>
        <v>6.4268202626971888E-2</v>
      </c>
      <c r="BS559" s="66"/>
      <c r="BT559" s="75"/>
      <c r="BU559" s="170"/>
      <c r="BV559" s="1"/>
      <c r="BW559" s="61">
        <f t="shared" si="407"/>
        <v>550</v>
      </c>
    </row>
    <row r="560" spans="2:75" x14ac:dyDescent="0.3">
      <c r="B560" s="158">
        <f t="shared" si="457"/>
        <v>44460</v>
      </c>
      <c r="C560" s="61"/>
      <c r="D560" s="17">
        <v>120579</v>
      </c>
      <c r="E560" s="16"/>
      <c r="F560" s="16"/>
      <c r="G560" s="16"/>
      <c r="H560" s="16">
        <f t="shared" si="483"/>
        <v>41077713</v>
      </c>
      <c r="I560" s="16"/>
      <c r="J560" s="436">
        <f t="shared" si="484"/>
        <v>2.9440292379833023E-3</v>
      </c>
      <c r="K560" s="16"/>
      <c r="L560" s="16"/>
      <c r="M560" s="16"/>
      <c r="N560" s="16">
        <f t="shared" si="485"/>
        <v>781514</v>
      </c>
      <c r="O560" s="16">
        <f t="shared" si="486"/>
        <v>74551.203266787663</v>
      </c>
      <c r="P560" s="41"/>
      <c r="Q560" s="17">
        <f t="shared" si="487"/>
        <v>781514</v>
      </c>
      <c r="R560" s="16"/>
      <c r="S560" s="60">
        <f t="shared" si="488"/>
        <v>-7.9121109606780565E-2</v>
      </c>
      <c r="T560" s="16"/>
      <c r="U560" s="41"/>
      <c r="V560" s="10">
        <f t="shared" si="356"/>
        <v>452</v>
      </c>
      <c r="W560" s="34">
        <v>1927</v>
      </c>
      <c r="X560" s="33">
        <v>4256</v>
      </c>
      <c r="Y560" s="33"/>
      <c r="Z560" s="33">
        <f t="shared" si="489"/>
        <v>7704</v>
      </c>
      <c r="AA560" s="33">
        <f t="shared" si="490"/>
        <v>659043</v>
      </c>
      <c r="AB560" s="33"/>
      <c r="AC560" s="46">
        <f t="shared" si="491"/>
        <v>1.6043809449664347E-2</v>
      </c>
      <c r="AD560" s="33"/>
      <c r="AE560" s="33">
        <f t="shared" si="492"/>
        <v>1196.0852994555353</v>
      </c>
      <c r="AF560" s="50"/>
      <c r="AG560" s="33">
        <f t="shared" si="493"/>
        <v>9986</v>
      </c>
      <c r="AH560" s="33">
        <f t="shared" si="482"/>
        <v>1154292013.060914</v>
      </c>
      <c r="AI560" s="213">
        <f t="shared" si="494"/>
        <v>9.6278405972115497E-2</v>
      </c>
      <c r="AJ560" s="50"/>
      <c r="AK560" s="111"/>
      <c r="AL560" s="23">
        <f t="shared" si="49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96"/>
        <v>4.7142577076949056E-3</v>
      </c>
      <c r="AS560" s="25"/>
      <c r="AT560" s="25"/>
      <c r="AU560" s="24"/>
      <c r="AV560" s="298">
        <f t="shared" si="497"/>
        <v>0.79921744913111403</v>
      </c>
      <c r="AW560" s="298"/>
      <c r="AX560" s="24">
        <f t="shared" si="498"/>
        <v>59582.622504537205</v>
      </c>
      <c r="AY560" s="308"/>
      <c r="AZ560" s="111"/>
      <c r="BA560" s="65">
        <f t="shared" si="499"/>
        <v>1840361</v>
      </c>
      <c r="BB560" s="66"/>
      <c r="BC560" s="66">
        <v>625012542</v>
      </c>
      <c r="BD560" s="66"/>
      <c r="BE560" s="66">
        <f t="shared" si="500"/>
        <v>120579</v>
      </c>
      <c r="BF560" s="66"/>
      <c r="BG560" s="144">
        <f t="shared" si="501"/>
        <v>6.5519210633131222E-2</v>
      </c>
      <c r="BH560" s="66"/>
      <c r="BI560" s="170"/>
      <c r="BJ560" s="66"/>
      <c r="BK560" s="66">
        <f t="shared" si="502"/>
        <v>13796511</v>
      </c>
      <c r="BL560" s="66"/>
      <c r="BM560" s="144">
        <f t="shared" si="503"/>
        <v>5.6645770803937318E-2</v>
      </c>
      <c r="BN560" s="65">
        <f t="shared" si="504"/>
        <v>1134324.0326678767</v>
      </c>
      <c r="BO560" s="66"/>
      <c r="BP560" s="66">
        <f t="shared" si="505"/>
        <v>40170735</v>
      </c>
      <c r="BQ560" s="66"/>
      <c r="BR560" s="435">
        <f t="shared" si="506"/>
        <v>6.4271886243204374E-2</v>
      </c>
      <c r="BS560" s="66"/>
      <c r="BT560" s="75"/>
      <c r="BU560" s="170"/>
      <c r="BV560" s="1"/>
      <c r="BW560" s="61">
        <f t="shared" si="407"/>
        <v>551</v>
      </c>
    </row>
    <row r="561" spans="2:75" x14ac:dyDescent="0.3">
      <c r="B561" s="158">
        <f t="shared" si="457"/>
        <v>44461</v>
      </c>
      <c r="C561" s="61"/>
      <c r="D561" s="17">
        <v>133620</v>
      </c>
      <c r="E561" s="16"/>
      <c r="F561" s="16"/>
      <c r="G561" s="16"/>
      <c r="H561" s="16">
        <f t="shared" si="483"/>
        <v>41211333</v>
      </c>
      <c r="I561" s="16"/>
      <c r="J561" s="436">
        <f t="shared" si="484"/>
        <v>3.2528587947435145E-3</v>
      </c>
      <c r="K561" s="16"/>
      <c r="L561" s="16"/>
      <c r="M561" s="16"/>
      <c r="N561" s="16">
        <f t="shared" si="485"/>
        <v>750625</v>
      </c>
      <c r="O561" s="16">
        <f t="shared" si="486"/>
        <v>74658.211956521744</v>
      </c>
      <c r="P561" s="41"/>
      <c r="Q561" s="17">
        <f t="shared" si="487"/>
        <v>750625</v>
      </c>
      <c r="R561" s="16"/>
      <c r="S561" s="60">
        <f t="shared" si="488"/>
        <v>-0.12249784021949682</v>
      </c>
      <c r="T561" s="16"/>
      <c r="U561" s="41"/>
      <c r="V561" s="10">
        <f t="shared" si="356"/>
        <v>453</v>
      </c>
      <c r="W561" s="34">
        <v>2228</v>
      </c>
      <c r="X561" s="33">
        <v>4256</v>
      </c>
      <c r="Y561" s="33"/>
      <c r="Z561" s="33">
        <f t="shared" si="489"/>
        <v>8061</v>
      </c>
      <c r="AA561" s="33">
        <f t="shared" si="490"/>
        <v>661271</v>
      </c>
      <c r="AB561" s="33"/>
      <c r="AC561" s="46">
        <f t="shared" si="491"/>
        <v>1.6045853212270519E-2</v>
      </c>
      <c r="AD561" s="33"/>
      <c r="AE561" s="33">
        <f t="shared" si="492"/>
        <v>1197.9547101449275</v>
      </c>
      <c r="AF561" s="50"/>
      <c r="AG561" s="33">
        <f t="shared" si="493"/>
        <v>9932</v>
      </c>
      <c r="AH561" s="33">
        <f t="shared" si="482"/>
        <v>1154180879.060914</v>
      </c>
      <c r="AI561" s="213">
        <f t="shared" si="494"/>
        <v>2.4868434630069138E-2</v>
      </c>
      <c r="AJ561" s="50"/>
      <c r="AK561" s="111"/>
      <c r="AL561" s="23">
        <f t="shared" si="49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96"/>
        <v>3.5890621466173112E-3</v>
      </c>
      <c r="AS561" s="25"/>
      <c r="AT561" s="25"/>
      <c r="AU561" s="24"/>
      <c r="AV561" s="298">
        <f t="shared" si="497"/>
        <v>0.79948527750849507</v>
      </c>
      <c r="AW561" s="298"/>
      <c r="AX561" s="24">
        <f t="shared" si="498"/>
        <v>59688.141304347824</v>
      </c>
      <c r="AY561" s="308"/>
      <c r="AZ561" s="111"/>
      <c r="BA561" s="65">
        <f t="shared" si="499"/>
        <v>2041090</v>
      </c>
      <c r="BB561" s="66"/>
      <c r="BC561" s="66">
        <v>627053632</v>
      </c>
      <c r="BD561" s="66"/>
      <c r="BE561" s="66">
        <f t="shared" si="500"/>
        <v>133620</v>
      </c>
      <c r="BF561" s="66"/>
      <c r="BG561" s="144">
        <f t="shared" si="501"/>
        <v>6.5465021140665033E-2</v>
      </c>
      <c r="BH561" s="66"/>
      <c r="BI561" s="170"/>
      <c r="BJ561" s="66"/>
      <c r="BK561" s="66">
        <f t="shared" si="502"/>
        <v>13286661</v>
      </c>
      <c r="BL561" s="66"/>
      <c r="BM561" s="144">
        <f t="shared" si="503"/>
        <v>5.649463021597375E-2</v>
      </c>
      <c r="BN561" s="65">
        <f t="shared" si="504"/>
        <v>1135966.7246376812</v>
      </c>
      <c r="BO561" s="66"/>
      <c r="BP561" s="66">
        <f t="shared" si="505"/>
        <v>40304355</v>
      </c>
      <c r="BQ561" s="66"/>
      <c r="BR561" s="435">
        <f t="shared" si="506"/>
        <v>6.4275769955192602E-2</v>
      </c>
      <c r="BS561" s="66"/>
      <c r="BT561" s="75"/>
      <c r="BU561" s="170"/>
      <c r="BV561" s="1"/>
      <c r="BW561" s="61">
        <f t="shared" si="407"/>
        <v>552</v>
      </c>
    </row>
    <row r="562" spans="2:75" x14ac:dyDescent="0.3">
      <c r="B562" s="158">
        <f t="shared" si="457"/>
        <v>44462</v>
      </c>
      <c r="C562" s="61"/>
      <c r="D562" s="17">
        <v>127463</v>
      </c>
      <c r="E562" s="16"/>
      <c r="F562" s="16"/>
      <c r="G562" s="16"/>
      <c r="H562" s="16">
        <f t="shared" si="483"/>
        <v>41338796</v>
      </c>
      <c r="I562" s="16"/>
      <c r="J562" s="436">
        <f t="shared" si="484"/>
        <v>3.0929113600863143E-3</v>
      </c>
      <c r="K562" s="16"/>
      <c r="L562" s="16"/>
      <c r="M562" s="16"/>
      <c r="N562" s="16">
        <f t="shared" si="485"/>
        <v>726946</v>
      </c>
      <c r="O562" s="16">
        <f t="shared" si="486"/>
        <v>74753.699819168178</v>
      </c>
      <c r="P562" s="41"/>
      <c r="Q562" s="17">
        <f t="shared" si="487"/>
        <v>726946</v>
      </c>
      <c r="R562" s="16"/>
      <c r="S562" s="60">
        <f t="shared" si="488"/>
        <v>-0.14052766299560773</v>
      </c>
      <c r="T562" s="16"/>
      <c r="U562" s="41"/>
      <c r="V562" s="10">
        <f t="shared" si="356"/>
        <v>454</v>
      </c>
      <c r="W562" s="34">
        <v>1974</v>
      </c>
      <c r="X562" s="33">
        <v>4256</v>
      </c>
      <c r="Y562" s="33"/>
      <c r="Z562" s="33">
        <f t="shared" si="489"/>
        <v>8097</v>
      </c>
      <c r="AA562" s="33">
        <f t="shared" si="490"/>
        <v>663245</v>
      </c>
      <c r="AB562" s="33"/>
      <c r="AC562" s="46">
        <f t="shared" si="491"/>
        <v>1.6044129587131663E-2</v>
      </c>
      <c r="AD562" s="33"/>
      <c r="AE562" s="33">
        <f t="shared" si="492"/>
        <v>1199.3580470162749</v>
      </c>
      <c r="AF562" s="50"/>
      <c r="AG562" s="33">
        <f t="shared" si="493"/>
        <v>10035</v>
      </c>
      <c r="AH562" s="33">
        <f t="shared" si="482"/>
        <v>1154033260.060914</v>
      </c>
      <c r="AI562" s="213">
        <f t="shared" si="494"/>
        <v>4.17315478044223E-2</v>
      </c>
      <c r="AJ562" s="50"/>
      <c r="AK562" s="111"/>
      <c r="AL562" s="23">
        <f t="shared" si="49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96"/>
        <v>2.6001996973763451E-3</v>
      </c>
      <c r="AS562" s="25"/>
      <c r="AT562" s="25"/>
      <c r="AU562" s="24"/>
      <c r="AV562" s="298">
        <f t="shared" si="497"/>
        <v>0.79909257637788966</v>
      </c>
      <c r="AW562" s="298"/>
      <c r="AX562" s="24">
        <f t="shared" si="498"/>
        <v>59735.126582278484</v>
      </c>
      <c r="AY562" s="308"/>
      <c r="AZ562" s="111"/>
      <c r="BA562" s="65">
        <f t="shared" si="499"/>
        <v>1964598</v>
      </c>
      <c r="BB562" s="66"/>
      <c r="BC562" s="66">
        <v>629018230</v>
      </c>
      <c r="BD562" s="66"/>
      <c r="BE562" s="66">
        <f t="shared" si="500"/>
        <v>127463</v>
      </c>
      <c r="BF562" s="66"/>
      <c r="BG562" s="144">
        <f t="shared" si="501"/>
        <v>6.4879939814659282E-2</v>
      </c>
      <c r="BH562" s="66"/>
      <c r="BI562" s="170"/>
      <c r="BJ562" s="66"/>
      <c r="BK562" s="66">
        <f t="shared" si="502"/>
        <v>13333837</v>
      </c>
      <c r="BL562" s="66"/>
      <c r="BM562" s="144">
        <f t="shared" si="503"/>
        <v>5.4518890548909515E-2</v>
      </c>
      <c r="BN562" s="65">
        <f t="shared" si="504"/>
        <v>1137465.1537070523</v>
      </c>
      <c r="BO562" s="66"/>
      <c r="BP562" s="66">
        <f t="shared" si="505"/>
        <v>40431818</v>
      </c>
      <c r="BQ562" s="66"/>
      <c r="BR562" s="435">
        <f t="shared" si="506"/>
        <v>6.4277656944855155E-2</v>
      </c>
      <c r="BS562" s="66"/>
      <c r="BT562" s="75"/>
      <c r="BU562" s="170"/>
      <c r="BV562" s="1"/>
      <c r="BW562" s="61">
        <f t="shared" si="407"/>
        <v>553</v>
      </c>
    </row>
    <row r="563" spans="2:75" x14ac:dyDescent="0.3">
      <c r="B563" s="158">
        <f t="shared" si="457"/>
        <v>44463</v>
      </c>
      <c r="C563" s="61"/>
      <c r="D563" s="17">
        <v>131007</v>
      </c>
      <c r="E563" s="16"/>
      <c r="F563" s="16"/>
      <c r="G563" s="16"/>
      <c r="H563" s="16">
        <f t="shared" si="483"/>
        <v>41469803</v>
      </c>
      <c r="I563" s="16"/>
      <c r="J563" s="436">
        <f t="shared" si="484"/>
        <v>3.1691053604947757E-3</v>
      </c>
      <c r="K563" s="16"/>
      <c r="L563" s="16"/>
      <c r="M563" s="16"/>
      <c r="N563" s="16">
        <f t="shared" si="485"/>
        <v>699797</v>
      </c>
      <c r="O563" s="16">
        <f t="shared" si="486"/>
        <v>74855.24007220217</v>
      </c>
      <c r="P563" s="41"/>
      <c r="Q563" s="17">
        <f t="shared" si="487"/>
        <v>699797</v>
      </c>
      <c r="R563" s="16"/>
      <c r="S563" s="60">
        <f t="shared" si="488"/>
        <v>-0.15974213410563423</v>
      </c>
      <c r="T563" s="16"/>
      <c r="U563" s="41"/>
      <c r="V563" s="10">
        <f t="shared" si="356"/>
        <v>455</v>
      </c>
      <c r="W563" s="34">
        <v>2004</v>
      </c>
      <c r="X563" s="33">
        <v>4256</v>
      </c>
      <c r="Y563" s="33"/>
      <c r="Z563" s="33">
        <f t="shared" si="489"/>
        <v>9252</v>
      </c>
      <c r="AA563" s="33">
        <f t="shared" si="490"/>
        <v>665249</v>
      </c>
      <c r="AB563" s="33"/>
      <c r="AC563" s="46">
        <f t="shared" si="491"/>
        <v>1.6041768995140874E-2</v>
      </c>
      <c r="AD563" s="33"/>
      <c r="AE563" s="33">
        <f t="shared" si="492"/>
        <v>1200.8104693140795</v>
      </c>
      <c r="AF563" s="50"/>
      <c r="AG563" s="33">
        <f t="shared" si="493"/>
        <v>10101</v>
      </c>
      <c r="AH563" s="33">
        <f t="shared" si="482"/>
        <v>1153861523.060914</v>
      </c>
      <c r="AI563" s="213">
        <f t="shared" si="494"/>
        <v>2.9663608562691131E-2</v>
      </c>
      <c r="AJ563" s="50"/>
      <c r="AK563" s="111"/>
      <c r="AL563" s="23">
        <f t="shared" si="49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96"/>
        <v>2.4056772627202212E-3</v>
      </c>
      <c r="AS563" s="25"/>
      <c r="AT563" s="25"/>
      <c r="AU563" s="24"/>
      <c r="AV563" s="298">
        <f t="shared" si="497"/>
        <v>0.79848445385670141</v>
      </c>
      <c r="AW563" s="298"/>
      <c r="AX563" s="24">
        <f t="shared" si="498"/>
        <v>59770.74548736462</v>
      </c>
      <c r="AY563" s="308"/>
      <c r="AZ563" s="111"/>
      <c r="BA563" s="65">
        <f t="shared" si="499"/>
        <v>2139205</v>
      </c>
      <c r="BB563" s="66"/>
      <c r="BC563" s="66">
        <v>631157435</v>
      </c>
      <c r="BD563" s="66"/>
      <c r="BE563" s="66">
        <f t="shared" si="500"/>
        <v>131007</v>
      </c>
      <c r="BF563" s="66"/>
      <c r="BG563" s="144">
        <f t="shared" si="501"/>
        <v>6.1240975035118189E-2</v>
      </c>
      <c r="BH563" s="66"/>
      <c r="BI563" s="170"/>
      <c r="BJ563" s="66"/>
      <c r="BK563" s="66">
        <f t="shared" si="502"/>
        <v>13332108</v>
      </c>
      <c r="BL563" s="66"/>
      <c r="BM563" s="144">
        <f t="shared" si="503"/>
        <v>5.2489598794129178E-2</v>
      </c>
      <c r="BN563" s="65">
        <f t="shared" si="504"/>
        <v>1139273.3483754513</v>
      </c>
      <c r="BO563" s="66"/>
      <c r="BP563" s="66">
        <f t="shared" si="505"/>
        <v>40562825</v>
      </c>
      <c r="BQ563" s="66"/>
      <c r="BR563" s="435">
        <f t="shared" si="506"/>
        <v>6.4267364607690947E-2</v>
      </c>
      <c r="BS563" s="66"/>
      <c r="BT563" s="75"/>
      <c r="BU563" s="170"/>
      <c r="BV563" s="1"/>
      <c r="BW563" s="61">
        <f t="shared" si="407"/>
        <v>554</v>
      </c>
    </row>
    <row r="564" spans="2:75" x14ac:dyDescent="0.3">
      <c r="B564" s="158">
        <f t="shared" si="457"/>
        <v>44464</v>
      </c>
      <c r="C564" s="61"/>
      <c r="D564" s="17">
        <v>84779</v>
      </c>
      <c r="E564" s="16"/>
      <c r="F564" s="16"/>
      <c r="G564" s="16"/>
      <c r="H564" s="16">
        <f t="shared" si="483"/>
        <v>41554582</v>
      </c>
      <c r="I564" s="16"/>
      <c r="J564" s="436">
        <f t="shared" si="484"/>
        <v>2.0443550214116041E-3</v>
      </c>
      <c r="K564" s="16"/>
      <c r="L564" s="16"/>
      <c r="M564" s="16"/>
      <c r="N564" s="16">
        <f t="shared" si="485"/>
        <v>720017</v>
      </c>
      <c r="O564" s="16">
        <f t="shared" si="486"/>
        <v>74873.120720720719</v>
      </c>
      <c r="P564" s="41"/>
      <c r="Q564" s="17">
        <f t="shared" si="487"/>
        <v>720017</v>
      </c>
      <c r="R564" s="16"/>
      <c r="S564" s="60">
        <f t="shared" si="488"/>
        <v>-0.12757676840254595</v>
      </c>
      <c r="T564" s="16"/>
      <c r="U564" s="41"/>
      <c r="V564" s="10">
        <f t="shared" si="356"/>
        <v>456</v>
      </c>
      <c r="W564" s="34">
        <v>1195</v>
      </c>
      <c r="X564" s="33">
        <v>4256</v>
      </c>
      <c r="Y564" s="33"/>
      <c r="Z564" s="33">
        <f t="shared" si="489"/>
        <v>10074</v>
      </c>
      <c r="AA564" s="33">
        <f t="shared" si="490"/>
        <v>666444</v>
      </c>
      <c r="AB564" s="33"/>
      <c r="AC564" s="46">
        <f t="shared" si="491"/>
        <v>1.6037798190341561E-2</v>
      </c>
      <c r="AD564" s="33"/>
      <c r="AE564" s="33">
        <f t="shared" si="492"/>
        <v>1200.8</v>
      </c>
      <c r="AF564" s="50"/>
      <c r="AG564" s="33">
        <f t="shared" si="493"/>
        <v>10447</v>
      </c>
      <c r="AH564" s="33">
        <f t="shared" si="482"/>
        <v>1153684317.060914</v>
      </c>
      <c r="AI564" s="213">
        <f t="shared" si="494"/>
        <v>5.1006036217303825E-2</v>
      </c>
      <c r="AJ564" s="50"/>
      <c r="AK564" s="111"/>
      <c r="AL564" s="23">
        <f t="shared" si="49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96"/>
        <v>1.7407668343359961E-3</v>
      </c>
      <c r="AS564" s="25"/>
      <c r="AT564" s="25"/>
      <c r="AU564" s="24"/>
      <c r="AV564" s="298">
        <f t="shared" si="497"/>
        <v>0.79824253797090294</v>
      </c>
      <c r="AW564" s="298"/>
      <c r="AX564" s="24">
        <f t="shared" si="498"/>
        <v>59766.909909909911</v>
      </c>
      <c r="AY564" s="308"/>
      <c r="AZ564" s="111"/>
      <c r="BA564" s="65">
        <f t="shared" si="499"/>
        <v>1512631</v>
      </c>
      <c r="BB564" s="66"/>
      <c r="BC564" s="66">
        <v>632670066</v>
      </c>
      <c r="BD564" s="66"/>
      <c r="BE564" s="66">
        <f t="shared" si="500"/>
        <v>84779</v>
      </c>
      <c r="BF564" s="66"/>
      <c r="BG564" s="144">
        <f t="shared" si="501"/>
        <v>5.6047377053623788E-2</v>
      </c>
      <c r="BH564" s="66"/>
      <c r="BI564" s="170"/>
      <c r="BJ564" s="66"/>
      <c r="BK564" s="66">
        <f t="shared" si="502"/>
        <v>13683009</v>
      </c>
      <c r="BL564" s="66"/>
      <c r="BM564" s="144">
        <f t="shared" si="503"/>
        <v>5.262124727097673E-2</v>
      </c>
      <c r="BN564" s="65">
        <f t="shared" si="504"/>
        <v>1139946.0648648648</v>
      </c>
      <c r="BO564" s="66"/>
      <c r="BP564" s="66">
        <f t="shared" si="505"/>
        <v>40647604</v>
      </c>
      <c r="BQ564" s="66"/>
      <c r="BR564" s="435">
        <f t="shared" si="506"/>
        <v>6.4247711697490051E-2</v>
      </c>
      <c r="BS564" s="66"/>
      <c r="BT564" s="75"/>
      <c r="BU564" s="170"/>
      <c r="BV564" s="1"/>
      <c r="BW564" s="61">
        <f t="shared" si="407"/>
        <v>555</v>
      </c>
    </row>
    <row r="565" spans="2:75" x14ac:dyDescent="0.3">
      <c r="B565" s="347">
        <f t="shared" si="457"/>
        <v>44465</v>
      </c>
      <c r="C565" s="61"/>
      <c r="D565" s="17">
        <v>58622</v>
      </c>
      <c r="E565" s="16"/>
      <c r="F565" s="16"/>
      <c r="G565" s="16"/>
      <c r="H565" s="16">
        <f t="shared" si="483"/>
        <v>41613204</v>
      </c>
      <c r="I565" s="16"/>
      <c r="J565" s="436">
        <f t="shared" si="484"/>
        <v>1.4107228897164699E-3</v>
      </c>
      <c r="K565" s="16"/>
      <c r="L565" s="16"/>
      <c r="M565" s="16"/>
      <c r="N565" s="16">
        <f t="shared" si="485"/>
        <v>742142</v>
      </c>
      <c r="O565" s="16">
        <f t="shared" si="486"/>
        <v>74843.892086330932</v>
      </c>
      <c r="P565" s="41"/>
      <c r="Q565" s="17">
        <f t="shared" si="487"/>
        <v>742142</v>
      </c>
      <c r="R565" s="16"/>
      <c r="S565" s="60">
        <f t="shared" si="488"/>
        <v>-0.10190789903600636</v>
      </c>
      <c r="T565" s="16"/>
      <c r="U565" s="41"/>
      <c r="V565" s="10">
        <f t="shared" si="356"/>
        <v>457</v>
      </c>
      <c r="W565" s="34">
        <v>586</v>
      </c>
      <c r="X565" s="33">
        <v>4256</v>
      </c>
      <c r="Y565" s="33"/>
      <c r="Z565" s="33">
        <f t="shared" si="489"/>
        <v>9914</v>
      </c>
      <c r="AA565" s="33">
        <f t="shared" si="490"/>
        <v>667030</v>
      </c>
      <c r="AB565" s="33"/>
      <c r="AC565" s="46">
        <f t="shared" si="491"/>
        <v>1.60292872425781E-2</v>
      </c>
      <c r="AD565" s="33"/>
      <c r="AE565" s="33">
        <f t="shared" si="492"/>
        <v>1199.6942446043165</v>
      </c>
      <c r="AF565" s="50"/>
      <c r="AG565" s="33">
        <f t="shared" si="493"/>
        <v>10660</v>
      </c>
      <c r="AH565" s="33">
        <f t="shared" si="482"/>
        <v>1153493947.060914</v>
      </c>
      <c r="AI565" s="213">
        <f t="shared" si="494"/>
        <v>5.9431524547803614E-2</v>
      </c>
      <c r="AJ565" s="50"/>
      <c r="AK565" s="111"/>
      <c r="AL565" s="23">
        <f t="shared" si="49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96"/>
        <v>1.0543060149436391E-3</v>
      </c>
      <c r="AS565" s="25"/>
      <c r="AT565" s="25"/>
      <c r="AU565" s="24"/>
      <c r="AV565" s="298">
        <f t="shared" si="497"/>
        <v>0.79795843165549085</v>
      </c>
      <c r="AW565" s="298"/>
      <c r="AX565" s="24">
        <f t="shared" si="498"/>
        <v>59722.314748201439</v>
      </c>
      <c r="AY565" s="308"/>
      <c r="AZ565" s="111"/>
      <c r="BA565" s="65">
        <f t="shared" si="499"/>
        <v>1143749</v>
      </c>
      <c r="BB565" s="66"/>
      <c r="BC565" s="66">
        <v>633813815</v>
      </c>
      <c r="BD565" s="66"/>
      <c r="BE565" s="66">
        <f t="shared" si="500"/>
        <v>58622</v>
      </c>
      <c r="BF565" s="66"/>
      <c r="BG565" s="144">
        <f t="shared" si="501"/>
        <v>5.1254252462734393E-2</v>
      </c>
      <c r="BH565" s="66"/>
      <c r="BI565" s="170"/>
      <c r="BJ565" s="66"/>
      <c r="BK565" s="66">
        <f t="shared" si="502"/>
        <v>13888514</v>
      </c>
      <c r="BL565" s="66"/>
      <c r="BM565" s="144">
        <f t="shared" si="503"/>
        <v>5.3435666335505727E-2</v>
      </c>
      <c r="BN565" s="65">
        <f t="shared" si="504"/>
        <v>1139952.904676259</v>
      </c>
      <c r="BO565" s="66"/>
      <c r="BP565" s="66">
        <f t="shared" si="505"/>
        <v>40706226</v>
      </c>
      <c r="BQ565" s="66"/>
      <c r="BR565" s="435">
        <f t="shared" si="506"/>
        <v>6.4224264344884943E-2</v>
      </c>
      <c r="BS565" s="66"/>
      <c r="BT565" s="75"/>
      <c r="BU565" s="170"/>
      <c r="BV565" s="1"/>
      <c r="BW565" s="61">
        <f t="shared" si="407"/>
        <v>556</v>
      </c>
    </row>
    <row r="566" spans="2:75" x14ac:dyDescent="0.3">
      <c r="B566" s="158">
        <f t="shared" si="457"/>
        <v>44466</v>
      </c>
      <c r="C566" s="61"/>
      <c r="D566" s="17">
        <v>81409</v>
      </c>
      <c r="E566" s="16"/>
      <c r="F566" s="16"/>
      <c r="G566" s="16"/>
      <c r="H566" s="16">
        <f t="shared" si="483"/>
        <v>41694613</v>
      </c>
      <c r="I566" s="16"/>
      <c r="J566" s="436">
        <f t="shared" si="484"/>
        <v>1.9563261699339471E-3</v>
      </c>
      <c r="K566" s="16"/>
      <c r="L566" s="16"/>
      <c r="M566" s="16"/>
      <c r="N566" s="16">
        <f t="shared" si="485"/>
        <v>737479</v>
      </c>
      <c r="O566" s="16">
        <f t="shared" si="486"/>
        <v>74855.678635547578</v>
      </c>
      <c r="P566" s="41"/>
      <c r="Q566" s="17">
        <f t="shared" si="487"/>
        <v>737479</v>
      </c>
      <c r="R566" s="16"/>
      <c r="S566" s="60">
        <f t="shared" si="488"/>
        <v>-8.1588405392817379E-2</v>
      </c>
      <c r="T566" s="16"/>
      <c r="U566" s="41"/>
      <c r="V566" s="10">
        <f t="shared" si="356"/>
        <v>458</v>
      </c>
      <c r="W566" s="34">
        <v>689</v>
      </c>
      <c r="X566" s="33">
        <v>4256</v>
      </c>
      <c r="Y566" s="33"/>
      <c r="Z566" s="33">
        <f t="shared" si="489"/>
        <v>8676</v>
      </c>
      <c r="AA566" s="33">
        <f t="shared" si="490"/>
        <v>667719</v>
      </c>
      <c r="AB566" s="33"/>
      <c r="AC566" s="46">
        <f t="shared" si="491"/>
        <v>1.60145148727007E-2</v>
      </c>
      <c r="AD566" s="33"/>
      <c r="AE566" s="33">
        <f t="shared" si="492"/>
        <v>1198.7773788150807</v>
      </c>
      <c r="AF566" s="50"/>
      <c r="AG566" s="33">
        <f t="shared" si="493"/>
        <v>10603</v>
      </c>
      <c r="AH566" s="33">
        <f t="shared" si="482"/>
        <v>1153421162.060914</v>
      </c>
      <c r="AI566" s="213">
        <f t="shared" si="494"/>
        <v>6.1042729910937656E-2</v>
      </c>
      <c r="AJ566" s="50"/>
      <c r="AK566" s="111"/>
      <c r="AL566" s="23">
        <f t="shared" si="49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96"/>
        <v>5.698615899417228E-3</v>
      </c>
      <c r="AS566" s="25"/>
      <c r="AT566" s="25"/>
      <c r="AU566" s="24"/>
      <c r="AV566" s="298">
        <f t="shared" si="497"/>
        <v>0.80093879274044344</v>
      </c>
      <c r="AW566" s="298"/>
      <c r="AX566" s="24">
        <f t="shared" si="498"/>
        <v>59954.81687612208</v>
      </c>
      <c r="AY566" s="308"/>
      <c r="AZ566" s="111"/>
      <c r="BA566" s="65">
        <f t="shared" si="499"/>
        <v>2710122</v>
      </c>
      <c r="BB566" s="66"/>
      <c r="BC566" s="66">
        <v>636523937</v>
      </c>
      <c r="BD566" s="66"/>
      <c r="BE566" s="66">
        <f t="shared" si="500"/>
        <v>81409</v>
      </c>
      <c r="BF566" s="66"/>
      <c r="BG566" s="144">
        <f t="shared" si="501"/>
        <v>3.0038869098881895E-2</v>
      </c>
      <c r="BH566" s="66"/>
      <c r="BI566" s="170"/>
      <c r="BJ566" s="66"/>
      <c r="BK566" s="66">
        <f t="shared" si="502"/>
        <v>13351756</v>
      </c>
      <c r="BL566" s="66"/>
      <c r="BM566" s="144">
        <f t="shared" si="503"/>
        <v>5.5234607343034127E-2</v>
      </c>
      <c r="BN566" s="65">
        <f t="shared" si="504"/>
        <v>1142771.8797127469</v>
      </c>
      <c r="BO566" s="66"/>
      <c r="BP566" s="66">
        <f t="shared" si="505"/>
        <v>40787635</v>
      </c>
      <c r="BQ566" s="66"/>
      <c r="BR566" s="435">
        <f t="shared" si="506"/>
        <v>6.4078713507988619E-2</v>
      </c>
      <c r="BS566" s="66"/>
      <c r="BT566" s="75"/>
      <c r="BU566" s="170"/>
      <c r="BV566" s="1"/>
      <c r="BW566" s="61">
        <f t="shared" si="407"/>
        <v>557</v>
      </c>
    </row>
    <row r="567" spans="2:75" x14ac:dyDescent="0.3">
      <c r="B567" s="158">
        <f t="shared" si="457"/>
        <v>44467</v>
      </c>
      <c r="C567" s="61"/>
      <c r="D567" s="17">
        <v>105633</v>
      </c>
      <c r="E567" s="16"/>
      <c r="F567" s="16"/>
      <c r="G567" s="16"/>
      <c r="H567" s="16">
        <f t="shared" si="483"/>
        <v>41800246</v>
      </c>
      <c r="I567" s="16"/>
      <c r="J567" s="436">
        <f t="shared" si="484"/>
        <v>2.5334927560066332E-3</v>
      </c>
      <c r="K567" s="16"/>
      <c r="L567" s="16"/>
      <c r="M567" s="16"/>
      <c r="N567" s="16">
        <f t="shared" si="485"/>
        <v>722533</v>
      </c>
      <c r="O567" s="16">
        <f t="shared" si="486"/>
        <v>74910.835125448022</v>
      </c>
      <c r="P567" s="41"/>
      <c r="Q567" s="17">
        <f t="shared" si="487"/>
        <v>722533</v>
      </c>
      <c r="R567" s="16"/>
      <c r="S567" s="60">
        <f t="shared" si="488"/>
        <v>-7.5470177117748366E-2</v>
      </c>
      <c r="T567" s="16"/>
      <c r="U567" s="41"/>
      <c r="V567" s="10">
        <f t="shared" si="356"/>
        <v>459</v>
      </c>
      <c r="W567" s="34">
        <v>1836</v>
      </c>
      <c r="X567" s="33">
        <v>4256</v>
      </c>
      <c r="Y567" s="33"/>
      <c r="Z567" s="33">
        <f t="shared" si="489"/>
        <v>8284</v>
      </c>
      <c r="AA567" s="33">
        <f t="shared" si="490"/>
        <v>669555</v>
      </c>
      <c r="AB567" s="33"/>
      <c r="AC567" s="46">
        <f t="shared" si="491"/>
        <v>1.6017967932533218E-2</v>
      </c>
      <c r="AD567" s="33"/>
      <c r="AE567" s="33">
        <f t="shared" si="492"/>
        <v>1199.9193548387098</v>
      </c>
      <c r="AF567" s="50"/>
      <c r="AG567" s="33">
        <f t="shared" si="493"/>
        <v>10512</v>
      </c>
      <c r="AH567" s="33">
        <f t="shared" si="482"/>
        <v>1153383900.060914</v>
      </c>
      <c r="AI567" s="213">
        <f t="shared" si="494"/>
        <v>5.2673743240536752E-2</v>
      </c>
      <c r="AJ567" s="50"/>
      <c r="AK567" s="111"/>
      <c r="AL567" s="23">
        <f t="shared" si="49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96"/>
        <v>3.77678187520806E-3</v>
      </c>
      <c r="AS567" s="25"/>
      <c r="AT567" s="25"/>
      <c r="AU567" s="24"/>
      <c r="AV567" s="298">
        <f t="shared" si="497"/>
        <v>0.80193207475381845</v>
      </c>
      <c r="AW567" s="298"/>
      <c r="AX567" s="24">
        <f t="shared" si="498"/>
        <v>60073.401433691753</v>
      </c>
      <c r="AY567" s="308"/>
      <c r="AZ567" s="111"/>
      <c r="BA567" s="65">
        <f t="shared" si="499"/>
        <v>1525802</v>
      </c>
      <c r="BB567" s="66"/>
      <c r="BC567" s="66">
        <v>638049739</v>
      </c>
      <c r="BD567" s="66"/>
      <c r="BE567" s="66">
        <f t="shared" si="500"/>
        <v>105633</v>
      </c>
      <c r="BF567" s="66"/>
      <c r="BG567" s="144">
        <f t="shared" si="501"/>
        <v>6.9231132217679625E-2</v>
      </c>
      <c r="BH567" s="66"/>
      <c r="BI567" s="170"/>
      <c r="BJ567" s="66"/>
      <c r="BK567" s="66">
        <f t="shared" si="502"/>
        <v>13037197</v>
      </c>
      <c r="BL567" s="66"/>
      <c r="BM567" s="144">
        <f t="shared" si="503"/>
        <v>5.5420885332943884E-2</v>
      </c>
      <c r="BN567" s="65">
        <f t="shared" si="504"/>
        <v>1143458.3136200716</v>
      </c>
      <c r="BO567" s="66"/>
      <c r="BP567" s="66">
        <f t="shared" si="505"/>
        <v>40893268</v>
      </c>
      <c r="BQ567" s="66"/>
      <c r="BR567" s="435">
        <f t="shared" si="506"/>
        <v>6.4091034758655394E-2</v>
      </c>
      <c r="BS567" s="66"/>
      <c r="BT567" s="75"/>
      <c r="BU567" s="170"/>
      <c r="BV567" s="1"/>
      <c r="BW567" s="61">
        <f t="shared" si="407"/>
        <v>558</v>
      </c>
    </row>
    <row r="568" spans="2:75" x14ac:dyDescent="0.3">
      <c r="B568" s="158">
        <f t="shared" si="457"/>
        <v>44468</v>
      </c>
      <c r="C568" s="61"/>
      <c r="D568" s="17">
        <v>123276</v>
      </c>
      <c r="E568" s="16"/>
      <c r="F568" s="16"/>
      <c r="G568" s="16"/>
      <c r="H568" s="16">
        <f t="shared" si="483"/>
        <v>41923522</v>
      </c>
      <c r="I568" s="16"/>
      <c r="J568" s="436">
        <f t="shared" si="484"/>
        <v>2.9491692465159177E-3</v>
      </c>
      <c r="K568" s="16"/>
      <c r="L568" s="16"/>
      <c r="M568" s="16"/>
      <c r="N568" s="16">
        <f t="shared" si="485"/>
        <v>712189</v>
      </c>
      <c r="O568" s="16">
        <f t="shared" si="486"/>
        <v>74997.355992844372</v>
      </c>
      <c r="P568" s="41"/>
      <c r="Q568" s="17">
        <f t="shared" si="487"/>
        <v>712189</v>
      </c>
      <c r="R568" s="16"/>
      <c r="S568" s="60">
        <f t="shared" si="488"/>
        <v>-5.1205328892589511E-2</v>
      </c>
      <c r="T568" s="16"/>
      <c r="U568" s="41"/>
      <c r="V568" s="10">
        <f t="shared" si="356"/>
        <v>460</v>
      </c>
      <c r="W568" s="34">
        <v>2190</v>
      </c>
      <c r="X568" s="33">
        <v>4256</v>
      </c>
      <c r="Y568" s="33"/>
      <c r="Z568" s="33">
        <f t="shared" si="489"/>
        <v>8500</v>
      </c>
      <c r="AA568" s="33">
        <f t="shared" si="490"/>
        <v>671745</v>
      </c>
      <c r="AB568" s="33"/>
      <c r="AC568" s="46">
        <f t="shared" si="491"/>
        <v>1.6023105119841792E-2</v>
      </c>
      <c r="AD568" s="33"/>
      <c r="AE568" s="33">
        <f t="shared" si="492"/>
        <v>1201.6905187835421</v>
      </c>
      <c r="AF568" s="50"/>
      <c r="AG568" s="33">
        <f t="shared" si="493"/>
        <v>10474</v>
      </c>
      <c r="AH568" s="33">
        <f t="shared" si="482"/>
        <v>1153264258.060914</v>
      </c>
      <c r="AI568" s="213">
        <f t="shared" si="494"/>
        <v>5.4571083366894882E-2</v>
      </c>
      <c r="AJ568" s="50"/>
      <c r="AK568" s="111"/>
      <c r="AL568" s="23">
        <f t="shared" si="49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96"/>
        <v>3.3932204443560352E-3</v>
      </c>
      <c r="AS568" s="25"/>
      <c r="AT568" s="25"/>
      <c r="AU568" s="24"/>
      <c r="AV568" s="298">
        <f t="shared" si="497"/>
        <v>0.80228712654437762</v>
      </c>
      <c r="AW568" s="298"/>
      <c r="AX568" s="24">
        <f t="shared" si="498"/>
        <v>60169.413237924869</v>
      </c>
      <c r="AY568" s="308"/>
      <c r="AZ568" s="111"/>
      <c r="BA568" s="65">
        <f t="shared" si="499"/>
        <v>1783117</v>
      </c>
      <c r="BB568" s="66"/>
      <c r="BC568" s="66">
        <v>639832856</v>
      </c>
      <c r="BD568" s="66"/>
      <c r="BE568" s="66">
        <f t="shared" si="500"/>
        <v>123276</v>
      </c>
      <c r="BF568" s="66"/>
      <c r="BG568" s="144">
        <f t="shared" si="501"/>
        <v>6.9135115643000428E-2</v>
      </c>
      <c r="BH568" s="66"/>
      <c r="BI568" s="170"/>
      <c r="BJ568" s="66"/>
      <c r="BK568" s="66">
        <f t="shared" si="502"/>
        <v>12779224</v>
      </c>
      <c r="BL568" s="66"/>
      <c r="BM568" s="144">
        <f t="shared" si="503"/>
        <v>5.5730222742789388E-2</v>
      </c>
      <c r="BN568" s="65">
        <f t="shared" si="504"/>
        <v>1144602.6046511629</v>
      </c>
      <c r="BO568" s="66"/>
      <c r="BP568" s="66">
        <f t="shared" si="505"/>
        <v>41016544</v>
      </c>
      <c r="BQ568" s="66"/>
      <c r="BR568" s="435">
        <f t="shared" si="506"/>
        <v>6.4105091846049247E-2</v>
      </c>
      <c r="BS568" s="66"/>
      <c r="BT568" s="75"/>
      <c r="BU568" s="170"/>
      <c r="BV568" s="1"/>
      <c r="BW568" s="61">
        <f t="shared" si="407"/>
        <v>559</v>
      </c>
    </row>
    <row r="569" spans="2:75" x14ac:dyDescent="0.3">
      <c r="B569" s="158">
        <f t="shared" si="457"/>
        <v>44469</v>
      </c>
      <c r="C569" s="61"/>
      <c r="D569" s="17">
        <v>113922</v>
      </c>
      <c r="E569" s="16"/>
      <c r="F569" s="16"/>
      <c r="G569" s="16"/>
      <c r="H569" s="16">
        <f t="shared" si="483"/>
        <v>42037444</v>
      </c>
      <c r="I569" s="16"/>
      <c r="J569" s="436">
        <f t="shared" si="484"/>
        <v>2.7173766555204973E-3</v>
      </c>
      <c r="K569" s="16"/>
      <c r="L569" s="16"/>
      <c r="M569" s="16"/>
      <c r="N569" s="16">
        <f t="shared" si="485"/>
        <v>698648</v>
      </c>
      <c r="O569" s="16">
        <f t="shared" si="486"/>
        <v>75066.864285714284</v>
      </c>
      <c r="P569" s="41"/>
      <c r="Q569" s="17">
        <f t="shared" si="487"/>
        <v>698648</v>
      </c>
      <c r="R569" s="16"/>
      <c r="S569" s="60">
        <f t="shared" si="488"/>
        <v>-3.8927238061699218E-2</v>
      </c>
      <c r="T569" s="16"/>
      <c r="U569" s="41"/>
      <c r="V569" s="10">
        <f t="shared" si="356"/>
        <v>461</v>
      </c>
      <c r="W569" s="34">
        <v>1812</v>
      </c>
      <c r="X569" s="33">
        <v>4256</v>
      </c>
      <c r="Y569" s="33"/>
      <c r="Z569" s="33">
        <f t="shared" si="489"/>
        <v>8308</v>
      </c>
      <c r="AA569" s="33">
        <f t="shared" si="490"/>
        <v>673557</v>
      </c>
      <c r="AB569" s="33"/>
      <c r="AC569" s="46">
        <f t="shared" si="491"/>
        <v>1.6022786732704301E-2</v>
      </c>
      <c r="AD569" s="33"/>
      <c r="AE569" s="33">
        <f t="shared" si="492"/>
        <v>1202.7803571428572</v>
      </c>
      <c r="AF569" s="50"/>
      <c r="AG569" s="33">
        <f t="shared" si="493"/>
        <v>10312</v>
      </c>
      <c r="AH569" s="33">
        <f t="shared" si="482"/>
        <v>1153105592.060914</v>
      </c>
      <c r="AI569" s="213">
        <f t="shared" si="494"/>
        <v>2.7603388141504735E-2</v>
      </c>
      <c r="AJ569" s="50"/>
      <c r="AK569" s="111"/>
      <c r="AL569" s="23">
        <f t="shared" si="49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96"/>
        <v>2.5864953404373852E-3</v>
      </c>
      <c r="AS569" s="25"/>
      <c r="AT569" s="25"/>
      <c r="AU569" s="24"/>
      <c r="AV569" s="298">
        <f t="shared" si="497"/>
        <v>0.80218240671340535</v>
      </c>
      <c r="AW569" s="298"/>
      <c r="AX569" s="24">
        <f t="shared" si="498"/>
        <v>60217.317857142858</v>
      </c>
      <c r="AY569" s="308"/>
      <c r="AZ569" s="111"/>
      <c r="BA569" s="65">
        <f t="shared" si="499"/>
        <v>2018518</v>
      </c>
      <c r="BB569" s="66"/>
      <c r="BC569" s="66">
        <v>641851374</v>
      </c>
      <c r="BD569" s="66"/>
      <c r="BE569" s="66">
        <f t="shared" si="500"/>
        <v>113922</v>
      </c>
      <c r="BF569" s="66"/>
      <c r="BG569" s="144">
        <f t="shared" si="501"/>
        <v>5.6438436516295619E-2</v>
      </c>
      <c r="BH569" s="66"/>
      <c r="BI569" s="170"/>
      <c r="BJ569" s="66"/>
      <c r="BK569" s="66">
        <f t="shared" si="502"/>
        <v>12833144</v>
      </c>
      <c r="BL569" s="66"/>
      <c r="BM569" s="144">
        <f t="shared" si="503"/>
        <v>5.4440907076239463E-2</v>
      </c>
      <c r="BN569" s="65">
        <f t="shared" si="504"/>
        <v>1146163.1678571429</v>
      </c>
      <c r="BO569" s="66"/>
      <c r="BP569" s="66">
        <f t="shared" si="505"/>
        <v>41130466</v>
      </c>
      <c r="BQ569" s="66"/>
      <c r="BR569" s="435">
        <f t="shared" si="506"/>
        <v>6.4080981464098255E-2</v>
      </c>
      <c r="BS569" s="66"/>
      <c r="BT569" s="75"/>
      <c r="BU569" s="170"/>
      <c r="BV569" s="1"/>
      <c r="BW569" s="61">
        <f t="shared" si="407"/>
        <v>560</v>
      </c>
    </row>
    <row r="570" spans="2:75" x14ac:dyDescent="0.3">
      <c r="B570" s="158">
        <f t="shared" si="457"/>
        <v>44470</v>
      </c>
      <c r="C570" s="61"/>
      <c r="D570" s="17">
        <v>120876</v>
      </c>
      <c r="E570" s="16"/>
      <c r="F570" s="16"/>
      <c r="G570" s="16"/>
      <c r="H570" s="16">
        <f t="shared" si="483"/>
        <v>42158320</v>
      </c>
      <c r="I570" s="16"/>
      <c r="J570" s="436">
        <f t="shared" si="484"/>
        <v>2.8754364799153821E-3</v>
      </c>
      <c r="K570" s="16"/>
      <c r="L570" s="16"/>
      <c r="M570" s="16"/>
      <c r="N570" s="16">
        <f t="shared" si="485"/>
        <v>688517</v>
      </c>
      <c r="O570" s="16">
        <f t="shared" si="486"/>
        <v>75148.520499108738</v>
      </c>
      <c r="P570" s="41"/>
      <c r="Q570" s="17">
        <f t="shared" si="487"/>
        <v>688517</v>
      </c>
      <c r="R570" s="16"/>
      <c r="S570" s="60">
        <f t="shared" si="488"/>
        <v>-1.6118960212747412E-2</v>
      </c>
      <c r="T570" s="16"/>
      <c r="U570" s="41"/>
      <c r="V570" s="10">
        <f t="shared" si="356"/>
        <v>462</v>
      </c>
      <c r="W570" s="34">
        <v>1821</v>
      </c>
      <c r="X570" s="33">
        <v>4256</v>
      </c>
      <c r="Y570" s="33"/>
      <c r="Z570" s="33">
        <f t="shared" si="489"/>
        <v>8934</v>
      </c>
      <c r="AA570" s="33">
        <f t="shared" si="490"/>
        <v>675378</v>
      </c>
      <c r="AB570" s="33"/>
      <c r="AC570" s="46">
        <f t="shared" si="491"/>
        <v>1.6020040646780993E-2</v>
      </c>
      <c r="AD570" s="33"/>
      <c r="AE570" s="33">
        <f t="shared" si="492"/>
        <v>1203.8823529411766</v>
      </c>
      <c r="AF570" s="50"/>
      <c r="AG570" s="33">
        <f t="shared" si="493"/>
        <v>10129</v>
      </c>
      <c r="AH570" s="33">
        <f t="shared" si="482"/>
        <v>1152921172.060914</v>
      </c>
      <c r="AI570" s="213">
        <f t="shared" si="494"/>
        <v>2.772002772002772E-3</v>
      </c>
      <c r="AJ570" s="50"/>
      <c r="AK570" s="111"/>
      <c r="AL570" s="23">
        <f t="shared" si="49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96"/>
        <v>2.8111277196065276E-3</v>
      </c>
      <c r="AS570" s="25"/>
      <c r="AT570" s="25"/>
      <c r="AU570" s="24"/>
      <c r="AV570" s="298">
        <f t="shared" si="497"/>
        <v>0.80213096726814537</v>
      </c>
      <c r="AW570" s="298"/>
      <c r="AX570" s="24">
        <f t="shared" si="498"/>
        <v>60278.955436720142</v>
      </c>
      <c r="AY570" s="308"/>
      <c r="AZ570" s="111"/>
      <c r="BA570" s="65">
        <f t="shared" si="499"/>
        <v>1915333</v>
      </c>
      <c r="BB570" s="66"/>
      <c r="BC570" s="66">
        <v>643766707</v>
      </c>
      <c r="BD570" s="66"/>
      <c r="BE570" s="66">
        <f t="shared" si="500"/>
        <v>120876</v>
      </c>
      <c r="BF570" s="66"/>
      <c r="BG570" s="144">
        <f t="shared" si="501"/>
        <v>6.3109652472964226E-2</v>
      </c>
      <c r="BH570" s="66"/>
      <c r="BI570" s="170"/>
      <c r="BJ570" s="66"/>
      <c r="BK570" s="66">
        <f t="shared" si="502"/>
        <v>12609272</v>
      </c>
      <c r="BL570" s="66"/>
      <c r="BM570" s="144">
        <f t="shared" si="503"/>
        <v>5.4604024720856209E-2</v>
      </c>
      <c r="BN570" s="65">
        <f t="shared" si="504"/>
        <v>1147534.2370766487</v>
      </c>
      <c r="BO570" s="66"/>
      <c r="BP570" s="66">
        <f t="shared" si="505"/>
        <v>41251342</v>
      </c>
      <c r="BQ570" s="66"/>
      <c r="BR570" s="435">
        <f t="shared" si="506"/>
        <v>6.4078091568658888E-2</v>
      </c>
      <c r="BS570" s="66"/>
      <c r="BT570" s="75"/>
      <c r="BU570" s="170"/>
      <c r="BV570" s="1"/>
      <c r="BW570" s="61">
        <f t="shared" si="407"/>
        <v>561</v>
      </c>
    </row>
    <row r="571" spans="2:75" x14ac:dyDescent="0.3">
      <c r="B571" s="158">
        <f t="shared" si="457"/>
        <v>44471</v>
      </c>
      <c r="C571" s="61"/>
      <c r="D571" s="17">
        <v>46482</v>
      </c>
      <c r="E571" s="16"/>
      <c r="F571" s="16"/>
      <c r="G571" s="16"/>
      <c r="H571" s="16">
        <f t="shared" si="483"/>
        <v>42204802</v>
      </c>
      <c r="I571" s="16"/>
      <c r="J571" s="436">
        <f t="shared" si="484"/>
        <v>1.1025581664544507E-3</v>
      </c>
      <c r="K571" s="16"/>
      <c r="L571" s="16"/>
      <c r="M571" s="16"/>
      <c r="N571" s="16">
        <f t="shared" si="485"/>
        <v>650220</v>
      </c>
      <c r="O571" s="16">
        <f t="shared" si="486"/>
        <v>75097.512455516015</v>
      </c>
      <c r="P571" s="41"/>
      <c r="Q571" s="17">
        <f t="shared" si="487"/>
        <v>650220</v>
      </c>
      <c r="R571" s="16"/>
      <c r="S571" s="60">
        <f t="shared" si="488"/>
        <v>-9.6937988964149457E-2</v>
      </c>
      <c r="T571" s="16"/>
      <c r="U571" s="41"/>
      <c r="V571" s="10">
        <f t="shared" si="356"/>
        <v>463</v>
      </c>
      <c r="W571" s="34">
        <v>690</v>
      </c>
      <c r="X571" s="33">
        <v>4256</v>
      </c>
      <c r="Y571" s="33"/>
      <c r="Z571" s="33">
        <f t="shared" si="489"/>
        <v>9038</v>
      </c>
      <c r="AA571" s="33">
        <f t="shared" si="490"/>
        <v>676068</v>
      </c>
      <c r="AB571" s="33"/>
      <c r="AC571" s="46">
        <f t="shared" si="491"/>
        <v>1.6018745923745834E-2</v>
      </c>
      <c r="AD571" s="33"/>
      <c r="AE571" s="33">
        <f t="shared" si="492"/>
        <v>1202.9679715302491</v>
      </c>
      <c r="AF571" s="50"/>
      <c r="AG571" s="33">
        <f t="shared" si="493"/>
        <v>9624</v>
      </c>
      <c r="AH571" s="33">
        <f t="shared" si="482"/>
        <v>1152743604.060914</v>
      </c>
      <c r="AI571" s="213">
        <f t="shared" si="494"/>
        <v>-7.8778596726332917E-2</v>
      </c>
      <c r="AJ571" s="50"/>
      <c r="AK571" s="111"/>
      <c r="AL571" s="23">
        <f t="shared" si="49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96"/>
        <v>3.000458888493881E-3</v>
      </c>
      <c r="AS571" s="25"/>
      <c r="AT571" s="25"/>
      <c r="AU571" s="24"/>
      <c r="AV571" s="298">
        <f t="shared" si="497"/>
        <v>0.80365165556279594</v>
      </c>
      <c r="AW571" s="298"/>
      <c r="AX571" s="24">
        <f t="shared" si="498"/>
        <v>60352.240213523131</v>
      </c>
      <c r="AY571" s="308"/>
      <c r="AZ571" s="111"/>
      <c r="BA571" s="65">
        <f t="shared" si="499"/>
        <v>573593</v>
      </c>
      <c r="BB571" s="66"/>
      <c r="BC571" s="66">
        <v>644340300</v>
      </c>
      <c r="BD571" s="66"/>
      <c r="BE571" s="66">
        <f t="shared" si="500"/>
        <v>46482</v>
      </c>
      <c r="BF571" s="66"/>
      <c r="BG571" s="144">
        <f t="shared" si="501"/>
        <v>8.1036553793369159E-2</v>
      </c>
      <c r="BH571" s="66"/>
      <c r="BI571" s="170"/>
      <c r="BJ571" s="66"/>
      <c r="BK571" s="66">
        <f t="shared" si="502"/>
        <v>11670234</v>
      </c>
      <c r="BL571" s="66"/>
      <c r="BM571" s="144">
        <f t="shared" si="503"/>
        <v>5.5716106463675023E-2</v>
      </c>
      <c r="BN571" s="65">
        <f t="shared" si="504"/>
        <v>1146512.9893238435</v>
      </c>
      <c r="BO571" s="66"/>
      <c r="BP571" s="66">
        <f t="shared" si="505"/>
        <v>41297824</v>
      </c>
      <c r="BQ571" s="66"/>
      <c r="BR571" s="435">
        <f t="shared" si="506"/>
        <v>6.4093188025023423E-2</v>
      </c>
      <c r="BS571" s="66"/>
      <c r="BT571" s="75"/>
      <c r="BU571" s="170"/>
      <c r="BV571" s="1"/>
      <c r="BW571" s="61">
        <f t="shared" si="407"/>
        <v>562</v>
      </c>
    </row>
    <row r="572" spans="2:75" x14ac:dyDescent="0.3">
      <c r="B572" s="347">
        <f t="shared" si="457"/>
        <v>44472</v>
      </c>
      <c r="C572" s="61"/>
      <c r="D572" s="17">
        <v>26933</v>
      </c>
      <c r="E572" s="16"/>
      <c r="F572" s="16"/>
      <c r="G572" s="16"/>
      <c r="H572" s="16">
        <f t="shared" si="483"/>
        <v>42231735</v>
      </c>
      <c r="I572" s="16"/>
      <c r="J572" s="436">
        <f t="shared" si="484"/>
        <v>6.38150132773991E-4</v>
      </c>
      <c r="K572" s="16"/>
      <c r="L572" s="16"/>
      <c r="M572" s="16"/>
      <c r="N572" s="16">
        <f t="shared" si="485"/>
        <v>618531</v>
      </c>
      <c r="O572" s="16">
        <f t="shared" si="486"/>
        <v>75011.962699822383</v>
      </c>
      <c r="P572" s="41"/>
      <c r="Q572" s="17">
        <f t="shared" si="487"/>
        <v>618531</v>
      </c>
      <c r="R572" s="16"/>
      <c r="S572" s="60">
        <f t="shared" si="488"/>
        <v>-0.16655976888519985</v>
      </c>
      <c r="T572" s="16"/>
      <c r="U572" s="41"/>
      <c r="V572" s="10">
        <f t="shared" si="356"/>
        <v>464</v>
      </c>
      <c r="W572" s="34">
        <v>259</v>
      </c>
      <c r="X572" s="33">
        <v>4256</v>
      </c>
      <c r="Y572" s="33"/>
      <c r="Z572" s="33">
        <f t="shared" si="489"/>
        <v>8608</v>
      </c>
      <c r="AA572" s="33">
        <f t="shared" si="490"/>
        <v>676327</v>
      </c>
      <c r="AB572" s="33"/>
      <c r="AC572" s="46">
        <f t="shared" si="491"/>
        <v>1.6014662906934797E-2</v>
      </c>
      <c r="AD572" s="33"/>
      <c r="AE572" s="33">
        <f t="shared" si="492"/>
        <v>1201.291296625222</v>
      </c>
      <c r="AF572" s="50"/>
      <c r="AG572" s="33">
        <f t="shared" si="493"/>
        <v>9297</v>
      </c>
      <c r="AH572" s="33">
        <f t="shared" si="482"/>
        <v>1152561011.060914</v>
      </c>
      <c r="AI572" s="213">
        <f t="shared" si="494"/>
        <v>-0.12786116322701688</v>
      </c>
      <c r="AJ572" s="50"/>
      <c r="AK572" s="111"/>
      <c r="AL572" s="23">
        <f t="shared" si="49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96"/>
        <v>5.9520090816785293E-4</v>
      </c>
      <c r="AS572" s="25"/>
      <c r="AT572" s="25"/>
      <c r="AU572" s="24"/>
      <c r="AV572" s="298">
        <f t="shared" si="497"/>
        <v>0.80361716135981631</v>
      </c>
      <c r="AW572" s="298"/>
      <c r="AX572" s="24">
        <f t="shared" si="498"/>
        <v>60280.900532859683</v>
      </c>
      <c r="AY572" s="308"/>
      <c r="AZ572" s="111"/>
      <c r="BA572" s="65">
        <f t="shared" si="499"/>
        <v>408356</v>
      </c>
      <c r="BB572" s="66"/>
      <c r="BC572" s="66">
        <v>644748656</v>
      </c>
      <c r="BD572" s="66"/>
      <c r="BE572" s="66">
        <f t="shared" si="500"/>
        <v>26933</v>
      </c>
      <c r="BF572" s="66"/>
      <c r="BG572" s="144">
        <f t="shared" si="501"/>
        <v>6.5954706187738146E-2</v>
      </c>
      <c r="BH572" s="66"/>
      <c r="BI572" s="170"/>
      <c r="BJ572" s="66"/>
      <c r="BK572" s="66">
        <f t="shared" si="502"/>
        <v>10934841</v>
      </c>
      <c r="BL572" s="66"/>
      <c r="BM572" s="144">
        <f t="shared" si="503"/>
        <v>5.656515718884253E-2</v>
      </c>
      <c r="BN572" s="65">
        <f t="shared" si="504"/>
        <v>1145201.8756660747</v>
      </c>
      <c r="BO572" s="66"/>
      <c r="BP572" s="66">
        <f t="shared" si="505"/>
        <v>41324757</v>
      </c>
      <c r="BQ572" s="66"/>
      <c r="BR572" s="435">
        <f t="shared" si="506"/>
        <v>6.4094367030367264E-2</v>
      </c>
      <c r="BS572" s="66"/>
      <c r="BT572" s="75"/>
      <c r="BU572" s="170"/>
      <c r="BV572" s="1"/>
      <c r="BW572" s="61">
        <f t="shared" si="407"/>
        <v>563</v>
      </c>
    </row>
    <row r="573" spans="2:75" x14ac:dyDescent="0.3">
      <c r="B573" s="158">
        <f t="shared" si="457"/>
        <v>44473</v>
      </c>
      <c r="C573" s="61"/>
      <c r="D573" s="17">
        <v>73729</v>
      </c>
      <c r="E573" s="16"/>
      <c r="F573" s="16"/>
      <c r="G573" s="16"/>
      <c r="H573" s="16">
        <f t="shared" si="483"/>
        <v>42305464</v>
      </c>
      <c r="I573" s="16"/>
      <c r="J573" s="436">
        <f t="shared" si="484"/>
        <v>1.7458198200950067E-3</v>
      </c>
      <c r="K573" s="16"/>
      <c r="L573" s="16"/>
      <c r="M573" s="16"/>
      <c r="N573" s="16">
        <f t="shared" si="485"/>
        <v>610851</v>
      </c>
      <c r="O573" s="16">
        <f t="shared" si="486"/>
        <v>75009.687943262412</v>
      </c>
      <c r="P573" s="41"/>
      <c r="Q573" s="17">
        <f t="shared" si="487"/>
        <v>610851</v>
      </c>
      <c r="R573" s="16"/>
      <c r="S573" s="60">
        <f t="shared" si="488"/>
        <v>-0.17170387224585379</v>
      </c>
      <c r="T573" s="16"/>
      <c r="U573" s="41"/>
      <c r="V573" s="10">
        <f t="shared" si="356"/>
        <v>465</v>
      </c>
      <c r="W573" s="34">
        <v>733</v>
      </c>
      <c r="X573" s="33">
        <v>4256</v>
      </c>
      <c r="Y573" s="33"/>
      <c r="Z573" s="33">
        <f t="shared" si="489"/>
        <v>7505</v>
      </c>
      <c r="AA573" s="33">
        <f t="shared" si="490"/>
        <v>677060</v>
      </c>
      <c r="AB573" s="33"/>
      <c r="AC573" s="46">
        <f t="shared" si="491"/>
        <v>1.6004079283943085E-2</v>
      </c>
      <c r="AD573" s="33"/>
      <c r="AE573" s="33">
        <f t="shared" si="492"/>
        <v>1200.4609929078015</v>
      </c>
      <c r="AF573" s="50"/>
      <c r="AG573" s="33">
        <f t="shared" si="493"/>
        <v>9341</v>
      </c>
      <c r="AH573" s="33">
        <f t="shared" si="482"/>
        <v>1152502329.060914</v>
      </c>
      <c r="AI573" s="213">
        <f t="shared" si="494"/>
        <v>-0.11902291804206357</v>
      </c>
      <c r="AJ573" s="50"/>
      <c r="AK573" s="111"/>
      <c r="AL573" s="23">
        <f t="shared" si="49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96"/>
        <v>6.3830827298850465E-3</v>
      </c>
      <c r="AS573" s="25"/>
      <c r="AT573" s="25"/>
      <c r="AU573" s="24"/>
      <c r="AV573" s="298">
        <f t="shared" si="497"/>
        <v>0.80733725080996632</v>
      </c>
      <c r="AW573" s="298"/>
      <c r="AX573" s="24">
        <f t="shared" si="498"/>
        <v>60558.115248226954</v>
      </c>
      <c r="AY573" s="308"/>
      <c r="AZ573" s="111"/>
      <c r="BA573" s="65">
        <f t="shared" si="499"/>
        <v>4512688</v>
      </c>
      <c r="BB573" s="66"/>
      <c r="BC573" s="66">
        <v>649261344</v>
      </c>
      <c r="BD573" s="66"/>
      <c r="BE573" s="66">
        <f t="shared" si="500"/>
        <v>73729</v>
      </c>
      <c r="BF573" s="66"/>
      <c r="BG573" s="144">
        <f t="shared" si="501"/>
        <v>1.6338155884031869E-2</v>
      </c>
      <c r="BH573" s="66"/>
      <c r="BI573" s="170"/>
      <c r="BJ573" s="66"/>
      <c r="BK573" s="66">
        <f t="shared" si="502"/>
        <v>12737407</v>
      </c>
      <c r="BL573" s="66"/>
      <c r="BM573" s="144">
        <f t="shared" si="503"/>
        <v>4.7957249069610478E-2</v>
      </c>
      <c r="BN573" s="65">
        <f t="shared" si="504"/>
        <v>1151172.5957446808</v>
      </c>
      <c r="BO573" s="66"/>
      <c r="BP573" s="66">
        <f t="shared" si="505"/>
        <v>41398486</v>
      </c>
      <c r="BQ573" s="66"/>
      <c r="BR573" s="435">
        <f t="shared" si="506"/>
        <v>6.3762437703360333E-2</v>
      </c>
      <c r="BS573" s="66"/>
      <c r="BT573" s="75"/>
      <c r="BU573" s="170"/>
      <c r="BV573" s="1"/>
      <c r="BW573" s="61">
        <f t="shared" si="407"/>
        <v>564</v>
      </c>
    </row>
    <row r="574" spans="2:75" x14ac:dyDescent="0.3">
      <c r="B574" s="158">
        <f t="shared" si="457"/>
        <v>44474</v>
      </c>
      <c r="C574" s="61"/>
      <c r="D574" s="17">
        <v>94811</v>
      </c>
      <c r="E574" s="16"/>
      <c r="F574" s="16"/>
      <c r="G574" s="16"/>
      <c r="H574" s="16">
        <f t="shared" si="483"/>
        <v>42400275</v>
      </c>
      <c r="I574" s="16"/>
      <c r="J574" s="436">
        <f t="shared" si="484"/>
        <v>2.2411053097065666E-3</v>
      </c>
      <c r="K574" s="16"/>
      <c r="L574" s="16"/>
      <c r="M574" s="16"/>
      <c r="N574" s="16">
        <f t="shared" si="485"/>
        <v>600029</v>
      </c>
      <c r="O574" s="16">
        <f t="shared" si="486"/>
        <v>75044.734513274336</v>
      </c>
      <c r="P574" s="41"/>
      <c r="Q574" s="17">
        <f t="shared" si="487"/>
        <v>600029</v>
      </c>
      <c r="R574" s="16"/>
      <c r="S574" s="60">
        <f t="shared" si="488"/>
        <v>-0.16954796528324659</v>
      </c>
      <c r="T574" s="16"/>
      <c r="U574" s="41"/>
      <c r="V574" s="10">
        <f t="shared" si="356"/>
        <v>466</v>
      </c>
      <c r="W574" s="34">
        <v>1811</v>
      </c>
      <c r="X574" s="33">
        <v>4256</v>
      </c>
      <c r="Y574" s="33"/>
      <c r="Z574" s="33">
        <f t="shared" si="489"/>
        <v>7126</v>
      </c>
      <c r="AA574" s="33">
        <f t="shared" si="490"/>
        <v>678871</v>
      </c>
      <c r="AB574" s="33"/>
      <c r="AC574" s="46">
        <f t="shared" si="491"/>
        <v>1.6011004645606661E-2</v>
      </c>
      <c r="AD574" s="33"/>
      <c r="AE574" s="33">
        <f t="shared" si="492"/>
        <v>1201.5415929203539</v>
      </c>
      <c r="AF574" s="50"/>
      <c r="AG574" s="33">
        <f t="shared" si="493"/>
        <v>9316</v>
      </c>
      <c r="AH574" s="33">
        <f t="shared" si="482"/>
        <v>1152466743.060914</v>
      </c>
      <c r="AI574" s="213">
        <f t="shared" si="494"/>
        <v>-0.11377473363774733</v>
      </c>
      <c r="AJ574" s="50"/>
      <c r="AK574" s="111"/>
      <c r="AL574" s="23">
        <f t="shared" si="49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96"/>
        <v>3.7284389237850976E-3</v>
      </c>
      <c r="AS574" s="25"/>
      <c r="AT574" s="25"/>
      <c r="AU574" s="24"/>
      <c r="AV574" s="298">
        <f t="shared" si="497"/>
        <v>0.80853534558443307</v>
      </c>
      <c r="AW574" s="298"/>
      <c r="AX574" s="24">
        <f t="shared" si="498"/>
        <v>60676.320353982301</v>
      </c>
      <c r="AY574" s="308"/>
      <c r="AZ574" s="111"/>
      <c r="BA574" s="65">
        <f t="shared" si="499"/>
        <v>1427929</v>
      </c>
      <c r="BB574" s="66"/>
      <c r="BC574" s="66">
        <v>650689273</v>
      </c>
      <c r="BD574" s="66"/>
      <c r="BE574" s="66">
        <f t="shared" si="500"/>
        <v>94811</v>
      </c>
      <c r="BF574" s="66"/>
      <c r="BG574" s="144">
        <f t="shared" si="501"/>
        <v>6.6397558982274327E-2</v>
      </c>
      <c r="BH574" s="66"/>
      <c r="BI574" s="170"/>
      <c r="BJ574" s="66"/>
      <c r="BK574" s="66">
        <f t="shared" si="502"/>
        <v>12639534</v>
      </c>
      <c r="BL574" s="66"/>
      <c r="BM574" s="144">
        <f t="shared" si="503"/>
        <v>4.7472398903313999E-2</v>
      </c>
      <c r="BN574" s="65">
        <f t="shared" si="504"/>
        <v>1151662.4300884956</v>
      </c>
      <c r="BO574" s="66"/>
      <c r="BP574" s="66">
        <f t="shared" si="505"/>
        <v>41493297</v>
      </c>
      <c r="BQ574" s="66"/>
      <c r="BR574" s="435">
        <f t="shared" si="506"/>
        <v>6.3768220442140283E-2</v>
      </c>
      <c r="BS574" s="66"/>
      <c r="BT574" s="75"/>
      <c r="BU574" s="170"/>
      <c r="BV574" s="1"/>
      <c r="BW574" s="61">
        <f t="shared" si="407"/>
        <v>565</v>
      </c>
    </row>
    <row r="575" spans="2:75" x14ac:dyDescent="0.3">
      <c r="B575" s="158">
        <f t="shared" si="457"/>
        <v>44475</v>
      </c>
      <c r="C575" s="61"/>
      <c r="D575" s="17">
        <v>107987</v>
      </c>
      <c r="E575" s="16"/>
      <c r="F575" s="16"/>
      <c r="G575" s="16"/>
      <c r="H575" s="16">
        <f t="shared" si="483"/>
        <v>42508262</v>
      </c>
      <c r="I575" s="16"/>
      <c r="J575" s="436">
        <f t="shared" si="484"/>
        <v>2.5468466890839741E-3</v>
      </c>
      <c r="K575" s="16"/>
      <c r="L575" s="16"/>
      <c r="M575" s="16"/>
      <c r="N575" s="16">
        <f t="shared" si="485"/>
        <v>584740</v>
      </c>
      <c r="O575" s="16">
        <f t="shared" si="486"/>
        <v>75102.936395759723</v>
      </c>
      <c r="P575" s="41"/>
      <c r="Q575" s="17">
        <f t="shared" si="487"/>
        <v>584740</v>
      </c>
      <c r="R575" s="16"/>
      <c r="S575" s="60">
        <f t="shared" si="488"/>
        <v>-0.17895390128182267</v>
      </c>
      <c r="T575" s="16"/>
      <c r="U575" s="41"/>
      <c r="V575" s="10">
        <f t="shared" si="356"/>
        <v>467</v>
      </c>
      <c r="W575" s="34">
        <v>2102</v>
      </c>
      <c r="X575" s="33">
        <v>4256</v>
      </c>
      <c r="Y575" s="33"/>
      <c r="Z575" s="33">
        <f t="shared" si="489"/>
        <v>7416</v>
      </c>
      <c r="AA575" s="33">
        <f t="shared" si="490"/>
        <v>680973</v>
      </c>
      <c r="AB575" s="33"/>
      <c r="AC575" s="46">
        <f t="shared" si="491"/>
        <v>1.6019779872439858E-2</v>
      </c>
      <c r="AD575" s="33"/>
      <c r="AE575" s="33">
        <f t="shared" si="492"/>
        <v>1203.1325088339222</v>
      </c>
      <c r="AF575" s="50"/>
      <c r="AG575" s="33">
        <f t="shared" si="493"/>
        <v>9228</v>
      </c>
      <c r="AH575" s="33">
        <f t="shared" si="482"/>
        <v>1152427099.060914</v>
      </c>
      <c r="AI575" s="213">
        <f t="shared" si="494"/>
        <v>-0.11896123734962764</v>
      </c>
      <c r="AJ575" s="50"/>
      <c r="AK575" s="111"/>
      <c r="AL575" s="23">
        <f t="shared" si="49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96"/>
        <v>3.2146494086523992E-3</v>
      </c>
      <c r="AS575" s="25"/>
      <c r="AT575" s="25"/>
      <c r="AU575" s="24"/>
      <c r="AV575" s="298">
        <f t="shared" si="497"/>
        <v>0.80907391603072365</v>
      </c>
      <c r="AW575" s="298"/>
      <c r="AX575" s="24">
        <f t="shared" si="498"/>
        <v>60763.826855123676</v>
      </c>
      <c r="AY575" s="308"/>
      <c r="AZ575" s="111"/>
      <c r="BA575" s="65">
        <f t="shared" si="499"/>
        <v>1700356</v>
      </c>
      <c r="BB575" s="66"/>
      <c r="BC575" s="66">
        <v>652389629</v>
      </c>
      <c r="BD575" s="66"/>
      <c r="BE575" s="66">
        <f t="shared" si="500"/>
        <v>107987</v>
      </c>
      <c r="BF575" s="66"/>
      <c r="BG575" s="144">
        <f t="shared" si="501"/>
        <v>6.3508465286093024E-2</v>
      </c>
      <c r="BH575" s="66"/>
      <c r="BI575" s="170"/>
      <c r="BJ575" s="66"/>
      <c r="BK575" s="66">
        <f t="shared" si="502"/>
        <v>12556773</v>
      </c>
      <c r="BL575" s="66"/>
      <c r="BM575" s="144">
        <f t="shared" si="503"/>
        <v>4.6567696971188378E-2</v>
      </c>
      <c r="BN575" s="65">
        <f t="shared" si="504"/>
        <v>1152631.8533568904</v>
      </c>
      <c r="BO575" s="66"/>
      <c r="BP575" s="66">
        <f t="shared" si="505"/>
        <v>41601284</v>
      </c>
      <c r="BQ575" s="66"/>
      <c r="BR575" s="435">
        <f t="shared" si="506"/>
        <v>6.3767543429173679E-2</v>
      </c>
      <c r="BS575" s="66"/>
      <c r="BT575" s="75"/>
      <c r="BU575" s="170"/>
      <c r="BV575" s="1"/>
      <c r="BW575" s="61">
        <f t="shared" si="407"/>
        <v>566</v>
      </c>
    </row>
    <row r="576" spans="2:75" x14ac:dyDescent="0.3">
      <c r="B576" s="158">
        <f t="shared" si="457"/>
        <v>44476</v>
      </c>
      <c r="C576" s="61"/>
      <c r="D576" s="17">
        <v>108725</v>
      </c>
      <c r="E576" s="16"/>
      <c r="F576" s="16"/>
      <c r="G576" s="16"/>
      <c r="H576" s="16">
        <f t="shared" si="483"/>
        <v>42616987</v>
      </c>
      <c r="I576" s="16"/>
      <c r="J576" s="436">
        <f t="shared" si="484"/>
        <v>2.5577380698368706E-3</v>
      </c>
      <c r="K576" s="16"/>
      <c r="L576" s="16"/>
      <c r="M576" s="16"/>
      <c r="N576" s="16">
        <f t="shared" si="485"/>
        <v>579543</v>
      </c>
      <c r="O576" s="16">
        <f t="shared" si="486"/>
        <v>75162.234567901236</v>
      </c>
      <c r="P576" s="41"/>
      <c r="Q576" s="17">
        <f t="shared" si="487"/>
        <v>579543</v>
      </c>
      <c r="R576" s="16"/>
      <c r="S576" s="60">
        <f t="shared" si="488"/>
        <v>-0.17047926853007522</v>
      </c>
      <c r="T576" s="16"/>
      <c r="U576" s="41"/>
      <c r="V576" s="10">
        <f t="shared" si="356"/>
        <v>468</v>
      </c>
      <c r="W576" s="34">
        <v>1876</v>
      </c>
      <c r="X576" s="33">
        <v>4256</v>
      </c>
      <c r="Y576" s="33"/>
      <c r="Z576" s="33">
        <f t="shared" si="489"/>
        <v>7471</v>
      </c>
      <c r="AA576" s="33">
        <f t="shared" si="490"/>
        <v>682849</v>
      </c>
      <c r="AB576" s="33"/>
      <c r="AC576" s="46">
        <f t="shared" si="491"/>
        <v>1.6022930011452944E-2</v>
      </c>
      <c r="AD576" s="33"/>
      <c r="AE576" s="33">
        <f t="shared" si="492"/>
        <v>1204.3192239858906</v>
      </c>
      <c r="AF576" s="50"/>
      <c r="AG576" s="33">
        <f t="shared" si="493"/>
        <v>9292</v>
      </c>
      <c r="AH576" s="33">
        <f t="shared" si="482"/>
        <v>1152311323.060914</v>
      </c>
      <c r="AI576" s="213">
        <f t="shared" si="494"/>
        <v>-9.8913886733902251E-2</v>
      </c>
      <c r="AJ576" s="50"/>
      <c r="AK576" s="111"/>
      <c r="AL576" s="23">
        <f t="shared" si="49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96"/>
        <v>2.5239642122489767E-3</v>
      </c>
      <c r="AS576" s="25"/>
      <c r="AT576" s="25"/>
      <c r="AU576" s="24"/>
      <c r="AV576" s="298">
        <f t="shared" si="497"/>
        <v>0.80904666019678961</v>
      </c>
      <c r="AW576" s="298"/>
      <c r="AX576" s="24">
        <f t="shared" si="498"/>
        <v>60809.754850088182</v>
      </c>
      <c r="AY576" s="308"/>
      <c r="AZ576" s="111"/>
      <c r="BA576" s="65">
        <f t="shared" si="499"/>
        <v>1776421</v>
      </c>
      <c r="BB576" s="66"/>
      <c r="BC576" s="66">
        <v>654166050</v>
      </c>
      <c r="BD576" s="66"/>
      <c r="BE576" s="66">
        <f t="shared" si="500"/>
        <v>108725</v>
      </c>
      <c r="BF576" s="66"/>
      <c r="BG576" s="144">
        <f t="shared" si="501"/>
        <v>6.1204523026917604E-2</v>
      </c>
      <c r="BH576" s="66"/>
      <c r="BI576" s="170"/>
      <c r="BJ576" s="66"/>
      <c r="BK576" s="66">
        <f t="shared" si="502"/>
        <v>12314676</v>
      </c>
      <c r="BL576" s="66"/>
      <c r="BM576" s="144">
        <f t="shared" si="503"/>
        <v>4.7061165068411057E-2</v>
      </c>
      <c r="BN576" s="65">
        <f t="shared" si="504"/>
        <v>1153732.0105820105</v>
      </c>
      <c r="BO576" s="66"/>
      <c r="BP576" s="66">
        <f t="shared" si="505"/>
        <v>41710009</v>
      </c>
      <c r="BQ576" s="66"/>
      <c r="BR576" s="435">
        <f t="shared" si="506"/>
        <v>6.3760583417620031E-2</v>
      </c>
      <c r="BS576" s="66"/>
      <c r="BT576" s="75"/>
      <c r="BU576" s="170"/>
      <c r="BV576" s="1"/>
      <c r="BW576" s="61">
        <f t="shared" si="407"/>
        <v>567</v>
      </c>
    </row>
    <row r="577" spans="2:75" x14ac:dyDescent="0.3">
      <c r="B577" s="158">
        <f t="shared" si="457"/>
        <v>44477</v>
      </c>
      <c r="C577" s="61"/>
      <c r="D577" s="17">
        <v>106298</v>
      </c>
      <c r="E577" s="16"/>
      <c r="F577" s="16"/>
      <c r="G577" s="16"/>
      <c r="H577" s="16">
        <f t="shared" si="483"/>
        <v>42723285</v>
      </c>
      <c r="I577" s="16"/>
      <c r="J577" s="436">
        <f t="shared" si="484"/>
        <v>2.4942636137087778E-3</v>
      </c>
      <c r="K577" s="16"/>
      <c r="L577" s="16"/>
      <c r="M577" s="16"/>
      <c r="N577" s="16">
        <f t="shared" si="485"/>
        <v>564965</v>
      </c>
      <c r="O577" s="16">
        <f t="shared" si="486"/>
        <v>75217.051056338023</v>
      </c>
      <c r="P577" s="41"/>
      <c r="Q577" s="17">
        <f t="shared" si="487"/>
        <v>564965</v>
      </c>
      <c r="R577" s="16"/>
      <c r="S577" s="60">
        <f t="shared" si="488"/>
        <v>-0.17944654961315407</v>
      </c>
      <c r="T577" s="16"/>
      <c r="U577" s="41"/>
      <c r="V577" s="10">
        <f t="shared" si="356"/>
        <v>469</v>
      </c>
      <c r="W577" s="34">
        <v>1937</v>
      </c>
      <c r="X577" s="33">
        <v>4256</v>
      </c>
      <c r="Y577" s="33"/>
      <c r="Z577" s="33">
        <f t="shared" si="489"/>
        <v>8718</v>
      </c>
      <c r="AA577" s="33">
        <f t="shared" si="490"/>
        <v>684786</v>
      </c>
      <c r="AB577" s="33"/>
      <c r="AC577" s="46">
        <f t="shared" si="491"/>
        <v>1.6028402310356051E-2</v>
      </c>
      <c r="AD577" s="33"/>
      <c r="AE577" s="33">
        <f t="shared" si="492"/>
        <v>1205.6091549295775</v>
      </c>
      <c r="AF577" s="50"/>
      <c r="AG577" s="33">
        <f t="shared" si="493"/>
        <v>9408</v>
      </c>
      <c r="AH577" s="33">
        <f t="shared" si="482"/>
        <v>1152153564.060914</v>
      </c>
      <c r="AI577" s="213">
        <f t="shared" si="494"/>
        <v>-7.1181755355908774E-2</v>
      </c>
      <c r="AJ577" s="50"/>
      <c r="AK577" s="111"/>
      <c r="AL577" s="23">
        <f t="shared" si="49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96"/>
        <v>2.8534651873911789E-3</v>
      </c>
      <c r="AS577" s="25"/>
      <c r="AT577" s="25"/>
      <c r="AU577" s="24"/>
      <c r="AV577" s="298">
        <f t="shared" si="497"/>
        <v>0.80933654797378063</v>
      </c>
      <c r="AW577" s="298"/>
      <c r="AX577" s="24">
        <f t="shared" si="498"/>
        <v>60875.908450704228</v>
      </c>
      <c r="AY577" s="308"/>
      <c r="AZ577" s="111"/>
      <c r="BA577" s="65">
        <f t="shared" si="499"/>
        <v>2387687</v>
      </c>
      <c r="BB577" s="66"/>
      <c r="BC577" s="66">
        <v>656553737</v>
      </c>
      <c r="BD577" s="66"/>
      <c r="BE577" s="66">
        <f t="shared" si="500"/>
        <v>106298</v>
      </c>
      <c r="BF577" s="66"/>
      <c r="BG577" s="144">
        <f t="shared" si="501"/>
        <v>4.4519235561445034E-2</v>
      </c>
      <c r="BH577" s="66"/>
      <c r="BI577" s="170"/>
      <c r="BJ577" s="66"/>
      <c r="BK577" s="66">
        <f t="shared" si="502"/>
        <v>12787030</v>
      </c>
      <c r="BL577" s="66"/>
      <c r="BM577" s="144">
        <f t="shared" si="503"/>
        <v>4.4182660086040305E-2</v>
      </c>
      <c r="BN577" s="65">
        <f t="shared" si="504"/>
        <v>1155904.4665492957</v>
      </c>
      <c r="BO577" s="66"/>
      <c r="BP577" s="66">
        <f t="shared" si="505"/>
        <v>41816307</v>
      </c>
      <c r="BQ577" s="66"/>
      <c r="BR577" s="435">
        <f t="shared" si="506"/>
        <v>6.3690608465762188E-2</v>
      </c>
      <c r="BS577" s="66"/>
      <c r="BT577" s="75"/>
      <c r="BU577" s="170"/>
      <c r="BV577" s="1"/>
      <c r="BW577" s="61">
        <f t="shared" si="407"/>
        <v>568</v>
      </c>
    </row>
    <row r="578" spans="2:75" x14ac:dyDescent="0.3">
      <c r="B578" s="158">
        <f t="shared" si="457"/>
        <v>44478</v>
      </c>
      <c r="C578" s="61"/>
      <c r="D578" s="17">
        <v>42357</v>
      </c>
      <c r="E578" s="16"/>
      <c r="F578" s="16"/>
      <c r="G578" s="16"/>
      <c r="H578" s="16">
        <f t="shared" si="483"/>
        <v>42765642</v>
      </c>
      <c r="I578" s="16"/>
      <c r="J578" s="436">
        <f t="shared" si="484"/>
        <v>9.9142657218423153E-4</v>
      </c>
      <c r="K578" s="16"/>
      <c r="L578" s="16"/>
      <c r="M578" s="16"/>
      <c r="N578" s="16">
        <f t="shared" si="485"/>
        <v>560840</v>
      </c>
      <c r="O578" s="16">
        <f t="shared" si="486"/>
        <v>75159.300527240775</v>
      </c>
      <c r="P578" s="41"/>
      <c r="Q578" s="17">
        <f t="shared" si="487"/>
        <v>560840</v>
      </c>
      <c r="R578" s="16"/>
      <c r="S578" s="60">
        <f t="shared" si="488"/>
        <v>-0.13746116698963429</v>
      </c>
      <c r="T578" s="16"/>
      <c r="U578" s="41"/>
      <c r="V578" s="10">
        <f t="shared" si="356"/>
        <v>470</v>
      </c>
      <c r="W578" s="34">
        <v>581</v>
      </c>
      <c r="X578" s="33">
        <v>4256</v>
      </c>
      <c r="Y578" s="33"/>
      <c r="Z578" s="33">
        <f t="shared" si="489"/>
        <v>9040</v>
      </c>
      <c r="AA578" s="33">
        <f t="shared" si="490"/>
        <v>685367</v>
      </c>
      <c r="AB578" s="33"/>
      <c r="AC578" s="46">
        <f t="shared" si="491"/>
        <v>1.6026112737884304E-2</v>
      </c>
      <c r="AD578" s="33"/>
      <c r="AE578" s="33">
        <f t="shared" si="492"/>
        <v>1204.5114235500878</v>
      </c>
      <c r="AF578" s="50"/>
      <c r="AG578" s="33">
        <f t="shared" si="493"/>
        <v>9299</v>
      </c>
      <c r="AH578" s="33">
        <f t="shared" si="482"/>
        <v>1151992816.060914</v>
      </c>
      <c r="AI578" s="213">
        <f t="shared" si="494"/>
        <v>-3.3769742310889445E-2</v>
      </c>
      <c r="AJ578" s="50"/>
      <c r="AK578" s="111"/>
      <c r="AL578" s="23">
        <f t="shared" si="49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96"/>
        <v>1.5367789866686779E-3</v>
      </c>
      <c r="AS578" s="25"/>
      <c r="AT578" s="25"/>
      <c r="AU578" s="24"/>
      <c r="AV578" s="298">
        <f t="shared" si="497"/>
        <v>0.8097774844582013</v>
      </c>
      <c r="AW578" s="298"/>
      <c r="AX578" s="24">
        <f t="shared" si="498"/>
        <v>60862.309314586993</v>
      </c>
      <c r="AY578" s="308"/>
      <c r="AZ578" s="111"/>
      <c r="BA578" s="65">
        <f t="shared" si="499"/>
        <v>549020</v>
      </c>
      <c r="BB578" s="66"/>
      <c r="BC578" s="66">
        <v>657102757</v>
      </c>
      <c r="BD578" s="66"/>
      <c r="BE578" s="66">
        <f t="shared" si="500"/>
        <v>42357</v>
      </c>
      <c r="BF578" s="66"/>
      <c r="BG578" s="144">
        <f t="shared" si="501"/>
        <v>7.7150194892717933E-2</v>
      </c>
      <c r="BH578" s="66"/>
      <c r="BI578" s="170"/>
      <c r="BJ578" s="66"/>
      <c r="BK578" s="66">
        <f t="shared" si="502"/>
        <v>12762457</v>
      </c>
      <c r="BL578" s="66"/>
      <c r="BM578" s="144">
        <f t="shared" si="503"/>
        <v>4.3944516326284197E-2</v>
      </c>
      <c r="BN578" s="65">
        <f t="shared" si="504"/>
        <v>1154837.8857644992</v>
      </c>
      <c r="BO578" s="66"/>
      <c r="BP578" s="66">
        <f t="shared" si="505"/>
        <v>41858664</v>
      </c>
      <c r="BQ578" s="66"/>
      <c r="BR578" s="435">
        <f t="shared" si="506"/>
        <v>6.3701854168297156E-2</v>
      </c>
      <c r="BS578" s="66"/>
      <c r="BT578" s="75"/>
      <c r="BU578" s="170"/>
      <c r="BV578" s="1"/>
      <c r="BW578" s="61">
        <f t="shared" si="407"/>
        <v>569</v>
      </c>
    </row>
    <row r="579" spans="2:75" x14ac:dyDescent="0.3">
      <c r="B579" s="347">
        <f t="shared" si="457"/>
        <v>44479</v>
      </c>
      <c r="C579" s="61"/>
      <c r="D579" s="17">
        <v>24694</v>
      </c>
      <c r="E579" s="16"/>
      <c r="F579" s="16"/>
      <c r="G579" s="16"/>
      <c r="H579" s="16">
        <f t="shared" si="483"/>
        <v>42790336</v>
      </c>
      <c r="I579" s="16"/>
      <c r="J579" s="436">
        <f t="shared" si="484"/>
        <v>5.7742614971149041E-4</v>
      </c>
      <c r="K579" s="16"/>
      <c r="L579" s="16"/>
      <c r="M579" s="16"/>
      <c r="N579" s="16">
        <f t="shared" si="485"/>
        <v>558601</v>
      </c>
      <c r="O579" s="16">
        <f t="shared" si="486"/>
        <v>75070.764912280705</v>
      </c>
      <c r="P579" s="41"/>
      <c r="Q579" s="17">
        <f t="shared" si="487"/>
        <v>558601</v>
      </c>
      <c r="R579" s="16"/>
      <c r="S579" s="60">
        <f t="shared" si="488"/>
        <v>-9.6890859148530961E-2</v>
      </c>
      <c r="T579" s="16"/>
      <c r="U579" s="41"/>
      <c r="V579" s="10">
        <f t="shared" si="356"/>
        <v>471</v>
      </c>
      <c r="W579" s="34">
        <v>517</v>
      </c>
      <c r="X579" s="33">
        <v>4256</v>
      </c>
      <c r="Y579" s="33"/>
      <c r="Z579" s="33">
        <f t="shared" si="489"/>
        <v>8824</v>
      </c>
      <c r="AA579" s="33">
        <f t="shared" si="490"/>
        <v>685884</v>
      </c>
      <c r="AB579" s="33"/>
      <c r="AC579" s="46">
        <f t="shared" si="491"/>
        <v>1.6028946349007402E-2</v>
      </c>
      <c r="AD579" s="33"/>
      <c r="AE579" s="33">
        <f t="shared" si="492"/>
        <v>1203.3052631578948</v>
      </c>
      <c r="AF579" s="50"/>
      <c r="AG579" s="33">
        <f t="shared" si="493"/>
        <v>9557</v>
      </c>
      <c r="AH579" s="33">
        <f t="shared" si="482"/>
        <v>1151821691.060914</v>
      </c>
      <c r="AI579" s="213">
        <f t="shared" si="494"/>
        <v>2.7966010541034741E-2</v>
      </c>
      <c r="AJ579" s="50"/>
      <c r="AK579" s="111"/>
      <c r="AL579" s="23">
        <f t="shared" si="49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96"/>
        <v>9.9071187047175026E-4</v>
      </c>
      <c r="AS579" s="25"/>
      <c r="AT579" s="25"/>
      <c r="AU579" s="24"/>
      <c r="AV579" s="298">
        <f t="shared" si="497"/>
        <v>0.81011196079413816</v>
      </c>
      <c r="AW579" s="298"/>
      <c r="AX579" s="24">
        <f t="shared" si="498"/>
        <v>60815.724561403506</v>
      </c>
      <c r="AY579" s="308"/>
      <c r="AZ579" s="111"/>
      <c r="BA579" s="65">
        <f t="shared" si="499"/>
        <v>311143</v>
      </c>
      <c r="BB579" s="66"/>
      <c r="BC579" s="66">
        <v>657413900</v>
      </c>
      <c r="BD579" s="66"/>
      <c r="BE579" s="66">
        <f t="shared" si="500"/>
        <v>24694</v>
      </c>
      <c r="BF579" s="66"/>
      <c r="BG579" s="144">
        <f t="shared" si="501"/>
        <v>7.9365436471333123E-2</v>
      </c>
      <c r="BH579" s="66"/>
      <c r="BI579" s="170"/>
      <c r="BJ579" s="66"/>
      <c r="BK579" s="66">
        <f t="shared" si="502"/>
        <v>12665244</v>
      </c>
      <c r="BL579" s="66"/>
      <c r="BM579" s="144">
        <f t="shared" si="503"/>
        <v>4.4105032638929023E-2</v>
      </c>
      <c r="BN579" s="65">
        <f t="shared" si="504"/>
        <v>1153357.7192982456</v>
      </c>
      <c r="BO579" s="66"/>
      <c r="BP579" s="66">
        <f t="shared" si="505"/>
        <v>41883358</v>
      </c>
      <c r="BQ579" s="66"/>
      <c r="BR579" s="435">
        <f t="shared" si="506"/>
        <v>6.3709267479741455E-2</v>
      </c>
      <c r="BS579" s="66"/>
      <c r="BT579" s="75"/>
      <c r="BU579" s="170"/>
      <c r="BV579" s="1"/>
      <c r="BW579" s="61">
        <f t="shared" si="407"/>
        <v>570</v>
      </c>
    </row>
    <row r="580" spans="2:75" x14ac:dyDescent="0.3">
      <c r="B580" s="158">
        <f t="shared" si="457"/>
        <v>44480</v>
      </c>
      <c r="C580" s="61"/>
      <c r="D580" s="17">
        <v>64991</v>
      </c>
      <c r="E580" s="16"/>
      <c r="F580" s="16"/>
      <c r="G580" s="16"/>
      <c r="H580" s="16">
        <f t="shared" si="483"/>
        <v>42855327</v>
      </c>
      <c r="I580" s="16"/>
      <c r="J580" s="436">
        <f t="shared" si="484"/>
        <v>1.5188242504101861E-3</v>
      </c>
      <c r="K580" s="16"/>
      <c r="L580" s="16"/>
      <c r="M580" s="16"/>
      <c r="N580" s="16">
        <f t="shared" si="485"/>
        <v>549863</v>
      </c>
      <c r="O580" s="16">
        <f t="shared" si="486"/>
        <v>75053.112084063046</v>
      </c>
      <c r="P580" s="41"/>
      <c r="Q580" s="17">
        <f t="shared" si="487"/>
        <v>549863</v>
      </c>
      <c r="R580" s="16"/>
      <c r="S580" s="60">
        <f t="shared" si="488"/>
        <v>-9.9841041432362387E-2</v>
      </c>
      <c r="T580" s="16"/>
      <c r="U580" s="41"/>
      <c r="V580" s="10">
        <f t="shared" si="356"/>
        <v>472</v>
      </c>
      <c r="W580" s="34">
        <v>651</v>
      </c>
      <c r="X580" s="33">
        <v>4256</v>
      </c>
      <c r="Y580" s="33"/>
      <c r="Z580" s="33">
        <f t="shared" si="489"/>
        <v>7664</v>
      </c>
      <c r="AA580" s="33">
        <f t="shared" si="490"/>
        <v>686535</v>
      </c>
      <c r="AB580" s="33"/>
      <c r="AC580" s="46">
        <f t="shared" si="491"/>
        <v>1.6019828760144569E-2</v>
      </c>
      <c r="AD580" s="33"/>
      <c r="AE580" s="33">
        <f t="shared" si="492"/>
        <v>1202.3380035026269</v>
      </c>
      <c r="AF580" s="50"/>
      <c r="AG580" s="33">
        <f t="shared" si="493"/>
        <v>9475</v>
      </c>
      <c r="AH580" s="33">
        <f t="shared" si="482"/>
        <v>1151749603.060914</v>
      </c>
      <c r="AI580" s="213">
        <f t="shared" si="494"/>
        <v>1.4345359169253826E-2</v>
      </c>
      <c r="AJ580" s="50"/>
      <c r="AK580" s="111" t="s">
        <v>26</v>
      </c>
      <c r="AL580" s="23">
        <f t="shared" si="49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96"/>
        <v>4.327135730679995E-3</v>
      </c>
      <c r="AS580" s="25"/>
      <c r="AT580" s="25"/>
      <c r="AU580" s="24"/>
      <c r="AV580" s="298">
        <f t="shared" si="497"/>
        <v>0.81238355735799195</v>
      </c>
      <c r="AW580" s="298"/>
      <c r="AX580" s="24">
        <f t="shared" si="498"/>
        <v>60971.914185639231</v>
      </c>
      <c r="AY580" s="308"/>
      <c r="AZ580" s="111" t="s">
        <v>26</v>
      </c>
      <c r="BA580" s="65">
        <f t="shared" si="499"/>
        <v>2200000</v>
      </c>
      <c r="BB580" s="66"/>
      <c r="BC580" s="66">
        <f>+BC579+2200000</f>
        <v>659613900</v>
      </c>
      <c r="BD580" s="66"/>
      <c r="BE580" s="66">
        <f t="shared" si="500"/>
        <v>64991</v>
      </c>
      <c r="BF580" s="66"/>
      <c r="BG580" s="144">
        <f t="shared" si="501"/>
        <v>2.9541363636363636E-2</v>
      </c>
      <c r="BH580" s="66"/>
      <c r="BI580" s="170"/>
      <c r="BJ580" s="66"/>
      <c r="BK580" s="66">
        <f t="shared" si="502"/>
        <v>10352556</v>
      </c>
      <c r="BL580" s="66"/>
      <c r="BM580" s="144">
        <f t="shared" si="503"/>
        <v>5.3113743118124647E-2</v>
      </c>
      <c r="BN580" s="65">
        <f t="shared" si="504"/>
        <v>1155190.7180385289</v>
      </c>
      <c r="BO580" s="66"/>
      <c r="BP580" s="66">
        <f t="shared" si="505"/>
        <v>41948349</v>
      </c>
      <c r="BQ580" s="66"/>
      <c r="BR580" s="435">
        <f t="shared" si="506"/>
        <v>6.359530780051785E-2</v>
      </c>
      <c r="BS580" s="66"/>
      <c r="BT580" s="75"/>
      <c r="BU580" s="170"/>
      <c r="BV580" s="1"/>
      <c r="BW580" s="61">
        <f t="shared" si="407"/>
        <v>571</v>
      </c>
    </row>
    <row r="581" spans="2:75" x14ac:dyDescent="0.3">
      <c r="B581" s="158">
        <f t="shared" si="457"/>
        <v>44481</v>
      </c>
      <c r="C581" s="61"/>
      <c r="D581" s="17">
        <v>92247</v>
      </c>
      <c r="E581" s="16"/>
      <c r="F581" s="16"/>
      <c r="G581" s="16"/>
      <c r="H581" s="16">
        <f t="shared" si="483"/>
        <v>42947574</v>
      </c>
      <c r="I581" s="16"/>
      <c r="J581" s="436">
        <f t="shared" si="484"/>
        <v>2.1525212023233422E-3</v>
      </c>
      <c r="K581" s="16"/>
      <c r="L581" s="16"/>
      <c r="M581" s="16"/>
      <c r="N581" s="16">
        <f t="shared" si="485"/>
        <v>547299</v>
      </c>
      <c r="O581" s="16">
        <f t="shared" si="486"/>
        <v>75083.171328671335</v>
      </c>
      <c r="P581" s="41"/>
      <c r="Q581" s="17">
        <f t="shared" si="487"/>
        <v>547299</v>
      </c>
      <c r="R581" s="16"/>
      <c r="S581" s="60">
        <f t="shared" si="488"/>
        <v>-8.7879085844184204E-2</v>
      </c>
      <c r="T581" s="16"/>
      <c r="U581" s="41"/>
      <c r="V581" s="10">
        <f t="shared" si="356"/>
        <v>473</v>
      </c>
      <c r="W581" s="34">
        <v>1597</v>
      </c>
      <c r="X581" s="33">
        <v>4256</v>
      </c>
      <c r="Y581" s="33"/>
      <c r="Z581" s="33">
        <f t="shared" si="489"/>
        <v>7159</v>
      </c>
      <c r="AA581" s="33">
        <f t="shared" si="490"/>
        <v>688132</v>
      </c>
      <c r="AB581" s="33"/>
      <c r="AC581" s="46">
        <f t="shared" si="491"/>
        <v>1.6022604676110459E-2</v>
      </c>
      <c r="AD581" s="33"/>
      <c r="AE581" s="33">
        <f t="shared" si="49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9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96"/>
        <v>4.3084922997045838E-3</v>
      </c>
      <c r="AS581" s="25"/>
      <c r="AT581" s="25"/>
      <c r="AU581" s="24"/>
      <c r="AV581" s="298">
        <f t="shared" si="497"/>
        <v>0.81413127083732362</v>
      </c>
      <c r="AW581" s="298"/>
      <c r="AX581" s="24">
        <f t="shared" si="498"/>
        <v>61127.557692307695</v>
      </c>
      <c r="AY581" s="308"/>
      <c r="AZ581" s="111" t="s">
        <v>26</v>
      </c>
      <c r="BA581" s="65">
        <f t="shared" si="499"/>
        <v>2200000</v>
      </c>
      <c r="BB581" s="66"/>
      <c r="BC581" s="66">
        <f>+BC580+2200000</f>
        <v>661813900</v>
      </c>
      <c r="BD581" s="66"/>
      <c r="BE581" s="66">
        <f t="shared" si="500"/>
        <v>92247</v>
      </c>
      <c r="BF581" s="66"/>
      <c r="BG581" s="144">
        <f t="shared" si="501"/>
        <v>4.1930454545454549E-2</v>
      </c>
      <c r="BH581" s="66"/>
      <c r="BI581" s="170"/>
      <c r="BJ581" s="66"/>
      <c r="BK581" s="66"/>
      <c r="BL581" s="66"/>
      <c r="BM581" s="144"/>
      <c r="BN581" s="65">
        <f t="shared" si="504"/>
        <v>1157017.3076923077</v>
      </c>
      <c r="BO581" s="66"/>
      <c r="BP581" s="66">
        <f t="shared" si="505"/>
        <v>42040596</v>
      </c>
      <c r="BQ581" s="66"/>
      <c r="BR581" s="435">
        <f t="shared" si="506"/>
        <v>6.3523289553150813E-2</v>
      </c>
      <c r="BS581" s="66"/>
      <c r="BT581" s="75"/>
      <c r="BU581" s="170"/>
      <c r="BV581" s="1"/>
      <c r="BW581" s="61">
        <f t="shared" si="407"/>
        <v>572</v>
      </c>
    </row>
    <row r="582" spans="2:75" x14ac:dyDescent="0.3">
      <c r="B582" s="158">
        <f t="shared" si="457"/>
        <v>44482</v>
      </c>
      <c r="C582" s="61"/>
      <c r="D582" s="17">
        <v>99775</v>
      </c>
      <c r="E582" s="16"/>
      <c r="F582" s="16"/>
      <c r="G582" s="16"/>
      <c r="H582" s="16">
        <f t="shared" si="483"/>
        <v>43047349</v>
      </c>
      <c r="I582" s="16"/>
      <c r="J582" s="436">
        <f t="shared" si="484"/>
        <v>2.3231812814386208E-3</v>
      </c>
      <c r="K582" s="16"/>
      <c r="L582" s="16"/>
      <c r="M582" s="16"/>
      <c r="N582" s="16">
        <f t="shared" si="485"/>
        <v>539087</v>
      </c>
      <c r="O582" s="16">
        <f t="shared" si="486"/>
        <v>75126.263525305403</v>
      </c>
      <c r="P582" s="41"/>
      <c r="Q582" s="17">
        <f t="shared" si="487"/>
        <v>539087</v>
      </c>
      <c r="R582" s="16"/>
      <c r="S582" s="60">
        <f t="shared" si="488"/>
        <v>-7.8074015801894853E-2</v>
      </c>
      <c r="T582" s="16"/>
      <c r="U582" s="41"/>
      <c r="V582" s="10">
        <f t="shared" si="356"/>
        <v>474</v>
      </c>
      <c r="W582" s="34">
        <v>1819</v>
      </c>
      <c r="X582" s="33">
        <v>4256</v>
      </c>
      <c r="Y582" s="33"/>
      <c r="Z582" s="33">
        <f t="shared" si="489"/>
        <v>7102</v>
      </c>
      <c r="AA582" s="33">
        <f t="shared" si="490"/>
        <v>689951</v>
      </c>
      <c r="AB582" s="33"/>
      <c r="AC582" s="46">
        <f t="shared" si="491"/>
        <v>1.6027723333206883E-2</v>
      </c>
      <c r="AD582" s="33"/>
      <c r="AE582" s="33">
        <f t="shared" si="492"/>
        <v>1204.1029668411868</v>
      </c>
      <c r="AF582" s="50"/>
      <c r="AG582" s="33"/>
      <c r="AH582" s="33"/>
      <c r="AI582" s="213"/>
      <c r="AJ582" s="50"/>
      <c r="AK582" s="111"/>
      <c r="AL582" s="23">
        <f t="shared" si="49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96"/>
        <v>4.0751937875638539E-3</v>
      </c>
      <c r="AS582" s="25"/>
      <c r="AT582" s="25"/>
      <c r="AU582" s="24"/>
      <c r="AV582" s="298">
        <f t="shared" si="497"/>
        <v>0.81555433297413971</v>
      </c>
      <c r="AW582" s="298"/>
      <c r="AX582" s="24">
        <f t="shared" si="498"/>
        <v>61269.549738219896</v>
      </c>
      <c r="AY582" s="308"/>
      <c r="AZ582" s="111"/>
      <c r="BA582" s="65">
        <f t="shared" si="499"/>
        <v>2261407</v>
      </c>
      <c r="BB582" s="66"/>
      <c r="BC582" s="66">
        <v>664075307</v>
      </c>
      <c r="BD582" s="66"/>
      <c r="BE582" s="66">
        <f t="shared" si="500"/>
        <v>99775</v>
      </c>
      <c r="BF582" s="66"/>
      <c r="BG582" s="144">
        <f t="shared" si="501"/>
        <v>4.4120761985790263E-2</v>
      </c>
      <c r="BH582" s="66"/>
      <c r="BI582" s="170"/>
      <c r="BJ582" s="66"/>
      <c r="BK582" s="66"/>
      <c r="BL582" s="66"/>
      <c r="BM582" s="144"/>
      <c r="BN582" s="65">
        <f t="shared" si="504"/>
        <v>1158944.6893542758</v>
      </c>
      <c r="BO582" s="66"/>
      <c r="BP582" s="66">
        <f t="shared" si="505"/>
        <v>42140371</v>
      </c>
      <c r="BQ582" s="66"/>
      <c r="BR582" s="435">
        <f t="shared" si="506"/>
        <v>6.3457217209854783E-2</v>
      </c>
      <c r="BS582" s="66"/>
      <c r="BT582" s="75"/>
      <c r="BU582" s="170"/>
      <c r="BV582" s="1"/>
      <c r="BW582" s="61">
        <f t="shared" si="407"/>
        <v>573</v>
      </c>
    </row>
    <row r="583" spans="2:75" x14ac:dyDescent="0.3">
      <c r="B583" s="158">
        <f t="shared" si="457"/>
        <v>44483</v>
      </c>
      <c r="C583" s="61"/>
      <c r="D583" s="17">
        <v>89680</v>
      </c>
      <c r="E583" s="16"/>
      <c r="F583" s="16"/>
      <c r="G583" s="16"/>
      <c r="H583" s="16">
        <f t="shared" si="483"/>
        <v>43137029</v>
      </c>
      <c r="I583" s="16"/>
      <c r="J583" s="436">
        <f t="shared" si="484"/>
        <v>2.0832874052244192E-3</v>
      </c>
      <c r="K583" s="16"/>
      <c r="L583" s="16"/>
      <c r="M583" s="16"/>
      <c r="N583" s="16">
        <f t="shared" si="485"/>
        <v>520042</v>
      </c>
      <c r="O583" s="16">
        <f t="shared" si="486"/>
        <v>75151.618466898959</v>
      </c>
      <c r="P583" s="41"/>
      <c r="Q583" s="17">
        <f t="shared" si="487"/>
        <v>520042</v>
      </c>
      <c r="R583" s="16"/>
      <c r="S583" s="60">
        <f t="shared" si="488"/>
        <v>-0.10266882698954176</v>
      </c>
      <c r="T583" s="16"/>
      <c r="U583" s="41"/>
      <c r="V583" s="10">
        <f t="shared" si="356"/>
        <v>475</v>
      </c>
      <c r="W583" s="34">
        <v>1654</v>
      </c>
      <c r="X583" s="33">
        <v>4256</v>
      </c>
      <c r="Y583" s="33"/>
      <c r="Z583" s="33">
        <f t="shared" si="489"/>
        <v>6819</v>
      </c>
      <c r="AA583" s="33">
        <f t="shared" si="490"/>
        <v>691605</v>
      </c>
      <c r="AB583" s="33"/>
      <c r="AC583" s="46">
        <f t="shared" si="491"/>
        <v>1.6032745324208581E-2</v>
      </c>
      <c r="AD583" s="33"/>
      <c r="AE583" s="33">
        <f t="shared" si="492"/>
        <v>1204.8867595818815</v>
      </c>
      <c r="AF583" s="50"/>
      <c r="AG583" s="33"/>
      <c r="AH583" s="33"/>
      <c r="AI583" s="213"/>
      <c r="AJ583" s="50"/>
      <c r="AK583" s="111"/>
      <c r="AL583" s="23">
        <f t="shared" si="49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96"/>
        <v>2.7859042575918069E-3</v>
      </c>
      <c r="AS583" s="25"/>
      <c r="AT583" s="25"/>
      <c r="AU583" s="24"/>
      <c r="AV583" s="298">
        <f t="shared" si="497"/>
        <v>0.81612616390433379</v>
      </c>
      <c r="AW583" s="298"/>
      <c r="AX583" s="24">
        <f t="shared" si="498"/>
        <v>61333.202090592335</v>
      </c>
      <c r="AY583" s="308"/>
      <c r="AZ583" s="111"/>
      <c r="BA583" s="65">
        <f t="shared" si="499"/>
        <v>1805837</v>
      </c>
      <c r="BB583" s="66"/>
      <c r="BC583" s="66">
        <v>665881144</v>
      </c>
      <c r="BD583" s="66"/>
      <c r="BE583" s="66">
        <f t="shared" si="500"/>
        <v>89680</v>
      </c>
      <c r="BF583" s="66"/>
      <c r="BG583" s="144">
        <f t="shared" si="501"/>
        <v>4.9661182044669593E-2</v>
      </c>
      <c r="BH583" s="66"/>
      <c r="BI583" s="170"/>
      <c r="BJ583" s="66"/>
      <c r="BK583" s="66"/>
      <c r="BL583" s="66"/>
      <c r="BM583" s="144"/>
      <c r="BN583" s="65">
        <f t="shared" si="504"/>
        <v>1160071.6794425086</v>
      </c>
      <c r="BO583" s="66"/>
      <c r="BP583" s="66">
        <f t="shared" si="505"/>
        <v>42230051</v>
      </c>
      <c r="BQ583" s="66"/>
      <c r="BR583" s="435">
        <f t="shared" si="506"/>
        <v>6.3419803039204248E-2</v>
      </c>
      <c r="BS583" s="66"/>
      <c r="BT583" s="75"/>
      <c r="BU583" s="170"/>
      <c r="BV583" s="1"/>
      <c r="BW583" s="61">
        <f t="shared" si="407"/>
        <v>574</v>
      </c>
    </row>
    <row r="584" spans="2:75" x14ac:dyDescent="0.3">
      <c r="B584" s="158">
        <f t="shared" si="457"/>
        <v>44484</v>
      </c>
      <c r="C584" s="61"/>
      <c r="D584" s="17">
        <v>92966</v>
      </c>
      <c r="E584" s="16"/>
      <c r="F584" s="16"/>
      <c r="G584" s="16"/>
      <c r="H584" s="16">
        <f t="shared" ref="H584:H615" si="507">+H583+D584</f>
        <v>43229995</v>
      </c>
      <c r="I584" s="16"/>
      <c r="J584" s="436">
        <f t="shared" ref="J584:J615" si="508">+D584/H583</f>
        <v>2.1551321951263727E-3</v>
      </c>
      <c r="K584" s="16"/>
      <c r="L584" s="16"/>
      <c r="M584" s="16"/>
      <c r="N584" s="16">
        <f t="shared" ref="N584:N615" si="509">SUM(D578:D584)</f>
        <v>506710</v>
      </c>
      <c r="O584" s="16">
        <f t="shared" ref="O584:O615" si="510">+H584/BW584</f>
        <v>75182.600000000006</v>
      </c>
      <c r="P584" s="41"/>
      <c r="Q584" s="17">
        <f t="shared" ref="Q584:Q615" si="511">SUM(D578:D584)</f>
        <v>506710</v>
      </c>
      <c r="R584" s="16"/>
      <c r="S584" s="60">
        <f t="shared" ref="S584:S615" si="512">+(Q584-Q577)/Q577</f>
        <v>-0.10311258219535724</v>
      </c>
      <c r="T584" s="16"/>
      <c r="U584" s="41"/>
      <c r="V584" s="10">
        <f t="shared" si="356"/>
        <v>476</v>
      </c>
      <c r="W584" s="34">
        <v>1705</v>
      </c>
      <c r="X584" s="33">
        <v>4256</v>
      </c>
      <c r="Y584" s="33"/>
      <c r="Z584" s="33">
        <f t="shared" ref="Z584:Z615" si="513">SUM(W579:W584)</f>
        <v>7943</v>
      </c>
      <c r="AA584" s="33">
        <f t="shared" ref="AA584:AA615" si="514">+AA583+W584</f>
        <v>693310</v>
      </c>
      <c r="AB584" s="33"/>
      <c r="AC584" s="46">
        <f t="shared" ref="AC584:AC615" si="515">+AA584/H584</f>
        <v>1.6037707152175243E-2</v>
      </c>
      <c r="AD584" s="33"/>
      <c r="AE584" s="33">
        <f t="shared" ref="AE584:AE615" si="51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1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18">+AL584/AP583</f>
        <v>2.8075067650406085E-3</v>
      </c>
      <c r="AS584" s="25"/>
      <c r="AT584" s="25"/>
      <c r="AU584" s="24"/>
      <c r="AV584" s="298">
        <f t="shared" ref="AV584:AV615" si="519">+AP584/H584</f>
        <v>0.81665743889167697</v>
      </c>
      <c r="AW584" s="298"/>
      <c r="AX584" s="24">
        <f t="shared" ref="AX584:AX615" si="520">+AP584/BW584</f>
        <v>61398.42956521739</v>
      </c>
      <c r="AY584" s="308"/>
      <c r="AZ584" s="111"/>
      <c r="BA584" s="65">
        <f t="shared" ref="BA584:BA615" si="521">+BC584-BC583</f>
        <v>1950623</v>
      </c>
      <c r="BB584" s="66"/>
      <c r="BC584" s="66">
        <v>667831767</v>
      </c>
      <c r="BD584" s="66"/>
      <c r="BE584" s="66">
        <f t="shared" ref="BE584:BE615" si="522">+D584</f>
        <v>92966</v>
      </c>
      <c r="BF584" s="66"/>
      <c r="BG584" s="144">
        <f t="shared" ref="BG584:BG615" si="52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24">+BC584/BW584</f>
        <v>1161446.5513043478</v>
      </c>
      <c r="BO584" s="66"/>
      <c r="BP584" s="66">
        <f t="shared" ref="BP584:BP615" si="525">+BP583+BE584</f>
        <v>42323017</v>
      </c>
      <c r="BQ584" s="66"/>
      <c r="BR584" s="435">
        <f t="shared" ref="BR584:BR615" si="526">+BP584/BC584</f>
        <v>6.3373770298650683E-2</v>
      </c>
      <c r="BS584" s="66"/>
      <c r="BT584" s="75"/>
      <c r="BU584" s="170"/>
      <c r="BV584" s="1"/>
      <c r="BW584" s="61">
        <f t="shared" si="407"/>
        <v>575</v>
      </c>
    </row>
    <row r="585" spans="2:75" x14ac:dyDescent="0.3">
      <c r="B585" s="158">
        <f t="shared" si="457"/>
        <v>44485</v>
      </c>
      <c r="C585" s="61"/>
      <c r="D585" s="17">
        <v>33910</v>
      </c>
      <c r="E585" s="16"/>
      <c r="F585" s="16"/>
      <c r="G585" s="16"/>
      <c r="H585" s="16">
        <f t="shared" si="507"/>
        <v>43263905</v>
      </c>
      <c r="I585" s="16"/>
      <c r="J585" s="436">
        <f t="shared" si="508"/>
        <v>7.8440906597375274E-4</v>
      </c>
      <c r="K585" s="16"/>
      <c r="L585" s="16"/>
      <c r="M585" s="16"/>
      <c r="N585" s="16">
        <f t="shared" si="509"/>
        <v>498263</v>
      </c>
      <c r="O585" s="16">
        <f t="shared" si="510"/>
        <v>75110.946180555562</v>
      </c>
      <c r="P585" s="41"/>
      <c r="Q585" s="17">
        <f t="shared" si="511"/>
        <v>498263</v>
      </c>
      <c r="R585" s="16"/>
      <c r="S585" s="60">
        <f t="shared" si="512"/>
        <v>-0.11157727694173027</v>
      </c>
      <c r="T585" s="16"/>
      <c r="U585" s="41"/>
      <c r="V585" s="10">
        <f t="shared" si="356"/>
        <v>477</v>
      </c>
      <c r="W585" s="34">
        <v>464</v>
      </c>
      <c r="X585" s="33">
        <v>4256</v>
      </c>
      <c r="Y585" s="33"/>
      <c r="Z585" s="33">
        <f t="shared" si="513"/>
        <v>7890</v>
      </c>
      <c r="AA585" s="33">
        <f t="shared" si="514"/>
        <v>693774</v>
      </c>
      <c r="AB585" s="33"/>
      <c r="AC585" s="46">
        <f t="shared" si="515"/>
        <v>1.603586176513655E-2</v>
      </c>
      <c r="AD585" s="33"/>
      <c r="AE585" s="33">
        <f t="shared" si="516"/>
        <v>1204.46875</v>
      </c>
      <c r="AF585" s="50"/>
      <c r="AG585" s="33"/>
      <c r="AH585" s="33"/>
      <c r="AI585" s="213"/>
      <c r="AJ585" s="50"/>
      <c r="AK585" s="111"/>
      <c r="AL585" s="23">
        <f t="shared" si="51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18"/>
        <v>1.3665836007645232E-3</v>
      </c>
      <c r="AS585" s="25"/>
      <c r="AT585" s="25"/>
      <c r="AU585" s="24"/>
      <c r="AV585" s="298">
        <f t="shared" si="519"/>
        <v>0.81713250341133103</v>
      </c>
      <c r="AW585" s="298"/>
      <c r="AX585" s="24">
        <f t="shared" si="520"/>
        <v>61375.595486111109</v>
      </c>
      <c r="AY585" s="308"/>
      <c r="AZ585" s="111"/>
      <c r="BA585" s="65">
        <f t="shared" si="521"/>
        <v>543948</v>
      </c>
      <c r="BB585" s="66"/>
      <c r="BC585" s="66">
        <v>668375715</v>
      </c>
      <c r="BD585" s="66"/>
      <c r="BE585" s="66">
        <f t="shared" si="522"/>
        <v>33910</v>
      </c>
      <c r="BF585" s="66"/>
      <c r="BG585" s="144">
        <f t="shared" si="523"/>
        <v>6.2340517843617403E-2</v>
      </c>
      <c r="BH585" s="66"/>
      <c r="BI585" s="170"/>
      <c r="BJ585" s="66"/>
      <c r="BK585" s="66"/>
      <c r="BL585" s="66"/>
      <c r="BM585" s="144"/>
      <c r="BN585" s="65">
        <f t="shared" si="524"/>
        <v>1160374.5052083333</v>
      </c>
      <c r="BO585" s="66"/>
      <c r="BP585" s="66">
        <f t="shared" si="525"/>
        <v>42356927</v>
      </c>
      <c r="BQ585" s="66"/>
      <c r="BR585" s="435">
        <f t="shared" si="526"/>
        <v>6.3372929400943301E-2</v>
      </c>
      <c r="BS585" s="66"/>
      <c r="BT585" s="75"/>
      <c r="BU585" s="170"/>
      <c r="BV585" s="1"/>
      <c r="BW585" s="61">
        <f t="shared" si="407"/>
        <v>576</v>
      </c>
    </row>
    <row r="586" spans="2:75" x14ac:dyDescent="0.3">
      <c r="B586" s="347">
        <f t="shared" si="457"/>
        <v>44486</v>
      </c>
      <c r="C586" s="61"/>
      <c r="D586" s="17">
        <v>17947</v>
      </c>
      <c r="E586" s="16"/>
      <c r="F586" s="16"/>
      <c r="G586" s="16"/>
      <c r="H586" s="16">
        <f t="shared" si="507"/>
        <v>43281852</v>
      </c>
      <c r="I586" s="16"/>
      <c r="J586" s="436">
        <f t="shared" si="508"/>
        <v>4.1482616975975701E-4</v>
      </c>
      <c r="K586" s="16"/>
      <c r="L586" s="16"/>
      <c r="M586" s="16"/>
      <c r="N586" s="16">
        <f t="shared" si="509"/>
        <v>491516</v>
      </c>
      <c r="O586" s="16">
        <f t="shared" si="510"/>
        <v>75011.875216637782</v>
      </c>
      <c r="P586" s="41"/>
      <c r="Q586" s="17">
        <f t="shared" si="511"/>
        <v>491516</v>
      </c>
      <c r="R586" s="16"/>
      <c r="S586" s="60">
        <f t="shared" si="512"/>
        <v>-0.12009466506504643</v>
      </c>
      <c r="T586" s="16"/>
      <c r="U586" s="41"/>
      <c r="V586" s="10">
        <f t="shared" si="356"/>
        <v>478</v>
      </c>
      <c r="W586" s="34">
        <v>161</v>
      </c>
      <c r="X586" s="33">
        <v>4256</v>
      </c>
      <c r="Y586" s="33"/>
      <c r="Z586" s="33">
        <f t="shared" si="513"/>
        <v>7400</v>
      </c>
      <c r="AA586" s="33">
        <f t="shared" si="514"/>
        <v>693935</v>
      </c>
      <c r="AB586" s="33"/>
      <c r="AC586" s="46">
        <f t="shared" si="515"/>
        <v>1.6032932232197459E-2</v>
      </c>
      <c r="AD586" s="33"/>
      <c r="AE586" s="33">
        <f t="shared" si="516"/>
        <v>1202.6603119584056</v>
      </c>
      <c r="AF586" s="50"/>
      <c r="AG586" s="33"/>
      <c r="AH586" s="33"/>
      <c r="AI586" s="213"/>
      <c r="AJ586" s="50"/>
      <c r="AK586" s="111"/>
      <c r="AL586" s="23">
        <f t="shared" si="51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18"/>
        <v>6.294349429682779E-4</v>
      </c>
      <c r="AS586" s="25"/>
      <c r="AT586" s="25"/>
      <c r="AU586" s="24"/>
      <c r="AV586" s="298">
        <f t="shared" si="519"/>
        <v>0.81730779450010593</v>
      </c>
      <c r="AW586" s="298"/>
      <c r="AX586" s="24">
        <f t="shared" si="520"/>
        <v>61307.790294627383</v>
      </c>
      <c r="AY586" s="308"/>
      <c r="AZ586" s="111"/>
      <c r="BA586" s="65">
        <f t="shared" si="521"/>
        <v>393976</v>
      </c>
      <c r="BB586" s="66"/>
      <c r="BC586" s="66">
        <v>668769691</v>
      </c>
      <c r="BD586" s="66"/>
      <c r="BE586" s="66">
        <f t="shared" si="522"/>
        <v>17947</v>
      </c>
      <c r="BF586" s="66"/>
      <c r="BG586" s="144">
        <f t="shared" si="523"/>
        <v>4.5553536256015596E-2</v>
      </c>
      <c r="BH586" s="66"/>
      <c r="BI586" s="170"/>
      <c r="BJ586" s="66"/>
      <c r="BK586" s="66"/>
      <c r="BL586" s="66"/>
      <c r="BM586" s="144"/>
      <c r="BN586" s="65">
        <f t="shared" si="524"/>
        <v>1159046.2582322357</v>
      </c>
      <c r="BO586" s="66"/>
      <c r="BP586" s="66">
        <f t="shared" si="525"/>
        <v>42374874</v>
      </c>
      <c r="BQ586" s="66"/>
      <c r="BR586" s="435">
        <f t="shared" si="526"/>
        <v>6.3362431895855761E-2</v>
      </c>
      <c r="BS586" s="66"/>
      <c r="BT586" s="75"/>
      <c r="BU586" s="170"/>
      <c r="BV586" s="1"/>
      <c r="BW586" s="61">
        <f t="shared" si="407"/>
        <v>577</v>
      </c>
    </row>
    <row r="587" spans="2:75" x14ac:dyDescent="0.3">
      <c r="B587" s="158">
        <f t="shared" si="457"/>
        <v>44487</v>
      </c>
      <c r="C587" s="61"/>
      <c r="D587" s="17">
        <v>53135</v>
      </c>
      <c r="E587" s="16"/>
      <c r="F587" s="16"/>
      <c r="G587" s="16"/>
      <c r="H587" s="16">
        <f t="shared" si="507"/>
        <v>43334987</v>
      </c>
      <c r="I587" s="16"/>
      <c r="J587" s="436">
        <f t="shared" si="508"/>
        <v>1.2276507946101752E-3</v>
      </c>
      <c r="K587" s="16"/>
      <c r="L587" s="16"/>
      <c r="M587" s="16"/>
      <c r="N587" s="16">
        <f t="shared" si="509"/>
        <v>479660</v>
      </c>
      <c r="O587" s="16">
        <f t="shared" si="510"/>
        <v>74974.025951557094</v>
      </c>
      <c r="P587" s="41"/>
      <c r="Q587" s="17">
        <f t="shared" si="511"/>
        <v>479660</v>
      </c>
      <c r="R587" s="16"/>
      <c r="S587" s="60">
        <f t="shared" si="512"/>
        <v>-0.12767362052002043</v>
      </c>
      <c r="T587" s="16"/>
      <c r="U587" s="41"/>
      <c r="V587" s="10">
        <f t="shared" si="356"/>
        <v>479</v>
      </c>
      <c r="W587" s="34">
        <v>684</v>
      </c>
      <c r="X587" s="33">
        <v>4256</v>
      </c>
      <c r="Y587" s="33"/>
      <c r="Z587" s="33">
        <f t="shared" si="513"/>
        <v>6487</v>
      </c>
      <c r="AA587" s="33">
        <f t="shared" si="514"/>
        <v>694619</v>
      </c>
      <c r="AB587" s="33"/>
      <c r="AC587" s="46">
        <f t="shared" si="515"/>
        <v>1.602905753727352E-2</v>
      </c>
      <c r="AD587" s="33"/>
      <c r="AE587" s="33">
        <f t="shared" si="516"/>
        <v>1201.7629757785467</v>
      </c>
      <c r="AF587" s="50"/>
      <c r="AG587" s="33"/>
      <c r="AH587" s="33"/>
      <c r="AI587" s="213"/>
      <c r="AJ587" s="50"/>
      <c r="AK587" s="111"/>
      <c r="AL587" s="23">
        <f t="shared" si="51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18"/>
        <v>5.6231032468357593E-3</v>
      </c>
      <c r="AS587" s="25"/>
      <c r="AT587" s="25"/>
      <c r="AU587" s="24"/>
      <c r="AV587" s="298">
        <f t="shared" si="519"/>
        <v>0.82089582719847132</v>
      </c>
      <c r="AW587" s="298"/>
      <c r="AX587" s="24">
        <f t="shared" si="520"/>
        <v>61545.865051903114</v>
      </c>
      <c r="AY587" s="308"/>
      <c r="AZ587" s="111"/>
      <c r="BA587" s="65">
        <f t="shared" si="521"/>
        <v>3763587</v>
      </c>
      <c r="BB587" s="66"/>
      <c r="BC587" s="66">
        <v>672533278</v>
      </c>
      <c r="BD587" s="66"/>
      <c r="BE587" s="66">
        <f t="shared" si="522"/>
        <v>53135</v>
      </c>
      <c r="BF587" s="66"/>
      <c r="BG587" s="144">
        <f t="shared" si="523"/>
        <v>1.4118180342317051E-2</v>
      </c>
      <c r="BH587" s="66"/>
      <c r="BI587" s="170"/>
      <c r="BJ587" s="66"/>
      <c r="BK587" s="66"/>
      <c r="BL587" s="66"/>
      <c r="BM587" s="144"/>
      <c r="BN587" s="65">
        <f t="shared" si="524"/>
        <v>1163552.3840830449</v>
      </c>
      <c r="BO587" s="66"/>
      <c r="BP587" s="66">
        <f t="shared" si="525"/>
        <v>42428009</v>
      </c>
      <c r="BQ587" s="66"/>
      <c r="BR587" s="435">
        <f t="shared" si="526"/>
        <v>6.3086854417336358E-2</v>
      </c>
      <c r="BS587" s="66"/>
      <c r="BT587" s="75"/>
      <c r="BU587" s="170"/>
      <c r="BV587" s="1"/>
      <c r="BW587" s="61">
        <f t="shared" si="407"/>
        <v>578</v>
      </c>
    </row>
    <row r="588" spans="2:75" x14ac:dyDescent="0.3">
      <c r="B588" s="158">
        <f t="shared" si="457"/>
        <v>44488</v>
      </c>
      <c r="C588" s="61"/>
      <c r="D588" s="17">
        <v>71809</v>
      </c>
      <c r="E588" s="16"/>
      <c r="F588" s="16"/>
      <c r="G588" s="16"/>
      <c r="H588" s="16">
        <f t="shared" si="507"/>
        <v>43406796</v>
      </c>
      <c r="I588" s="16"/>
      <c r="J588" s="436">
        <f t="shared" si="508"/>
        <v>1.6570675329843759E-3</v>
      </c>
      <c r="K588" s="16"/>
      <c r="L588" s="16"/>
      <c r="M588" s="16"/>
      <c r="N588" s="16">
        <f t="shared" si="509"/>
        <v>459222</v>
      </c>
      <c r="O588" s="16">
        <f t="shared" si="510"/>
        <v>74968.559585492229</v>
      </c>
      <c r="P588" s="41"/>
      <c r="Q588" s="17">
        <f t="shared" si="511"/>
        <v>459222</v>
      </c>
      <c r="R588" s="16"/>
      <c r="S588" s="60">
        <f t="shared" si="512"/>
        <v>-0.16093031414272638</v>
      </c>
      <c r="T588" s="16"/>
      <c r="U588" s="41"/>
      <c r="V588" s="10">
        <f t="shared" si="356"/>
        <v>480</v>
      </c>
      <c r="W588" s="34">
        <v>1563</v>
      </c>
      <c r="X588" s="33">
        <v>4256</v>
      </c>
      <c r="Y588" s="33"/>
      <c r="Z588" s="33">
        <f t="shared" si="513"/>
        <v>6231</v>
      </c>
      <c r="AA588" s="33">
        <f t="shared" si="514"/>
        <v>696182</v>
      </c>
      <c r="AB588" s="33"/>
      <c r="AC588" s="46">
        <f t="shared" si="515"/>
        <v>1.6038548433752169E-2</v>
      </c>
      <c r="AD588" s="33"/>
      <c r="AE588" s="33">
        <f t="shared" si="516"/>
        <v>1202.3868739205527</v>
      </c>
      <c r="AF588" s="50"/>
      <c r="AG588" s="33"/>
      <c r="AH588" s="33"/>
      <c r="AI588" s="213"/>
      <c r="AJ588" s="50"/>
      <c r="AK588" s="111"/>
      <c r="AL588" s="23">
        <f t="shared" si="51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18"/>
        <v>3.8461484402298228E-3</v>
      </c>
      <c r="AS588" s="25"/>
      <c r="AT588" s="25"/>
      <c r="AU588" s="24"/>
      <c r="AV588" s="298">
        <f t="shared" si="519"/>
        <v>0.82268986174423009</v>
      </c>
      <c r="AW588" s="298"/>
      <c r="AX588" s="24">
        <f t="shared" si="520"/>
        <v>61675.87392055268</v>
      </c>
      <c r="AY588" s="308"/>
      <c r="AZ588" s="111"/>
      <c r="BA588" s="65">
        <f t="shared" si="521"/>
        <v>1445773</v>
      </c>
      <c r="BB588" s="66"/>
      <c r="BC588" s="66">
        <v>673979051</v>
      </c>
      <c r="BD588" s="66"/>
      <c r="BE588" s="66">
        <f t="shared" si="522"/>
        <v>71809</v>
      </c>
      <c r="BF588" s="66"/>
      <c r="BG588" s="144">
        <f t="shared" si="523"/>
        <v>4.9668239758246975E-2</v>
      </c>
      <c r="BH588" s="66"/>
      <c r="BI588" s="170"/>
      <c r="BJ588" s="66"/>
      <c r="BK588" s="66"/>
      <c r="BL588" s="66"/>
      <c r="BM588" s="144"/>
      <c r="BN588" s="65">
        <f t="shared" si="524"/>
        <v>1164039.8117443868</v>
      </c>
      <c r="BO588" s="66"/>
      <c r="BP588" s="66">
        <f t="shared" si="525"/>
        <v>42499818</v>
      </c>
      <c r="BQ588" s="66"/>
      <c r="BR588" s="435">
        <f t="shared" si="526"/>
        <v>6.3058069738134936E-2</v>
      </c>
      <c r="BS588" s="66"/>
      <c r="BT588" s="75"/>
      <c r="BU588" s="170"/>
      <c r="BV588" s="1"/>
      <c r="BW588" s="61">
        <f t="shared" si="407"/>
        <v>579</v>
      </c>
    </row>
    <row r="589" spans="2:75" x14ac:dyDescent="0.3">
      <c r="B589" s="158">
        <f t="shared" si="457"/>
        <v>44489</v>
      </c>
      <c r="C589" s="61"/>
      <c r="D589" s="17">
        <v>80425</v>
      </c>
      <c r="E589" s="16"/>
      <c r="F589" s="16"/>
      <c r="G589" s="16"/>
      <c r="H589" s="16">
        <f t="shared" si="507"/>
        <v>43487221</v>
      </c>
      <c r="I589" s="16"/>
      <c r="J589" s="436">
        <f t="shared" si="508"/>
        <v>1.8528204661776926E-3</v>
      </c>
      <c r="K589" s="16"/>
      <c r="L589" s="16"/>
      <c r="M589" s="16"/>
      <c r="N589" s="16">
        <f t="shared" si="509"/>
        <v>439872</v>
      </c>
      <c r="O589" s="16">
        <f t="shared" si="510"/>
        <v>74977.967241379316</v>
      </c>
      <c r="P589" s="41"/>
      <c r="Q589" s="17">
        <f t="shared" si="511"/>
        <v>439872</v>
      </c>
      <c r="R589" s="16"/>
      <c r="S589" s="60">
        <f t="shared" si="512"/>
        <v>-0.18404264988768046</v>
      </c>
      <c r="T589" s="16"/>
      <c r="U589" s="41"/>
      <c r="V589" s="10">
        <f t="shared" si="356"/>
        <v>481</v>
      </c>
      <c r="W589" s="34">
        <v>2005</v>
      </c>
      <c r="X589" s="33">
        <v>4256</v>
      </c>
      <c r="Y589" s="33"/>
      <c r="Z589" s="33">
        <f t="shared" si="513"/>
        <v>6582</v>
      </c>
      <c r="AA589" s="33">
        <f t="shared" si="514"/>
        <v>698187</v>
      </c>
      <c r="AB589" s="33"/>
      <c r="AC589" s="46">
        <f t="shared" si="515"/>
        <v>1.60549923390138E-2</v>
      </c>
      <c r="AD589" s="33"/>
      <c r="AE589" s="33">
        <f t="shared" si="516"/>
        <v>1203.7706896551724</v>
      </c>
      <c r="AF589" s="50"/>
      <c r="AG589" s="33"/>
      <c r="AH589" s="33"/>
      <c r="AI589" s="213"/>
      <c r="AJ589" s="50"/>
      <c r="AK589" s="111"/>
      <c r="AL589" s="23">
        <f t="shared" si="51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18"/>
        <v>2.9121824717894661E-3</v>
      </c>
      <c r="AS589" s="25"/>
      <c r="AT589" s="25"/>
      <c r="AU589" s="24"/>
      <c r="AV589" s="298">
        <f t="shared" si="519"/>
        <v>0.8235597763306145</v>
      </c>
      <c r="AW589" s="298"/>
      <c r="AX589" s="24">
        <f t="shared" si="520"/>
        <v>61748.837931034483</v>
      </c>
      <c r="AY589" s="308"/>
      <c r="AZ589" s="111"/>
      <c r="BA589" s="65">
        <f t="shared" si="521"/>
        <v>1636577</v>
      </c>
      <c r="BB589" s="66"/>
      <c r="BC589" s="66">
        <v>675615628</v>
      </c>
      <c r="BD589" s="66"/>
      <c r="BE589" s="66">
        <f t="shared" si="522"/>
        <v>80425</v>
      </c>
      <c r="BF589" s="66"/>
      <c r="BG589" s="144">
        <f t="shared" si="523"/>
        <v>4.9142203513797396E-2</v>
      </c>
      <c r="BH589" s="66"/>
      <c r="BI589" s="170"/>
      <c r="BJ589" s="66"/>
      <c r="BK589" s="66"/>
      <c r="BL589" s="66"/>
      <c r="BM589" s="144"/>
      <c r="BN589" s="65">
        <f t="shared" si="524"/>
        <v>1164854.5310344826</v>
      </c>
      <c r="BO589" s="66"/>
      <c r="BP589" s="66">
        <f t="shared" si="525"/>
        <v>42580243</v>
      </c>
      <c r="BQ589" s="66"/>
      <c r="BR589" s="435">
        <f t="shared" si="526"/>
        <v>6.3024360650224626E-2</v>
      </c>
      <c r="BS589" s="66"/>
      <c r="BT589" s="75"/>
      <c r="BU589" s="170"/>
      <c r="BV589" s="1"/>
      <c r="BW589" s="61">
        <f t="shared" si="407"/>
        <v>580</v>
      </c>
    </row>
    <row r="590" spans="2:75" x14ac:dyDescent="0.3">
      <c r="B590" s="158">
        <f t="shared" si="457"/>
        <v>44490</v>
      </c>
      <c r="C590" s="61"/>
      <c r="D590" s="17">
        <v>80835</v>
      </c>
      <c r="E590" s="16"/>
      <c r="F590" s="16"/>
      <c r="G590" s="16"/>
      <c r="H590" s="16">
        <f t="shared" si="507"/>
        <v>43568056</v>
      </c>
      <c r="I590" s="16"/>
      <c r="J590" s="436">
        <f t="shared" si="508"/>
        <v>1.8588219284005295E-3</v>
      </c>
      <c r="K590" s="16"/>
      <c r="L590" s="16"/>
      <c r="M590" s="16"/>
      <c r="N590" s="16">
        <f t="shared" si="509"/>
        <v>431027</v>
      </c>
      <c r="O590" s="16">
        <f t="shared" si="510"/>
        <v>74988.048192771079</v>
      </c>
      <c r="P590" s="41"/>
      <c r="Q590" s="17">
        <f t="shared" si="511"/>
        <v>431027</v>
      </c>
      <c r="R590" s="16"/>
      <c r="S590" s="60">
        <f t="shared" si="512"/>
        <v>-0.17116886712996257</v>
      </c>
      <c r="T590" s="16"/>
      <c r="U590" s="41"/>
      <c r="V590" s="10">
        <f t="shared" si="356"/>
        <v>482</v>
      </c>
      <c r="W590" s="34">
        <v>1428</v>
      </c>
      <c r="X590" s="33">
        <v>4256</v>
      </c>
      <c r="Y590" s="33"/>
      <c r="Z590" s="33">
        <f t="shared" si="513"/>
        <v>6305</v>
      </c>
      <c r="AA590" s="33">
        <f t="shared" si="514"/>
        <v>699615</v>
      </c>
      <c r="AB590" s="33"/>
      <c r="AC590" s="46">
        <f t="shared" si="515"/>
        <v>1.6057980645269095E-2</v>
      </c>
      <c r="AD590" s="33"/>
      <c r="AE590" s="33">
        <f t="shared" si="516"/>
        <v>1204.1566265060242</v>
      </c>
      <c r="AF590" s="50"/>
      <c r="AG590" s="33"/>
      <c r="AH590" s="33"/>
      <c r="AI590" s="213"/>
      <c r="AJ590" s="50"/>
      <c r="AK590" s="111"/>
      <c r="AL590" s="23">
        <f t="shared" si="51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18"/>
        <v>2.3374724404976936E-3</v>
      </c>
      <c r="AS590" s="25"/>
      <c r="AT590" s="25"/>
      <c r="AU590" s="24"/>
      <c r="AV590" s="298">
        <f t="shared" si="519"/>
        <v>0.82395324225620714</v>
      </c>
      <c r="AW590" s="298"/>
      <c r="AX590" s="24">
        <f t="shared" si="520"/>
        <v>61786.645438898449</v>
      </c>
      <c r="AY590" s="308"/>
      <c r="AZ590" s="111"/>
      <c r="BA590" s="65">
        <f t="shared" si="521"/>
        <v>1676971</v>
      </c>
      <c r="BB590" s="66"/>
      <c r="BC590" s="66">
        <v>677292599</v>
      </c>
      <c r="BD590" s="66"/>
      <c r="BE590" s="66">
        <f t="shared" si="522"/>
        <v>80835</v>
      </c>
      <c r="BF590" s="66"/>
      <c r="BG590" s="144">
        <f t="shared" si="523"/>
        <v>4.8202980254279888E-2</v>
      </c>
      <c r="BH590" s="66"/>
      <c r="BI590" s="170"/>
      <c r="BJ590" s="66"/>
      <c r="BK590" s="66"/>
      <c r="BL590" s="66"/>
      <c r="BM590" s="144"/>
      <c r="BN590" s="65">
        <f t="shared" si="524"/>
        <v>1165735.9707401032</v>
      </c>
      <c r="BO590" s="66"/>
      <c r="BP590" s="66">
        <f t="shared" si="525"/>
        <v>42661078</v>
      </c>
      <c r="BQ590" s="66"/>
      <c r="BR590" s="435">
        <f t="shared" si="526"/>
        <v>6.2987663032177912E-2</v>
      </c>
      <c r="BS590" s="66"/>
      <c r="BT590" s="75"/>
      <c r="BU590" s="170"/>
      <c r="BV590" s="1"/>
      <c r="BW590" s="61">
        <f t="shared" si="407"/>
        <v>581</v>
      </c>
    </row>
    <row r="591" spans="2:75" x14ac:dyDescent="0.3">
      <c r="B591" s="158">
        <f t="shared" si="457"/>
        <v>44491</v>
      </c>
      <c r="C591" s="61"/>
      <c r="D591" s="17">
        <v>82438</v>
      </c>
      <c r="E591" s="16"/>
      <c r="F591" s="16"/>
      <c r="G591" s="16"/>
      <c r="H591" s="16">
        <f t="shared" si="507"/>
        <v>43650494</v>
      </c>
      <c r="I591" s="16"/>
      <c r="J591" s="436">
        <f t="shared" si="508"/>
        <v>1.8921661319935873E-3</v>
      </c>
      <c r="K591" s="16"/>
      <c r="L591" s="16"/>
      <c r="M591" s="16"/>
      <c r="N591" s="16">
        <f t="shared" si="509"/>
        <v>420499</v>
      </c>
      <c r="O591" s="16">
        <f t="shared" si="510"/>
        <v>75000.848797250859</v>
      </c>
      <c r="P591" s="41"/>
      <c r="Q591" s="17">
        <f t="shared" si="511"/>
        <v>420499</v>
      </c>
      <c r="R591" s="16"/>
      <c r="S591" s="60">
        <f t="shared" si="512"/>
        <v>-0.17013873813423852</v>
      </c>
      <c r="T591" s="16"/>
      <c r="U591" s="41"/>
      <c r="V591" s="10">
        <f t="shared" si="356"/>
        <v>483</v>
      </c>
      <c r="W591" s="34">
        <v>1610</v>
      </c>
      <c r="X591" s="33">
        <v>4256</v>
      </c>
      <c r="Y591" s="33"/>
      <c r="Z591" s="33">
        <f t="shared" si="513"/>
        <v>7451</v>
      </c>
      <c r="AA591" s="33">
        <f t="shared" si="514"/>
        <v>701225</v>
      </c>
      <c r="AB591" s="33"/>
      <c r="AC591" s="46">
        <f t="shared" si="515"/>
        <v>1.6064537551396325E-2</v>
      </c>
      <c r="AD591" s="33"/>
      <c r="AE591" s="33">
        <f t="shared" si="516"/>
        <v>1204.8539518900343</v>
      </c>
      <c r="AF591" s="50"/>
      <c r="AG591" s="33"/>
      <c r="AH591" s="33"/>
      <c r="AI591" s="213"/>
      <c r="AJ591" s="50"/>
      <c r="AK591" s="111"/>
      <c r="AL591" s="23">
        <f t="shared" si="51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18"/>
        <v>2.8631088810667968E-3</v>
      </c>
      <c r="AS591" s="25"/>
      <c r="AT591" s="25"/>
      <c r="AU591" s="24"/>
      <c r="AV591" s="298">
        <f t="shared" si="519"/>
        <v>0.82475174278669106</v>
      </c>
      <c r="AW591" s="298"/>
      <c r="AX591" s="24">
        <f t="shared" si="520"/>
        <v>61857.080756013747</v>
      </c>
      <c r="AY591" s="308"/>
      <c r="AZ591" s="111"/>
      <c r="BA591" s="65">
        <f t="shared" si="521"/>
        <v>1815348</v>
      </c>
      <c r="BB591" s="66"/>
      <c r="BC591" s="66">
        <v>679107947</v>
      </c>
      <c r="BD591" s="66"/>
      <c r="BE591" s="66">
        <f t="shared" si="522"/>
        <v>82438</v>
      </c>
      <c r="BF591" s="66"/>
      <c r="BG591" s="144">
        <f t="shared" si="523"/>
        <v>4.5411678642331942E-2</v>
      </c>
      <c r="BH591" s="66"/>
      <c r="BI591" s="170"/>
      <c r="BJ591" s="66"/>
      <c r="BK591" s="66"/>
      <c r="BL591" s="66"/>
      <c r="BM591" s="144"/>
      <c r="BN591" s="65">
        <f t="shared" si="524"/>
        <v>1166852.1426116838</v>
      </c>
      <c r="BO591" s="66"/>
      <c r="BP591" s="66">
        <f t="shared" si="525"/>
        <v>42743516</v>
      </c>
      <c r="BQ591" s="66"/>
      <c r="BR591" s="435">
        <f t="shared" si="526"/>
        <v>6.2940680033008067E-2</v>
      </c>
      <c r="BS591" s="66"/>
      <c r="BT591" s="75"/>
      <c r="BU591" s="170"/>
      <c r="BV591" s="1"/>
      <c r="BW591" s="61">
        <f t="shared" si="407"/>
        <v>582</v>
      </c>
    </row>
    <row r="592" spans="2:75" x14ac:dyDescent="0.3">
      <c r="B592" s="158">
        <f t="shared" si="457"/>
        <v>44492</v>
      </c>
      <c r="C592" s="61"/>
      <c r="D592" s="17">
        <v>28824</v>
      </c>
      <c r="E592" s="16"/>
      <c r="F592" s="16"/>
      <c r="G592" s="16"/>
      <c r="H592" s="16">
        <f t="shared" si="507"/>
        <v>43679318</v>
      </c>
      <c r="I592" s="16"/>
      <c r="J592" s="436">
        <f t="shared" si="508"/>
        <v>6.603361693913476E-4</v>
      </c>
      <c r="K592" s="16"/>
      <c r="L592" s="16"/>
      <c r="M592" s="16"/>
      <c r="N592" s="16">
        <f t="shared" si="509"/>
        <v>415413</v>
      </c>
      <c r="O592" s="16">
        <f t="shared" si="510"/>
        <v>74921.64322469983</v>
      </c>
      <c r="P592" s="41"/>
      <c r="Q592" s="17">
        <f t="shared" si="511"/>
        <v>415413</v>
      </c>
      <c r="R592" s="16"/>
      <c r="S592" s="60">
        <f t="shared" si="512"/>
        <v>-0.16627764855106641</v>
      </c>
      <c r="T592" s="16"/>
      <c r="U592" s="41"/>
      <c r="V592" s="10">
        <f t="shared" si="356"/>
        <v>484</v>
      </c>
      <c r="W592" s="34">
        <v>484</v>
      </c>
      <c r="X592" s="33">
        <v>4256</v>
      </c>
      <c r="Y592" s="33"/>
      <c r="Z592" s="33">
        <f t="shared" si="513"/>
        <v>7774</v>
      </c>
      <c r="AA592" s="33">
        <f t="shared" si="514"/>
        <v>701709</v>
      </c>
      <c r="AB592" s="33"/>
      <c r="AC592" s="46">
        <f t="shared" si="515"/>
        <v>1.6065017315517609E-2</v>
      </c>
      <c r="AD592" s="33"/>
      <c r="AE592" s="33">
        <f t="shared" si="516"/>
        <v>1203.6174957118353</v>
      </c>
      <c r="AF592" s="50"/>
      <c r="AG592" s="33"/>
      <c r="AH592" s="33"/>
      <c r="AI592" s="213"/>
      <c r="AJ592" s="50"/>
      <c r="AK592" s="111"/>
      <c r="AL592" s="23">
        <f t="shared" si="51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18"/>
        <v>9.1845127643061248E-4</v>
      </c>
      <c r="AS592" s="25"/>
      <c r="AT592" s="25"/>
      <c r="AU592" s="24"/>
      <c r="AV592" s="298">
        <f t="shared" si="519"/>
        <v>0.82496448319087767</v>
      </c>
      <c r="AW592" s="298"/>
      <c r="AX592" s="24">
        <f t="shared" si="520"/>
        <v>61807.694682675814</v>
      </c>
      <c r="AY592" s="308"/>
      <c r="AZ592" s="111"/>
      <c r="BA592" s="65">
        <f t="shared" si="521"/>
        <v>472974</v>
      </c>
      <c r="BB592" s="66"/>
      <c r="BC592" s="66">
        <v>679580921</v>
      </c>
      <c r="BD592" s="66"/>
      <c r="BE592" s="66">
        <f t="shared" si="522"/>
        <v>28824</v>
      </c>
      <c r="BF592" s="66"/>
      <c r="BG592" s="144">
        <f t="shared" si="523"/>
        <v>6.0942039097286529E-2</v>
      </c>
      <c r="BH592" s="66"/>
      <c r="BI592" s="170"/>
      <c r="BJ592" s="66"/>
      <c r="BK592" s="66"/>
      <c r="BL592" s="66"/>
      <c r="BM592" s="144"/>
      <c r="BN592" s="65">
        <f t="shared" si="524"/>
        <v>1165661.9571183533</v>
      </c>
      <c r="BO592" s="66"/>
      <c r="BP592" s="66">
        <f t="shared" si="525"/>
        <v>42772340</v>
      </c>
      <c r="BQ592" s="66"/>
      <c r="BR592" s="435">
        <f t="shared" si="526"/>
        <v>6.2939289021034781E-2</v>
      </c>
      <c r="BS592" s="66"/>
      <c r="BT592" s="75"/>
      <c r="BU592" s="170"/>
      <c r="BV592" s="1"/>
      <c r="BW592" s="61">
        <f t="shared" si="407"/>
        <v>583</v>
      </c>
    </row>
    <row r="593" spans="2:75" x14ac:dyDescent="0.3">
      <c r="B593" s="347">
        <f t="shared" si="457"/>
        <v>44493</v>
      </c>
      <c r="C593" s="61"/>
      <c r="D593" s="17">
        <v>17580</v>
      </c>
      <c r="E593" s="16"/>
      <c r="F593" s="16"/>
      <c r="G593" s="16"/>
      <c r="H593" s="16">
        <f t="shared" si="507"/>
        <v>43696898</v>
      </c>
      <c r="I593" s="16"/>
      <c r="J593" s="436">
        <f t="shared" si="508"/>
        <v>4.0247881159682941E-4</v>
      </c>
      <c r="K593" s="16"/>
      <c r="L593" s="16"/>
      <c r="M593" s="16"/>
      <c r="N593" s="16">
        <f t="shared" si="509"/>
        <v>415046</v>
      </c>
      <c r="O593" s="16">
        <f t="shared" si="510"/>
        <v>74823.455479452052</v>
      </c>
      <c r="P593" s="41"/>
      <c r="Q593" s="17">
        <f t="shared" si="511"/>
        <v>415046</v>
      </c>
      <c r="R593" s="16"/>
      <c r="S593" s="60">
        <f t="shared" si="512"/>
        <v>-0.15557987939354975</v>
      </c>
      <c r="T593" s="16"/>
      <c r="U593" s="41"/>
      <c r="V593" s="10">
        <f t="shared" si="356"/>
        <v>485</v>
      </c>
      <c r="W593" s="34">
        <v>157</v>
      </c>
      <c r="X593" s="33">
        <v>4256</v>
      </c>
      <c r="Y593" s="33"/>
      <c r="Z593" s="33">
        <f t="shared" si="513"/>
        <v>7247</v>
      </c>
      <c r="AA593" s="33">
        <f t="shared" si="514"/>
        <v>701866</v>
      </c>
      <c r="AB593" s="33"/>
      <c r="AC593" s="46">
        <f t="shared" si="515"/>
        <v>1.6062147020138591E-2</v>
      </c>
      <c r="AD593" s="33"/>
      <c r="AE593" s="33">
        <f t="shared" si="516"/>
        <v>1201.8253424657535</v>
      </c>
      <c r="AF593" s="50"/>
      <c r="AG593" s="33"/>
      <c r="AH593" s="33"/>
      <c r="AI593" s="213"/>
      <c r="AJ593" s="50"/>
      <c r="AK593" s="111"/>
      <c r="AL593" s="23">
        <f t="shared" si="51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18"/>
        <v>5.1973300909038782E-4</v>
      </c>
      <c r="AS593" s="25"/>
      <c r="AT593" s="25"/>
      <c r="AU593" s="24"/>
      <c r="AV593" s="298">
        <f t="shared" si="519"/>
        <v>0.82506117482298169</v>
      </c>
      <c r="AW593" s="298"/>
      <c r="AX593" s="24">
        <f t="shared" si="520"/>
        <v>61733.928082191778</v>
      </c>
      <c r="AY593" s="308"/>
      <c r="AZ593" s="111"/>
      <c r="BA593" s="65">
        <f t="shared" si="521"/>
        <v>377616</v>
      </c>
      <c r="BB593" s="66"/>
      <c r="BC593" s="66">
        <v>679958537</v>
      </c>
      <c r="BD593" s="66"/>
      <c r="BE593" s="66">
        <f t="shared" si="522"/>
        <v>17580</v>
      </c>
      <c r="BF593" s="66"/>
      <c r="BG593" s="144">
        <f t="shared" si="523"/>
        <v>4.6555230710563111E-2</v>
      </c>
      <c r="BH593" s="66"/>
      <c r="BI593" s="170"/>
      <c r="BJ593" s="66"/>
      <c r="BK593" s="66"/>
      <c r="BL593" s="66"/>
      <c r="BM593" s="144"/>
      <c r="BN593" s="65">
        <f t="shared" si="524"/>
        <v>1164312.5633561644</v>
      </c>
      <c r="BO593" s="66"/>
      <c r="BP593" s="66">
        <f t="shared" si="525"/>
        <v>42789920</v>
      </c>
      <c r="BQ593" s="66"/>
      <c r="BR593" s="435">
        <f t="shared" si="526"/>
        <v>6.2930190109518405E-2</v>
      </c>
      <c r="BS593" s="66"/>
      <c r="BT593" s="75"/>
      <c r="BU593" s="170"/>
      <c r="BV593" s="1"/>
      <c r="BW593" s="61">
        <f t="shared" si="407"/>
        <v>584</v>
      </c>
    </row>
    <row r="594" spans="2:75" x14ac:dyDescent="0.3">
      <c r="B594" s="158">
        <f t="shared" si="457"/>
        <v>44494</v>
      </c>
      <c r="C594" s="61"/>
      <c r="D594" s="17">
        <v>48771</v>
      </c>
      <c r="E594" s="16"/>
      <c r="F594" s="16"/>
      <c r="G594" s="16"/>
      <c r="H594" s="16">
        <f t="shared" si="507"/>
        <v>43745669</v>
      </c>
      <c r="I594" s="16"/>
      <c r="J594" s="436">
        <f t="shared" si="508"/>
        <v>1.1161204166025699E-3</v>
      </c>
      <c r="K594" s="16"/>
      <c r="L594" s="16"/>
      <c r="M594" s="16"/>
      <c r="N594" s="16">
        <f t="shared" si="509"/>
        <v>410682</v>
      </c>
      <c r="O594" s="16">
        <f t="shared" si="510"/>
        <v>74778.921367521369</v>
      </c>
      <c r="P594" s="41"/>
      <c r="Q594" s="17">
        <f t="shared" si="511"/>
        <v>410682</v>
      </c>
      <c r="R594" s="16"/>
      <c r="S594" s="60">
        <f t="shared" si="512"/>
        <v>-0.14380602927073344</v>
      </c>
      <c r="T594" s="16"/>
      <c r="U594" s="41"/>
      <c r="V594" s="10">
        <f t="shared" si="356"/>
        <v>486</v>
      </c>
      <c r="W594" s="34">
        <v>510</v>
      </c>
      <c r="X594" s="33">
        <v>4256</v>
      </c>
      <c r="Y594" s="33"/>
      <c r="Z594" s="33">
        <f t="shared" si="513"/>
        <v>6194</v>
      </c>
      <c r="AA594" s="33">
        <f t="shared" si="514"/>
        <v>702376</v>
      </c>
      <c r="AB594" s="33"/>
      <c r="AC594" s="46">
        <f t="shared" si="515"/>
        <v>1.6055898013583928E-2</v>
      </c>
      <c r="AD594" s="33"/>
      <c r="AE594" s="33">
        <f t="shared" si="516"/>
        <v>1200.642735042735</v>
      </c>
      <c r="AF594" s="50"/>
      <c r="AG594" s="33"/>
      <c r="AH594" s="33"/>
      <c r="AI594" s="213"/>
      <c r="AJ594" s="50"/>
      <c r="AK594" s="111"/>
      <c r="AL594" s="23">
        <f t="shared" si="51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18"/>
        <v>6.0664949287727102E-3</v>
      </c>
      <c r="AS594" s="25"/>
      <c r="AT594" s="25"/>
      <c r="AU594" s="24"/>
      <c r="AV594" s="298">
        <f t="shared" si="519"/>
        <v>0.82914098307651896</v>
      </c>
      <c r="AW594" s="298"/>
      <c r="AX594" s="24">
        <f t="shared" si="520"/>
        <v>62002.268376068379</v>
      </c>
      <c r="AY594" s="308"/>
      <c r="AZ594" s="111"/>
      <c r="BA594" s="65">
        <f t="shared" si="521"/>
        <v>10304065</v>
      </c>
      <c r="BB594" s="66"/>
      <c r="BC594" s="66">
        <v>690262602</v>
      </c>
      <c r="BD594" s="66"/>
      <c r="BE594" s="66">
        <f t="shared" si="522"/>
        <v>48771</v>
      </c>
      <c r="BF594" s="66"/>
      <c r="BG594" s="144">
        <f t="shared" si="523"/>
        <v>4.7331805457360761E-3</v>
      </c>
      <c r="BH594" s="66"/>
      <c r="BI594" s="170"/>
      <c r="BJ594" s="66"/>
      <c r="BK594" s="66"/>
      <c r="BL594" s="66"/>
      <c r="BM594" s="144"/>
      <c r="BN594" s="65">
        <f t="shared" si="524"/>
        <v>1179936.0717948717</v>
      </c>
      <c r="BO594" s="66"/>
      <c r="BP594" s="66">
        <f t="shared" si="525"/>
        <v>42838691</v>
      </c>
      <c r="BQ594" s="66"/>
      <c r="BR594" s="435">
        <f t="shared" si="526"/>
        <v>6.2061439915587373E-2</v>
      </c>
      <c r="BS594" s="66"/>
      <c r="BT594" s="75"/>
      <c r="BU594" s="170"/>
      <c r="BV594" s="1"/>
      <c r="BW594" s="61">
        <f t="shared" si="407"/>
        <v>585</v>
      </c>
    </row>
    <row r="595" spans="2:75" x14ac:dyDescent="0.3">
      <c r="B595" s="158">
        <f t="shared" si="457"/>
        <v>44495</v>
      </c>
      <c r="C595" s="61"/>
      <c r="D595" s="17">
        <v>69634</v>
      </c>
      <c r="E595" s="16"/>
      <c r="F595" s="16"/>
      <c r="G595" s="16"/>
      <c r="H595" s="16">
        <f t="shared" si="507"/>
        <v>43815303</v>
      </c>
      <c r="I595" s="16"/>
      <c r="J595" s="436">
        <f t="shared" si="508"/>
        <v>1.5917918640128694E-3</v>
      </c>
      <c r="K595" s="16"/>
      <c r="L595" s="16"/>
      <c r="M595" s="16"/>
      <c r="N595" s="16">
        <f t="shared" si="509"/>
        <v>408507</v>
      </c>
      <c r="O595" s="16">
        <f t="shared" si="510"/>
        <v>74770.14163822525</v>
      </c>
      <c r="P595" s="41"/>
      <c r="Q595" s="17">
        <f t="shared" si="511"/>
        <v>408507</v>
      </c>
      <c r="R595" s="16"/>
      <c r="S595" s="60">
        <f t="shared" si="512"/>
        <v>-0.11043678220991154</v>
      </c>
      <c r="T595" s="16"/>
      <c r="U595" s="41"/>
      <c r="V595" s="10">
        <f t="shared" si="356"/>
        <v>487</v>
      </c>
      <c r="W595" s="34">
        <v>1451</v>
      </c>
      <c r="X595" s="33">
        <v>4256</v>
      </c>
      <c r="Y595" s="33"/>
      <c r="Z595" s="33">
        <f t="shared" si="513"/>
        <v>5640</v>
      </c>
      <c r="AA595" s="33">
        <f t="shared" si="514"/>
        <v>703827</v>
      </c>
      <c r="AB595" s="33"/>
      <c r="AC595" s="46">
        <f t="shared" si="515"/>
        <v>1.6063497267153441E-2</v>
      </c>
      <c r="AD595" s="33"/>
      <c r="AE595" s="33">
        <f t="shared" si="516"/>
        <v>1201.0699658703072</v>
      </c>
      <c r="AF595" s="50"/>
      <c r="AG595" s="33"/>
      <c r="AH595" s="33"/>
      <c r="AI595" s="213"/>
      <c r="AJ595" s="50"/>
      <c r="AK595" s="111"/>
      <c r="AL595" s="23">
        <f t="shared" si="51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18"/>
        <v>2.8634739500983794E-3</v>
      </c>
      <c r="AS595" s="25"/>
      <c r="AT595" s="25"/>
      <c r="AU595" s="24"/>
      <c r="AV595" s="298">
        <f t="shared" si="519"/>
        <v>0.83019371108765361</v>
      </c>
      <c r="AW595" s="298"/>
      <c r="AX595" s="24">
        <f t="shared" si="520"/>
        <v>62073.701365187713</v>
      </c>
      <c r="AY595" s="308"/>
      <c r="AZ595" s="111"/>
      <c r="BA595" s="65">
        <f t="shared" si="521"/>
        <v>2553451</v>
      </c>
      <c r="BB595" s="66"/>
      <c r="BC595" s="66">
        <v>692816053</v>
      </c>
      <c r="BD595" s="66"/>
      <c r="BE595" s="66">
        <f t="shared" si="522"/>
        <v>69634</v>
      </c>
      <c r="BF595" s="66"/>
      <c r="BG595" s="144">
        <f t="shared" si="523"/>
        <v>2.7270544843037911E-2</v>
      </c>
      <c r="BH595" s="66"/>
      <c r="BI595" s="170"/>
      <c r="BJ595" s="66"/>
      <c r="BK595" s="66"/>
      <c r="BL595" s="66"/>
      <c r="BM595" s="144"/>
      <c r="BN595" s="65">
        <f t="shared" si="524"/>
        <v>1182279.9539249146</v>
      </c>
      <c r="BO595" s="66"/>
      <c r="BP595" s="66">
        <f t="shared" si="525"/>
        <v>42908325</v>
      </c>
      <c r="BQ595" s="66"/>
      <c r="BR595" s="435">
        <f t="shared" si="526"/>
        <v>6.1933214183188104E-2</v>
      </c>
      <c r="BS595" s="66"/>
      <c r="BT595" s="75"/>
      <c r="BU595" s="170"/>
      <c r="BV595" s="1"/>
      <c r="BW595" s="61">
        <f t="shared" si="407"/>
        <v>586</v>
      </c>
    </row>
    <row r="596" spans="2:75" x14ac:dyDescent="0.3">
      <c r="B596" s="158">
        <f t="shared" si="457"/>
        <v>44496</v>
      </c>
      <c r="C596" s="61"/>
      <c r="D596" s="17">
        <v>78932</v>
      </c>
      <c r="E596" s="16"/>
      <c r="F596" s="16"/>
      <c r="G596" s="16"/>
      <c r="H596" s="16">
        <f t="shared" si="507"/>
        <v>43894235</v>
      </c>
      <c r="I596" s="16"/>
      <c r="J596" s="436">
        <f t="shared" si="508"/>
        <v>1.8014710522485716E-3</v>
      </c>
      <c r="K596" s="16"/>
      <c r="L596" s="16"/>
      <c r="M596" s="16"/>
      <c r="N596" s="16">
        <f t="shared" si="509"/>
        <v>407014</v>
      </c>
      <c r="O596" s="16">
        <f t="shared" si="510"/>
        <v>74777.231686541738</v>
      </c>
      <c r="P596" s="41"/>
      <c r="Q596" s="17">
        <f t="shared" si="511"/>
        <v>407014</v>
      </c>
      <c r="R596" s="16"/>
      <c r="S596" s="60">
        <f t="shared" si="512"/>
        <v>-7.4699003346428053E-2</v>
      </c>
      <c r="T596" s="16"/>
      <c r="U596" s="41"/>
      <c r="V596" s="10">
        <f t="shared" si="356"/>
        <v>488</v>
      </c>
      <c r="W596" s="34">
        <v>1594</v>
      </c>
      <c r="X596" s="33">
        <v>4256</v>
      </c>
      <c r="Y596" s="33"/>
      <c r="Z596" s="33">
        <f t="shared" si="513"/>
        <v>5806</v>
      </c>
      <c r="AA596" s="33">
        <f t="shared" si="514"/>
        <v>705421</v>
      </c>
      <c r="AB596" s="33"/>
      <c r="AC596" s="46">
        <f t="shared" si="515"/>
        <v>1.6070925942780413E-2</v>
      </c>
      <c r="AD596" s="33"/>
      <c r="AE596" s="33">
        <f t="shared" si="516"/>
        <v>1201.7393526405451</v>
      </c>
      <c r="AF596" s="50"/>
      <c r="AG596" s="33"/>
      <c r="AH596" s="33"/>
      <c r="AI596" s="213"/>
      <c r="AJ596" s="50"/>
      <c r="AK596" s="111"/>
      <c r="AL596" s="23">
        <f t="shared" si="51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18"/>
        <v>2.7922054233175254E-3</v>
      </c>
      <c r="AS596" s="25"/>
      <c r="AT596" s="25"/>
      <c r="AU596" s="24"/>
      <c r="AV596" s="298">
        <f t="shared" si="519"/>
        <v>0.83101473348379351</v>
      </c>
      <c r="AW596" s="298"/>
      <c r="AX596" s="24">
        <f t="shared" si="520"/>
        <v>62140.981260647357</v>
      </c>
      <c r="AY596" s="308"/>
      <c r="AZ596" s="111"/>
      <c r="BA596" s="65">
        <f t="shared" si="521"/>
        <v>1500941</v>
      </c>
      <c r="BB596" s="66"/>
      <c r="BC596" s="66">
        <v>694316994</v>
      </c>
      <c r="BD596" s="66"/>
      <c r="BE596" s="66">
        <f t="shared" si="522"/>
        <v>78932</v>
      </c>
      <c r="BF596" s="66"/>
      <c r="BG596" s="144">
        <f t="shared" si="523"/>
        <v>5.2588342912879317E-2</v>
      </c>
      <c r="BH596" s="66"/>
      <c r="BI596" s="170"/>
      <c r="BJ596" s="66"/>
      <c r="BK596" s="66"/>
      <c r="BL596" s="66"/>
      <c r="BM596" s="144"/>
      <c r="BN596" s="65">
        <f t="shared" si="524"/>
        <v>1182822.8177172062</v>
      </c>
      <c r="BO596" s="66"/>
      <c r="BP596" s="66">
        <f t="shared" si="525"/>
        <v>42987257</v>
      </c>
      <c r="BQ596" s="66"/>
      <c r="BR596" s="435">
        <f t="shared" si="526"/>
        <v>6.1913012891054199E-2</v>
      </c>
      <c r="BS596" s="66"/>
      <c r="BT596" s="75"/>
      <c r="BU596" s="170"/>
      <c r="BV596" s="1"/>
      <c r="BW596" s="61">
        <f t="shared" si="407"/>
        <v>587</v>
      </c>
    </row>
    <row r="597" spans="2:75" x14ac:dyDescent="0.3">
      <c r="B597" s="158">
        <f t="shared" si="457"/>
        <v>44497</v>
      </c>
      <c r="C597" s="61"/>
      <c r="D597" s="17">
        <v>78460</v>
      </c>
      <c r="E597" s="16"/>
      <c r="F597" s="16"/>
      <c r="G597" s="16"/>
      <c r="H597" s="16">
        <f t="shared" si="507"/>
        <v>43972695</v>
      </c>
      <c r="I597" s="16"/>
      <c r="J597" s="436">
        <f t="shared" si="508"/>
        <v>1.7874784695530062E-3</v>
      </c>
      <c r="K597" s="16"/>
      <c r="L597" s="16"/>
      <c r="M597" s="16"/>
      <c r="N597" s="16">
        <f t="shared" si="509"/>
        <v>404639</v>
      </c>
      <c r="O597" s="16">
        <f t="shared" si="510"/>
        <v>74783.494897959186</v>
      </c>
      <c r="P597" s="41"/>
      <c r="Q597" s="17">
        <f t="shared" si="511"/>
        <v>404639</v>
      </c>
      <c r="R597" s="16"/>
      <c r="S597" s="60">
        <f t="shared" si="512"/>
        <v>-6.1221222800427813E-2</v>
      </c>
      <c r="T597" s="16"/>
      <c r="U597" s="41"/>
      <c r="V597" s="10">
        <f t="shared" si="356"/>
        <v>489</v>
      </c>
      <c r="W597" s="34">
        <v>1208</v>
      </c>
      <c r="X597" s="33">
        <v>4256</v>
      </c>
      <c r="Y597" s="33"/>
      <c r="Z597" s="33">
        <f t="shared" si="513"/>
        <v>5404</v>
      </c>
      <c r="AA597" s="33">
        <f t="shared" si="514"/>
        <v>706629</v>
      </c>
      <c r="AB597" s="33"/>
      <c r="AC597" s="46">
        <f t="shared" si="515"/>
        <v>1.6069722358386267E-2</v>
      </c>
      <c r="AD597" s="33"/>
      <c r="AE597" s="33">
        <f t="shared" si="516"/>
        <v>1201.75</v>
      </c>
      <c r="AF597" s="50"/>
      <c r="AG597" s="33"/>
      <c r="AH597" s="33"/>
      <c r="AI597" s="213"/>
      <c r="AJ597" s="50"/>
      <c r="AK597" s="111"/>
      <c r="AL597" s="23">
        <f t="shared" si="51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18"/>
        <v>2.4451735784837884E-3</v>
      </c>
      <c r="AS597" s="25"/>
      <c r="AT597" s="25"/>
      <c r="AU597" s="24"/>
      <c r="AV597" s="298">
        <f t="shared" si="519"/>
        <v>0.83156031259853413</v>
      </c>
      <c r="AW597" s="298"/>
      <c r="AX597" s="24">
        <f t="shared" si="520"/>
        <v>62186.986394557825</v>
      </c>
      <c r="AY597" s="308"/>
      <c r="AZ597" s="111"/>
      <c r="BA597" s="65">
        <f t="shared" si="521"/>
        <v>1767712</v>
      </c>
      <c r="BB597" s="66"/>
      <c r="BC597" s="66">
        <v>696084706</v>
      </c>
      <c r="BD597" s="66"/>
      <c r="BE597" s="66">
        <f t="shared" si="522"/>
        <v>78460</v>
      </c>
      <c r="BF597" s="66"/>
      <c r="BG597" s="144">
        <f t="shared" si="523"/>
        <v>4.4385058199525713E-2</v>
      </c>
      <c r="BH597" s="66"/>
      <c r="BI597" s="170"/>
      <c r="BJ597" s="66"/>
      <c r="BK597" s="66"/>
      <c r="BL597" s="66"/>
      <c r="BM597" s="144"/>
      <c r="BN597" s="65">
        <f t="shared" si="524"/>
        <v>1183817.5272108843</v>
      </c>
      <c r="BO597" s="66"/>
      <c r="BP597" s="66">
        <f t="shared" si="525"/>
        <v>43065717</v>
      </c>
      <c r="BQ597" s="66"/>
      <c r="BR597" s="435">
        <f t="shared" si="526"/>
        <v>6.1868500527003392E-2</v>
      </c>
      <c r="BS597" s="66"/>
      <c r="BT597" s="75"/>
      <c r="BU597" s="170"/>
      <c r="BV597" s="1"/>
      <c r="BW597" s="61">
        <f t="shared" si="407"/>
        <v>588</v>
      </c>
    </row>
    <row r="598" spans="2:75" x14ac:dyDescent="0.3">
      <c r="B598" s="158">
        <f t="shared" si="457"/>
        <v>44498</v>
      </c>
      <c r="C598" s="61"/>
      <c r="D598" s="17">
        <v>80469</v>
      </c>
      <c r="E598" s="16"/>
      <c r="F598" s="16"/>
      <c r="G598" s="16"/>
      <c r="H598" s="16">
        <f t="shared" si="507"/>
        <v>44053164</v>
      </c>
      <c r="I598" s="16"/>
      <c r="J598" s="436">
        <f t="shared" si="508"/>
        <v>1.8299765343015705E-3</v>
      </c>
      <c r="K598" s="16"/>
      <c r="L598" s="16"/>
      <c r="M598" s="16"/>
      <c r="N598" s="16">
        <f t="shared" si="509"/>
        <v>402670</v>
      </c>
      <c r="O598" s="16">
        <f t="shared" si="510"/>
        <v>74793.147707979631</v>
      </c>
      <c r="P598" s="41"/>
      <c r="Q598" s="17">
        <f t="shared" si="511"/>
        <v>402670</v>
      </c>
      <c r="R598" s="16"/>
      <c r="S598" s="60">
        <f t="shared" si="512"/>
        <v>-4.2399625207194307E-2</v>
      </c>
      <c r="T598" s="16"/>
      <c r="U598" s="41"/>
      <c r="V598" s="10">
        <f t="shared" si="356"/>
        <v>490</v>
      </c>
      <c r="W598" s="34">
        <v>1556</v>
      </c>
      <c r="X598" s="33">
        <v>4256</v>
      </c>
      <c r="Y598" s="33"/>
      <c r="Z598" s="33">
        <f t="shared" si="513"/>
        <v>6476</v>
      </c>
      <c r="AA598" s="33">
        <f t="shared" si="514"/>
        <v>708185</v>
      </c>
      <c r="AB598" s="33"/>
      <c r="AC598" s="46">
        <f t="shared" si="515"/>
        <v>1.6075689818783503E-2</v>
      </c>
      <c r="AD598" s="33"/>
      <c r="AE598" s="33">
        <f t="shared" si="516"/>
        <v>1202.3514431239389</v>
      </c>
      <c r="AF598" s="50"/>
      <c r="AG598" s="33"/>
      <c r="AH598" s="33"/>
      <c r="AI598" s="213"/>
      <c r="AJ598" s="50"/>
      <c r="AK598" s="111"/>
      <c r="AL598" s="23">
        <f t="shared" si="51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18"/>
        <v>2.2138630181282324E-3</v>
      </c>
      <c r="AS598" s="25"/>
      <c r="AT598" s="25"/>
      <c r="AU598" s="24"/>
      <c r="AV598" s="298">
        <f t="shared" si="519"/>
        <v>0.8318789542562709</v>
      </c>
      <c r="AW598" s="298"/>
      <c r="AX598" s="24">
        <f t="shared" si="520"/>
        <v>62218.845500848896</v>
      </c>
      <c r="AY598" s="308"/>
      <c r="AZ598" s="111"/>
      <c r="BA598" s="65">
        <f t="shared" si="521"/>
        <v>1763092</v>
      </c>
      <c r="BB598" s="66"/>
      <c r="BC598" s="66">
        <v>697847798</v>
      </c>
      <c r="BD598" s="66"/>
      <c r="BE598" s="66">
        <f t="shared" si="522"/>
        <v>80469</v>
      </c>
      <c r="BF598" s="66"/>
      <c r="BG598" s="144">
        <f t="shared" si="523"/>
        <v>4.564084006960499E-2</v>
      </c>
      <c r="BH598" s="66"/>
      <c r="BI598" s="170"/>
      <c r="BJ598" s="66"/>
      <c r="BK598" s="66"/>
      <c r="BL598" s="66"/>
      <c r="BM598" s="144"/>
      <c r="BN598" s="65">
        <f t="shared" si="524"/>
        <v>1184801.0152801359</v>
      </c>
      <c r="BO598" s="66"/>
      <c r="BP598" s="66">
        <f t="shared" si="525"/>
        <v>43146186</v>
      </c>
      <c r="BQ598" s="66"/>
      <c r="BR598" s="435">
        <f t="shared" si="526"/>
        <v>6.1827501818670208E-2</v>
      </c>
      <c r="BS598" s="66"/>
      <c r="BT598" s="75"/>
      <c r="BU598" s="170"/>
      <c r="BV598" s="1"/>
      <c r="BW598" s="61">
        <f t="shared" si="407"/>
        <v>589</v>
      </c>
    </row>
    <row r="599" spans="2:75" x14ac:dyDescent="0.3">
      <c r="B599" s="158">
        <f t="shared" si="457"/>
        <v>44499</v>
      </c>
      <c r="C599" s="61"/>
      <c r="D599" s="17">
        <v>30780</v>
      </c>
      <c r="E599" s="16"/>
      <c r="F599" s="16"/>
      <c r="G599" s="16"/>
      <c r="H599" s="16">
        <f t="shared" si="507"/>
        <v>44083944</v>
      </c>
      <c r="I599" s="16"/>
      <c r="J599" s="436">
        <f t="shared" si="508"/>
        <v>6.9870123290122817E-4</v>
      </c>
      <c r="K599" s="16"/>
      <c r="L599" s="16"/>
      <c r="M599" s="16"/>
      <c r="N599" s="16">
        <f t="shared" si="509"/>
        <v>404626</v>
      </c>
      <c r="O599" s="16">
        <f t="shared" si="510"/>
        <v>74718.549152542371</v>
      </c>
      <c r="P599" s="41"/>
      <c r="Q599" s="17">
        <f t="shared" si="511"/>
        <v>404626</v>
      </c>
      <c r="R599" s="16"/>
      <c r="S599" s="60">
        <f t="shared" si="512"/>
        <v>-2.5966929296868418E-2</v>
      </c>
      <c r="T599" s="16"/>
      <c r="U599" s="41"/>
      <c r="V599" s="10">
        <f t="shared" si="356"/>
        <v>491</v>
      </c>
      <c r="W599" s="34">
        <v>370</v>
      </c>
      <c r="X599" s="33">
        <v>4256</v>
      </c>
      <c r="Y599" s="33"/>
      <c r="Z599" s="33">
        <f t="shared" si="513"/>
        <v>6689</v>
      </c>
      <c r="AA599" s="33">
        <f t="shared" si="514"/>
        <v>708555</v>
      </c>
      <c r="AB599" s="33"/>
      <c r="AC599" s="46">
        <f t="shared" si="515"/>
        <v>1.6072858635334444E-2</v>
      </c>
      <c r="AD599" s="33"/>
      <c r="AE599" s="33">
        <f t="shared" si="516"/>
        <v>1200.9406779661017</v>
      </c>
      <c r="AF599" s="50"/>
      <c r="AG599" s="33"/>
      <c r="AH599" s="33"/>
      <c r="AI599" s="213"/>
      <c r="AJ599" s="50"/>
      <c r="AK599" s="111"/>
      <c r="AL599" s="23">
        <f t="shared" si="51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18"/>
        <v>1.3655998188114137E-3</v>
      </c>
      <c r="AS599" s="25"/>
      <c r="AT599" s="25"/>
      <c r="AU599" s="24"/>
      <c r="AV599" s="298">
        <f t="shared" si="519"/>
        <v>0.83243334580045747</v>
      </c>
      <c r="AW599" s="298"/>
      <c r="AX599" s="24">
        <f t="shared" si="520"/>
        <v>62198.211864406781</v>
      </c>
      <c r="AY599" s="308"/>
      <c r="AZ599" s="111"/>
      <c r="BA599" s="65">
        <f t="shared" si="521"/>
        <v>280826</v>
      </c>
      <c r="BB599" s="66"/>
      <c r="BC599" s="66">
        <v>698128624</v>
      </c>
      <c r="BD599" s="66"/>
      <c r="BE599" s="66">
        <f t="shared" si="522"/>
        <v>30780</v>
      </c>
      <c r="BF599" s="66"/>
      <c r="BG599" s="144">
        <f t="shared" si="523"/>
        <v>0.10960523598242328</v>
      </c>
      <c r="BH599" s="66"/>
      <c r="BI599" s="170"/>
      <c r="BJ599" s="66"/>
      <c r="BK599" s="66"/>
      <c r="BL599" s="66"/>
      <c r="BM599" s="144"/>
      <c r="BN599" s="65">
        <f t="shared" si="524"/>
        <v>1183268.8542372882</v>
      </c>
      <c r="BO599" s="66"/>
      <c r="BP599" s="66">
        <f t="shared" si="525"/>
        <v>43176966</v>
      </c>
      <c r="BQ599" s="66"/>
      <c r="BR599" s="435">
        <f t="shared" si="526"/>
        <v>6.1846720669628354E-2</v>
      </c>
      <c r="BS599" s="66"/>
      <c r="BT599" s="75"/>
      <c r="BU599" s="170"/>
      <c r="BV599" s="1"/>
      <c r="BW599" s="61">
        <f t="shared" si="407"/>
        <v>590</v>
      </c>
    </row>
    <row r="600" spans="2:75" x14ac:dyDescent="0.3">
      <c r="B600" s="347">
        <f t="shared" si="457"/>
        <v>44500</v>
      </c>
      <c r="C600" s="61"/>
      <c r="D600" s="17">
        <v>19975</v>
      </c>
      <c r="E600" s="16"/>
      <c r="F600" s="16"/>
      <c r="G600" s="16"/>
      <c r="H600" s="16">
        <f t="shared" si="507"/>
        <v>44103919</v>
      </c>
      <c r="I600" s="16"/>
      <c r="J600" s="436">
        <f t="shared" si="508"/>
        <v>4.5311281585876253E-4</v>
      </c>
      <c r="K600" s="16"/>
      <c r="L600" s="16"/>
      <c r="M600" s="16"/>
      <c r="N600" s="16">
        <f t="shared" si="509"/>
        <v>407021</v>
      </c>
      <c r="O600" s="16">
        <f t="shared" si="510"/>
        <v>74625.920473773265</v>
      </c>
      <c r="P600" s="41"/>
      <c r="Q600" s="17">
        <f t="shared" si="511"/>
        <v>407021</v>
      </c>
      <c r="R600" s="16"/>
      <c r="S600" s="60">
        <f t="shared" si="512"/>
        <v>-1.9335206218105944E-2</v>
      </c>
      <c r="T600" s="16"/>
      <c r="U600" s="41"/>
      <c r="V600" s="10">
        <f t="shared" si="356"/>
        <v>492</v>
      </c>
      <c r="W600" s="34">
        <v>162</v>
      </c>
      <c r="X600" s="33">
        <v>4256</v>
      </c>
      <c r="Y600" s="33"/>
      <c r="Z600" s="33">
        <f t="shared" si="513"/>
        <v>6341</v>
      </c>
      <c r="AA600" s="33">
        <f t="shared" si="514"/>
        <v>708717</v>
      </c>
      <c r="AB600" s="33"/>
      <c r="AC600" s="46">
        <f t="shared" si="515"/>
        <v>1.6069252258512447E-2</v>
      </c>
      <c r="AD600" s="33"/>
      <c r="AE600" s="33">
        <f t="shared" si="516"/>
        <v>1199.1827411167512</v>
      </c>
      <c r="AF600" s="50"/>
      <c r="AG600" s="33"/>
      <c r="AH600" s="33"/>
      <c r="AI600" s="213"/>
      <c r="AJ600" s="50"/>
      <c r="AK600" s="111"/>
      <c r="AL600" s="23">
        <f t="shared" si="51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18"/>
        <v>5.0053212876439719E-4</v>
      </c>
      <c r="AS600" s="25"/>
      <c r="AT600" s="25"/>
      <c r="AU600" s="24"/>
      <c r="AV600" s="298">
        <f t="shared" si="519"/>
        <v>0.83247280133994439</v>
      </c>
      <c r="AW600" s="298"/>
      <c r="AX600" s="24">
        <f t="shared" si="520"/>
        <v>62124.049069373941</v>
      </c>
      <c r="AY600" s="308"/>
      <c r="AZ600" s="111"/>
      <c r="BA600" s="65">
        <f t="shared" si="521"/>
        <v>563570</v>
      </c>
      <c r="BB600" s="66"/>
      <c r="BC600" s="66">
        <v>698692194</v>
      </c>
      <c r="BD600" s="66"/>
      <c r="BE600" s="66">
        <f t="shared" si="522"/>
        <v>19975</v>
      </c>
      <c r="BF600" s="66"/>
      <c r="BG600" s="144">
        <f t="shared" si="523"/>
        <v>3.5443689337615561E-2</v>
      </c>
      <c r="BH600" s="66"/>
      <c r="BI600" s="170"/>
      <c r="BJ600" s="66"/>
      <c r="BK600" s="66"/>
      <c r="BL600" s="66"/>
      <c r="BM600" s="144"/>
      <c r="BN600" s="65">
        <f t="shared" si="524"/>
        <v>1182220.2944162437</v>
      </c>
      <c r="BO600" s="66"/>
      <c r="BP600" s="66">
        <f t="shared" si="525"/>
        <v>43196941</v>
      </c>
      <c r="BQ600" s="66"/>
      <c r="BR600" s="435">
        <f t="shared" si="526"/>
        <v>6.1825423800283649E-2</v>
      </c>
      <c r="BS600" s="66"/>
      <c r="BT600" s="75"/>
      <c r="BU600" s="170"/>
      <c r="BV600" s="1"/>
      <c r="BW600" s="61">
        <f t="shared" si="407"/>
        <v>591</v>
      </c>
    </row>
    <row r="601" spans="2:75" x14ac:dyDescent="0.3">
      <c r="B601" s="158">
        <f t="shared" si="457"/>
        <v>44501</v>
      </c>
      <c r="C601" s="61"/>
      <c r="D601" s="17">
        <v>54561</v>
      </c>
      <c r="E601" s="16"/>
      <c r="F601" s="16"/>
      <c r="G601" s="16"/>
      <c r="H601" s="16">
        <f t="shared" si="507"/>
        <v>44158480</v>
      </c>
      <c r="I601" s="16"/>
      <c r="J601" s="436">
        <f t="shared" si="508"/>
        <v>1.2371009478772169E-3</v>
      </c>
      <c r="K601" s="16"/>
      <c r="L601" s="16"/>
      <c r="M601" s="16"/>
      <c r="N601" s="16">
        <f t="shared" si="509"/>
        <v>412811</v>
      </c>
      <c r="O601" s="16">
        <f t="shared" si="510"/>
        <v>74592.027027027027</v>
      </c>
      <c r="P601" s="41"/>
      <c r="Q601" s="17">
        <f t="shared" si="511"/>
        <v>412811</v>
      </c>
      <c r="R601" s="16"/>
      <c r="S601" s="60">
        <f t="shared" si="512"/>
        <v>5.1840596860831499E-3</v>
      </c>
      <c r="T601" s="16"/>
      <c r="U601" s="41"/>
      <c r="V601" s="10">
        <f t="shared" si="356"/>
        <v>493</v>
      </c>
      <c r="W601" s="34">
        <v>700</v>
      </c>
      <c r="X601" s="33">
        <v>4256</v>
      </c>
      <c r="Y601" s="33"/>
      <c r="Z601" s="33">
        <f t="shared" si="513"/>
        <v>5590</v>
      </c>
      <c r="AA601" s="33">
        <f t="shared" si="514"/>
        <v>709417</v>
      </c>
      <c r="AB601" s="33"/>
      <c r="AC601" s="46">
        <f t="shared" si="515"/>
        <v>1.606524952851638E-2</v>
      </c>
      <c r="AD601" s="33"/>
      <c r="AE601" s="33">
        <f t="shared" si="51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1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18"/>
        <v>3.6684148654813321E-3</v>
      </c>
      <c r="AS601" s="25"/>
      <c r="AT601" s="25"/>
      <c r="AU601" s="24"/>
      <c r="AV601" s="298">
        <f t="shared" si="519"/>
        <v>0.83449430324594509</v>
      </c>
      <c r="AW601" s="298"/>
      <c r="AX601" s="24">
        <f t="shared" si="520"/>
        <v>62246.62162162162</v>
      </c>
      <c r="AY601" s="308"/>
      <c r="AZ601" s="111" t="s">
        <v>26</v>
      </c>
      <c r="BA601" s="65">
        <f t="shared" si="521"/>
        <v>1307806</v>
      </c>
      <c r="BB601" s="66"/>
      <c r="BC601" s="66">
        <v>700000000</v>
      </c>
      <c r="BD601" s="66"/>
      <c r="BE601" s="66">
        <f t="shared" si="522"/>
        <v>54561</v>
      </c>
      <c r="BF601" s="66"/>
      <c r="BG601" s="144">
        <f t="shared" si="523"/>
        <v>4.1719490505472523E-2</v>
      </c>
      <c r="BH601" s="66"/>
      <c r="BI601" s="170"/>
      <c r="BJ601" s="66"/>
      <c r="BK601" s="66"/>
      <c r="BL601" s="66"/>
      <c r="BM601" s="144"/>
      <c r="BN601" s="65">
        <f t="shared" si="524"/>
        <v>1182432.4324324324</v>
      </c>
      <c r="BO601" s="66"/>
      <c r="BP601" s="66">
        <f t="shared" si="525"/>
        <v>43251502</v>
      </c>
      <c r="BQ601" s="66"/>
      <c r="BR601" s="435">
        <f t="shared" si="526"/>
        <v>6.178786E-2</v>
      </c>
      <c r="BS601" s="66"/>
      <c r="BT601" s="75"/>
      <c r="BU601" s="170"/>
      <c r="BV601" s="1"/>
      <c r="BW601" s="61">
        <f t="shared" si="407"/>
        <v>592</v>
      </c>
    </row>
    <row r="602" spans="2:75" x14ac:dyDescent="0.3">
      <c r="B602" s="158">
        <f t="shared" si="457"/>
        <v>44502</v>
      </c>
      <c r="C602" s="61"/>
      <c r="D602" s="17">
        <v>76526</v>
      </c>
      <c r="E602" s="16"/>
      <c r="F602" s="16"/>
      <c r="G602" s="16"/>
      <c r="H602" s="16">
        <f t="shared" si="507"/>
        <v>44235006</v>
      </c>
      <c r="I602" s="16"/>
      <c r="J602" s="436">
        <f t="shared" si="508"/>
        <v>1.7329853744965859E-3</v>
      </c>
      <c r="K602" s="16"/>
      <c r="L602" s="16"/>
      <c r="M602" s="16"/>
      <c r="N602" s="16">
        <f t="shared" si="509"/>
        <v>419703</v>
      </c>
      <c r="O602" s="16">
        <f t="shared" si="510"/>
        <v>74595.288364249573</v>
      </c>
      <c r="P602" s="41"/>
      <c r="Q602" s="17">
        <f t="shared" si="511"/>
        <v>419703</v>
      </c>
      <c r="R602" s="16"/>
      <c r="S602" s="60">
        <f t="shared" si="512"/>
        <v>2.7407119094654438E-2</v>
      </c>
      <c r="T602" s="16"/>
      <c r="U602" s="41"/>
      <c r="V602" s="10">
        <f t="shared" si="356"/>
        <v>494</v>
      </c>
      <c r="W602" s="34">
        <v>1269</v>
      </c>
      <c r="X602" s="33">
        <v>4256</v>
      </c>
      <c r="Y602" s="33"/>
      <c r="Z602" s="33">
        <f t="shared" si="513"/>
        <v>5265</v>
      </c>
      <c r="AA602" s="33">
        <f t="shared" si="514"/>
        <v>710686</v>
      </c>
      <c r="AB602" s="33"/>
      <c r="AC602" s="46">
        <f t="shared" si="515"/>
        <v>1.6066144537202051E-2</v>
      </c>
      <c r="AD602" s="33"/>
      <c r="AE602" s="33">
        <f t="shared" si="516"/>
        <v>1198.4586846543002</v>
      </c>
      <c r="AF602" s="50"/>
      <c r="AG602" s="33"/>
      <c r="AH602" s="33"/>
      <c r="AI602" s="213"/>
      <c r="AJ602" s="50"/>
      <c r="AL602" s="23">
        <f t="shared" si="51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18"/>
        <v>4.657340569877883E-3</v>
      </c>
      <c r="AS602" s="25"/>
      <c r="AT602" s="25"/>
      <c r="AU602" s="24"/>
      <c r="AV602" s="298">
        <f t="shared" si="519"/>
        <v>0.83693043920916388</v>
      </c>
      <c r="AW602" s="298"/>
      <c r="AX602" s="24">
        <f t="shared" si="520"/>
        <v>62431.067453625634</v>
      </c>
      <c r="AY602" s="308"/>
      <c r="BA602" s="65">
        <f t="shared" si="521"/>
        <v>3560959</v>
      </c>
      <c r="BB602" s="66"/>
      <c r="BC602" s="66">
        <v>703560959</v>
      </c>
      <c r="BD602" s="66"/>
      <c r="BE602" s="66">
        <f t="shared" si="522"/>
        <v>76526</v>
      </c>
      <c r="BF602" s="66"/>
      <c r="BG602" s="144">
        <f t="shared" si="523"/>
        <v>2.1490278321092716E-2</v>
      </c>
      <c r="BH602" s="66"/>
      <c r="BI602" s="170"/>
      <c r="BJ602" s="66"/>
      <c r="BK602" s="66"/>
      <c r="BL602" s="66"/>
      <c r="BM602" s="144"/>
      <c r="BN602" s="65">
        <f t="shared" si="524"/>
        <v>1186443.4384485667</v>
      </c>
      <c r="BO602" s="66"/>
      <c r="BP602" s="66">
        <f t="shared" si="525"/>
        <v>43328028</v>
      </c>
      <c r="BQ602" s="66"/>
      <c r="BR602" s="435">
        <f t="shared" si="526"/>
        <v>6.1583900365341337E-2</v>
      </c>
      <c r="BS602" s="66"/>
      <c r="BT602" s="75"/>
      <c r="BU602" s="170"/>
      <c r="BV602" s="1"/>
      <c r="BW602" s="61">
        <f t="shared" si="407"/>
        <v>593</v>
      </c>
    </row>
    <row r="603" spans="2:75" x14ac:dyDescent="0.3">
      <c r="B603" s="158">
        <f t="shared" si="457"/>
        <v>44503</v>
      </c>
      <c r="C603" s="61"/>
      <c r="D603" s="17">
        <v>75639</v>
      </c>
      <c r="E603" s="16"/>
      <c r="F603" s="16"/>
      <c r="G603" s="16"/>
      <c r="H603" s="16">
        <f t="shared" si="507"/>
        <v>44310645</v>
      </c>
      <c r="I603" s="16"/>
      <c r="J603" s="436">
        <f t="shared" si="508"/>
        <v>1.7099353394458678E-3</v>
      </c>
      <c r="K603" s="16"/>
      <c r="L603" s="16"/>
      <c r="M603" s="16"/>
      <c r="N603" s="16">
        <f t="shared" si="509"/>
        <v>416410</v>
      </c>
      <c r="O603" s="16">
        <f t="shared" si="510"/>
        <v>74597.045454545456</v>
      </c>
      <c r="P603" s="41"/>
      <c r="Q603" s="17">
        <f t="shared" si="511"/>
        <v>416410</v>
      </c>
      <c r="R603" s="16"/>
      <c r="S603" s="60">
        <f t="shared" si="512"/>
        <v>2.3085201000456988E-2</v>
      </c>
      <c r="T603" s="16"/>
      <c r="U603" s="41"/>
      <c r="V603" s="10">
        <f t="shared" si="356"/>
        <v>495</v>
      </c>
      <c r="W603" s="34">
        <v>1436</v>
      </c>
      <c r="X603" s="33">
        <v>4256</v>
      </c>
      <c r="Y603" s="33"/>
      <c r="Z603" s="33">
        <f t="shared" si="513"/>
        <v>5493</v>
      </c>
      <c r="AA603" s="33">
        <f t="shared" si="514"/>
        <v>712122</v>
      </c>
      <c r="AB603" s="33"/>
      <c r="AC603" s="46">
        <f t="shared" si="515"/>
        <v>1.6071126926723814E-2</v>
      </c>
      <c r="AD603" s="33"/>
      <c r="AE603" s="33">
        <f t="shared" si="516"/>
        <v>1198.8585858585859</v>
      </c>
      <c r="AF603" s="50"/>
      <c r="AG603" s="33"/>
      <c r="AH603" s="33"/>
      <c r="AI603" s="213"/>
      <c r="AJ603" s="50"/>
      <c r="AL603" s="23">
        <f t="shared" si="51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18"/>
        <v>2.5655547300019775E-3</v>
      </c>
      <c r="AS603" s="25"/>
      <c r="AT603" s="25"/>
      <c r="AU603" s="24"/>
      <c r="AV603" s="298">
        <f t="shared" si="519"/>
        <v>0.83764531073740855</v>
      </c>
      <c r="AW603" s="298"/>
      <c r="AX603" s="24">
        <f t="shared" si="520"/>
        <v>62485.865319865319</v>
      </c>
      <c r="AY603" s="308"/>
      <c r="BA603" s="65">
        <f t="shared" si="521"/>
        <v>1584324</v>
      </c>
      <c r="BB603" s="66"/>
      <c r="BC603" s="66">
        <v>705145283</v>
      </c>
      <c r="BD603" s="66"/>
      <c r="BE603" s="66">
        <f t="shared" si="522"/>
        <v>75639</v>
      </c>
      <c r="BF603" s="66"/>
      <c r="BG603" s="144">
        <f t="shared" si="523"/>
        <v>4.7742128504018121E-2</v>
      </c>
      <c r="BH603" s="66"/>
      <c r="BI603" s="170"/>
      <c r="BJ603" s="66"/>
      <c r="BK603" s="66"/>
      <c r="BL603" s="66"/>
      <c r="BM603" s="144"/>
      <c r="BN603" s="65">
        <f t="shared" si="524"/>
        <v>1187113.2710437709</v>
      </c>
      <c r="BO603" s="66"/>
      <c r="BP603" s="66">
        <f t="shared" si="525"/>
        <v>43403667</v>
      </c>
      <c r="BQ603" s="66"/>
      <c r="BR603" s="435">
        <f t="shared" si="526"/>
        <v>6.1552800602085289E-2</v>
      </c>
      <c r="BS603" s="66"/>
      <c r="BT603" s="75"/>
      <c r="BU603" s="170"/>
      <c r="BV603" s="1"/>
      <c r="BW603" s="61">
        <f t="shared" si="407"/>
        <v>594</v>
      </c>
    </row>
    <row r="604" spans="2:75" x14ac:dyDescent="0.3">
      <c r="B604" s="158">
        <f t="shared" si="457"/>
        <v>44504</v>
      </c>
      <c r="C604" s="61"/>
      <c r="D604" s="17">
        <v>81033</v>
      </c>
      <c r="E604" s="16"/>
      <c r="F604" s="16"/>
      <c r="G604" s="16"/>
      <c r="H604" s="16">
        <f t="shared" si="507"/>
        <v>44391678</v>
      </c>
      <c r="I604" s="16"/>
      <c r="J604" s="436">
        <f t="shared" si="508"/>
        <v>1.8287479227621264E-3</v>
      </c>
      <c r="K604" s="16"/>
      <c r="L604" s="16"/>
      <c r="M604" s="16"/>
      <c r="N604" s="16">
        <f t="shared" si="509"/>
        <v>418983</v>
      </c>
      <c r="O604" s="16">
        <f t="shared" si="510"/>
        <v>74607.862184873957</v>
      </c>
      <c r="P604" s="41"/>
      <c r="Q604" s="17">
        <f t="shared" si="511"/>
        <v>418983</v>
      </c>
      <c r="R604" s="16"/>
      <c r="S604" s="60">
        <f t="shared" si="512"/>
        <v>3.544888159569394E-2</v>
      </c>
      <c r="T604" s="16"/>
      <c r="U604" s="41"/>
      <c r="V604" s="10">
        <f t="shared" si="356"/>
        <v>496</v>
      </c>
      <c r="W604" s="34">
        <v>1149</v>
      </c>
      <c r="X604" s="33">
        <v>4256</v>
      </c>
      <c r="Y604" s="33"/>
      <c r="Z604" s="33">
        <f t="shared" si="513"/>
        <v>5086</v>
      </c>
      <c r="AA604" s="33">
        <f t="shared" si="514"/>
        <v>713271</v>
      </c>
      <c r="AB604" s="33"/>
      <c r="AC604" s="46">
        <f t="shared" si="515"/>
        <v>1.6067673765339529E-2</v>
      </c>
      <c r="AD604" s="33"/>
      <c r="AE604" s="33">
        <f t="shared" si="516"/>
        <v>1198.7747899159665</v>
      </c>
      <c r="AF604" s="50"/>
      <c r="AG604" s="33"/>
      <c r="AH604" s="33"/>
      <c r="AI604" s="213"/>
      <c r="AJ604" s="50"/>
      <c r="AL604" s="23">
        <f t="shared" si="51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18"/>
        <v>2.0882028970107287E-3</v>
      </c>
      <c r="AS604" s="25"/>
      <c r="AT604" s="25"/>
      <c r="AU604" s="24"/>
      <c r="AV604" s="298">
        <f t="shared" si="519"/>
        <v>0.83786224526137532</v>
      </c>
      <c r="AW604" s="298"/>
      <c r="AX604" s="24">
        <f t="shared" si="520"/>
        <v>62511.11092436975</v>
      </c>
      <c r="AY604" s="308"/>
      <c r="BA604" s="65">
        <f t="shared" si="521"/>
        <v>1598118</v>
      </c>
      <c r="BB604" s="66"/>
      <c r="BC604" s="66">
        <v>706743401</v>
      </c>
      <c r="BD604" s="66"/>
      <c r="BE604" s="66">
        <f t="shared" si="522"/>
        <v>81033</v>
      </c>
      <c r="BF604" s="66"/>
      <c r="BG604" s="144">
        <f t="shared" si="523"/>
        <v>5.0705267070391545E-2</v>
      </c>
      <c r="BH604" s="66"/>
      <c r="BI604" s="170"/>
      <c r="BJ604" s="66"/>
      <c r="BK604" s="66"/>
      <c r="BL604" s="66"/>
      <c r="BM604" s="144"/>
      <c r="BN604" s="65">
        <f t="shared" si="524"/>
        <v>1187804.0352941176</v>
      </c>
      <c r="BO604" s="66"/>
      <c r="BP604" s="66">
        <f t="shared" si="525"/>
        <v>43484700</v>
      </c>
      <c r="BQ604" s="66"/>
      <c r="BR604" s="435">
        <f t="shared" si="526"/>
        <v>6.1528271701542216E-2</v>
      </c>
      <c r="BS604" s="66"/>
      <c r="BT604" s="75"/>
      <c r="BU604" s="170"/>
      <c r="BV604" s="1"/>
      <c r="BW604" s="61">
        <f t="shared" si="407"/>
        <v>595</v>
      </c>
    </row>
    <row r="605" spans="2:75" x14ac:dyDescent="0.3">
      <c r="B605" s="158">
        <f t="shared" si="457"/>
        <v>44505</v>
      </c>
      <c r="C605" s="61"/>
      <c r="D605" s="17">
        <v>84846</v>
      </c>
      <c r="E605" s="16"/>
      <c r="F605" s="16"/>
      <c r="G605" s="16"/>
      <c r="H605" s="16">
        <f t="shared" si="507"/>
        <v>44476524</v>
      </c>
      <c r="I605" s="16"/>
      <c r="J605" s="436">
        <f t="shared" si="508"/>
        <v>1.9113041863387096E-3</v>
      </c>
      <c r="K605" s="16"/>
      <c r="L605" s="16"/>
      <c r="M605" s="16"/>
      <c r="N605" s="16">
        <f t="shared" si="509"/>
        <v>423360</v>
      </c>
      <c r="O605" s="16">
        <f t="shared" si="510"/>
        <v>74625.040268456374</v>
      </c>
      <c r="P605" s="41"/>
      <c r="Q605" s="17">
        <f t="shared" si="511"/>
        <v>423360</v>
      </c>
      <c r="R605" s="16"/>
      <c r="S605" s="60">
        <f t="shared" si="512"/>
        <v>5.1382024983236893E-2</v>
      </c>
      <c r="T605" s="16"/>
      <c r="U605" s="41"/>
      <c r="V605" s="10">
        <f t="shared" si="356"/>
        <v>497</v>
      </c>
      <c r="W605" s="34">
        <v>1345</v>
      </c>
      <c r="X605" s="33">
        <v>4256</v>
      </c>
      <c r="Y605" s="33"/>
      <c r="Z605" s="33">
        <f t="shared" si="513"/>
        <v>6061</v>
      </c>
      <c r="AA605" s="33">
        <f t="shared" si="514"/>
        <v>714616</v>
      </c>
      <c r="AB605" s="33"/>
      <c r="AC605" s="46">
        <f t="shared" si="515"/>
        <v>1.6067262810376098E-2</v>
      </c>
      <c r="AD605" s="33"/>
      <c r="AE605" s="33">
        <f t="shared" si="516"/>
        <v>1199.020134228188</v>
      </c>
      <c r="AF605" s="50"/>
      <c r="AG605" s="33"/>
      <c r="AH605" s="33"/>
      <c r="AI605" s="213"/>
      <c r="AJ605" s="50"/>
      <c r="AL605" s="23">
        <f t="shared" si="51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18"/>
        <v>2.0271488677333894E-3</v>
      </c>
      <c r="AS605" s="25"/>
      <c r="AT605" s="25"/>
      <c r="AU605" s="24"/>
      <c r="AV605" s="298">
        <f t="shared" si="519"/>
        <v>0.83795912198534217</v>
      </c>
      <c r="AW605" s="298"/>
      <c r="AX605" s="24">
        <f t="shared" si="520"/>
        <v>62532.733221476512</v>
      </c>
      <c r="AY605" s="308"/>
      <c r="BA605" s="65">
        <f t="shared" si="521"/>
        <v>1766699</v>
      </c>
      <c r="BB605" s="66"/>
      <c r="BC605" s="66">
        <v>708510100</v>
      </c>
      <c r="BD605" s="66"/>
      <c r="BE605" s="66">
        <f t="shared" si="522"/>
        <v>84846</v>
      </c>
      <c r="BF605" s="66"/>
      <c r="BG605" s="144">
        <f t="shared" si="523"/>
        <v>4.802515878482979E-2</v>
      </c>
      <c r="BH605" s="66"/>
      <c r="BI605" s="170"/>
      <c r="BJ605" s="66"/>
      <c r="BK605" s="66"/>
      <c r="BL605" s="66"/>
      <c r="BM605" s="144"/>
      <c r="BN605" s="65">
        <f t="shared" si="524"/>
        <v>1188775.3355704697</v>
      </c>
      <c r="BO605" s="66"/>
      <c r="BP605" s="66">
        <f t="shared" si="525"/>
        <v>43569546</v>
      </c>
      <c r="BQ605" s="66"/>
      <c r="BR605" s="435">
        <f t="shared" si="526"/>
        <v>6.1494601135537799E-2</v>
      </c>
      <c r="BS605" s="66"/>
      <c r="BT605" s="75"/>
      <c r="BU605" s="170"/>
      <c r="BV605" s="1"/>
      <c r="BW605" s="61">
        <f t="shared" si="407"/>
        <v>596</v>
      </c>
    </row>
    <row r="606" spans="2:75" x14ac:dyDescent="0.3">
      <c r="B606" s="158">
        <f t="shared" si="457"/>
        <v>44506</v>
      </c>
      <c r="C606" s="61"/>
      <c r="D606" s="17">
        <v>32479</v>
      </c>
      <c r="E606" s="16"/>
      <c r="F606" s="16"/>
      <c r="G606" s="16"/>
      <c r="H606" s="16">
        <f t="shared" si="507"/>
        <v>44509003</v>
      </c>
      <c r="I606" s="16"/>
      <c r="J606" s="436">
        <f t="shared" si="508"/>
        <v>7.3025041255472215E-4</v>
      </c>
      <c r="K606" s="16"/>
      <c r="L606" s="16"/>
      <c r="M606" s="16"/>
      <c r="N606" s="16">
        <f t="shared" si="509"/>
        <v>425059</v>
      </c>
      <c r="O606" s="16">
        <f t="shared" si="510"/>
        <v>74554.443886097157</v>
      </c>
      <c r="P606" s="41"/>
      <c r="Q606" s="17">
        <f t="shared" si="511"/>
        <v>425059</v>
      </c>
      <c r="R606" s="16"/>
      <c r="S606" s="60">
        <f t="shared" si="512"/>
        <v>5.0498485020735194E-2</v>
      </c>
      <c r="T606" s="16"/>
      <c r="U606" s="41"/>
      <c r="V606" s="10">
        <f t="shared" si="356"/>
        <v>498</v>
      </c>
      <c r="W606" s="34">
        <v>422</v>
      </c>
      <c r="X606" s="33">
        <v>4256</v>
      </c>
      <c r="Y606" s="33"/>
      <c r="Z606" s="33">
        <f t="shared" si="513"/>
        <v>6321</v>
      </c>
      <c r="AA606" s="33">
        <f t="shared" si="514"/>
        <v>715038</v>
      </c>
      <c r="AB606" s="33"/>
      <c r="AC606" s="46">
        <f t="shared" si="515"/>
        <v>1.6065019474824003E-2</v>
      </c>
      <c r="AD606" s="33"/>
      <c r="AE606" s="33">
        <f t="shared" si="516"/>
        <v>1197.7185929648242</v>
      </c>
      <c r="AF606" s="50"/>
      <c r="AG606" s="33"/>
      <c r="AH606" s="33"/>
      <c r="AI606" s="213"/>
      <c r="AJ606" s="50"/>
      <c r="AL606" s="23">
        <f t="shared" si="51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18"/>
        <v>1.1311391303813528E-3</v>
      </c>
      <c r="AS606" s="25"/>
      <c r="AT606" s="25"/>
      <c r="AU606" s="24"/>
      <c r="AV606" s="298">
        <f t="shared" si="519"/>
        <v>0.83829480521053235</v>
      </c>
      <c r="AW606" s="298"/>
      <c r="AX606" s="24">
        <f t="shared" si="520"/>
        <v>62498.60301507538</v>
      </c>
      <c r="AY606" s="308"/>
      <c r="BA606" s="65">
        <f t="shared" si="521"/>
        <v>486536</v>
      </c>
      <c r="BB606" s="66"/>
      <c r="BC606" s="66">
        <v>708996636</v>
      </c>
      <c r="BD606" s="66"/>
      <c r="BE606" s="66">
        <f t="shared" si="522"/>
        <v>32479</v>
      </c>
      <c r="BF606" s="66"/>
      <c r="BG606" s="144">
        <f t="shared" si="523"/>
        <v>6.675559465281089E-2</v>
      </c>
      <c r="BH606" s="66"/>
      <c r="BI606" s="170"/>
      <c r="BJ606" s="66"/>
      <c r="BK606" s="66"/>
      <c r="BL606" s="66"/>
      <c r="BM606" s="144"/>
      <c r="BN606" s="65">
        <f t="shared" si="524"/>
        <v>1187599.055276382</v>
      </c>
      <c r="BO606" s="66"/>
      <c r="BP606" s="66">
        <f t="shared" si="525"/>
        <v>43602025</v>
      </c>
      <c r="BQ606" s="66"/>
      <c r="BR606" s="435">
        <f t="shared" si="526"/>
        <v>6.149821139630908E-2</v>
      </c>
      <c r="BS606" s="66"/>
      <c r="BT606" s="75"/>
      <c r="BU606" s="170"/>
      <c r="BV606" s="1"/>
      <c r="BW606" s="61">
        <f t="shared" si="407"/>
        <v>597</v>
      </c>
    </row>
    <row r="607" spans="2:75" x14ac:dyDescent="0.3">
      <c r="B607" s="347">
        <f t="shared" si="457"/>
        <v>44507</v>
      </c>
      <c r="C607" s="61"/>
      <c r="D607" s="17">
        <v>23165</v>
      </c>
      <c r="E607" s="16"/>
      <c r="F607" s="16"/>
      <c r="G607" s="16"/>
      <c r="H607" s="16">
        <f t="shared" si="507"/>
        <v>44532168</v>
      </c>
      <c r="I607" s="16"/>
      <c r="J607" s="436">
        <f t="shared" si="508"/>
        <v>5.2045650180032111E-4</v>
      </c>
      <c r="K607" s="16"/>
      <c r="L607" s="16"/>
      <c r="M607" s="16"/>
      <c r="N607" s="16">
        <f t="shared" si="509"/>
        <v>428249</v>
      </c>
      <c r="O607" s="16">
        <f t="shared" si="510"/>
        <v>74468.508361204018</v>
      </c>
      <c r="P607" s="41"/>
      <c r="Q607" s="17">
        <f t="shared" si="511"/>
        <v>428249</v>
      </c>
      <c r="R607" s="16"/>
      <c r="S607" s="60">
        <f t="shared" si="512"/>
        <v>5.2154557135872595E-2</v>
      </c>
      <c r="T607" s="16"/>
      <c r="U607" s="41"/>
      <c r="V607" s="10">
        <f t="shared" si="356"/>
        <v>499</v>
      </c>
      <c r="W607" s="34">
        <v>123</v>
      </c>
      <c r="X607" s="33">
        <v>4256</v>
      </c>
      <c r="Y607" s="33"/>
      <c r="Z607" s="33">
        <f t="shared" si="513"/>
        <v>5744</v>
      </c>
      <c r="AA607" s="33">
        <f t="shared" si="514"/>
        <v>715161</v>
      </c>
      <c r="AB607" s="33"/>
      <c r="AC607" s="46">
        <f t="shared" si="515"/>
        <v>1.6059424728659066E-2</v>
      </c>
      <c r="AD607" s="33"/>
      <c r="AE607" s="33">
        <f t="shared" si="516"/>
        <v>1195.9214046822742</v>
      </c>
      <c r="AF607" s="50"/>
      <c r="AG607" s="33"/>
      <c r="AH607" s="33"/>
      <c r="AI607" s="213"/>
      <c r="AJ607" s="50"/>
      <c r="AL607" s="23">
        <f t="shared" si="51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18"/>
        <v>5.7041140966474131E-4</v>
      </c>
      <c r="AS607" s="25"/>
      <c r="AT607" s="25"/>
      <c r="AU607" s="24"/>
      <c r="AV607" s="298">
        <f t="shared" si="519"/>
        <v>0.83833666036650178</v>
      </c>
      <c r="AW607" s="298"/>
      <c r="AX607" s="24">
        <f t="shared" si="520"/>
        <v>62429.680602006687</v>
      </c>
      <c r="AY607" s="308"/>
      <c r="BA607" s="65">
        <f t="shared" si="521"/>
        <v>385115</v>
      </c>
      <c r="BB607" s="66"/>
      <c r="BC607" s="66">
        <v>709381751</v>
      </c>
      <c r="BD607" s="66"/>
      <c r="BE607" s="66">
        <f t="shared" si="522"/>
        <v>23165</v>
      </c>
      <c r="BF607" s="66"/>
      <c r="BG607" s="144">
        <f t="shared" si="523"/>
        <v>6.0150864027628113E-2</v>
      </c>
      <c r="BH607" s="66"/>
      <c r="BI607" s="170"/>
      <c r="BJ607" s="66"/>
      <c r="BK607" s="66"/>
      <c r="BL607" s="66"/>
      <c r="BM607" s="144"/>
      <c r="BN607" s="65">
        <f t="shared" si="524"/>
        <v>1186257.1086956521</v>
      </c>
      <c r="BO607" s="66"/>
      <c r="BP607" s="66">
        <f t="shared" si="525"/>
        <v>43625190</v>
      </c>
      <c r="BQ607" s="66"/>
      <c r="BR607" s="435">
        <f t="shared" si="526"/>
        <v>6.1497479937286971E-2</v>
      </c>
      <c r="BS607" s="66"/>
      <c r="BT607" s="75"/>
      <c r="BU607" s="170"/>
      <c r="BV607" s="1"/>
      <c r="BW607" s="61">
        <f t="shared" si="407"/>
        <v>598</v>
      </c>
    </row>
    <row r="608" spans="2:75" x14ac:dyDescent="0.3">
      <c r="B608" s="158">
        <f t="shared" si="457"/>
        <v>44508</v>
      </c>
      <c r="C608" s="61"/>
      <c r="D608" s="17">
        <v>54847</v>
      </c>
      <c r="E608" s="16"/>
      <c r="F608" s="16"/>
      <c r="G608" s="16"/>
      <c r="H608" s="16">
        <f t="shared" si="507"/>
        <v>44587015</v>
      </c>
      <c r="I608" s="16"/>
      <c r="J608" s="436">
        <f t="shared" si="508"/>
        <v>1.231626540167548E-3</v>
      </c>
      <c r="K608" s="16"/>
      <c r="L608" s="16"/>
      <c r="M608" s="16"/>
      <c r="N608" s="16">
        <f t="shared" si="509"/>
        <v>428535</v>
      </c>
      <c r="O608" s="16">
        <f t="shared" si="510"/>
        <v>74435.751252086819</v>
      </c>
      <c r="P608" s="41"/>
      <c r="Q608" s="17">
        <f t="shared" si="511"/>
        <v>428535</v>
      </c>
      <c r="R608" s="16"/>
      <c r="S608" s="60">
        <f t="shared" si="512"/>
        <v>3.8090070274290171E-2</v>
      </c>
      <c r="T608" s="16"/>
      <c r="U608" s="41"/>
      <c r="V608" s="10">
        <f t="shared" si="356"/>
        <v>500</v>
      </c>
      <c r="W608" s="34">
        <v>483</v>
      </c>
      <c r="X608" s="33">
        <v>4256</v>
      </c>
      <c r="Y608" s="33"/>
      <c r="Z608" s="33">
        <f t="shared" si="513"/>
        <v>4958</v>
      </c>
      <c r="AA608" s="33">
        <f t="shared" si="514"/>
        <v>715644</v>
      </c>
      <c r="AB608" s="33"/>
      <c r="AC608" s="46">
        <f t="shared" si="515"/>
        <v>1.605050259587909E-2</v>
      </c>
      <c r="AD608" s="33"/>
      <c r="AE608" s="33">
        <f t="shared" si="516"/>
        <v>1194.7312186978297</v>
      </c>
      <c r="AF608" s="50"/>
      <c r="AG608" s="33"/>
      <c r="AH608" s="33"/>
      <c r="AI608" s="213"/>
      <c r="AJ608" s="50"/>
      <c r="AL608" s="23">
        <f t="shared" si="51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18"/>
        <v>4.3772325620459289E-3</v>
      </c>
      <c r="AS608" s="25"/>
      <c r="AT608" s="25"/>
      <c r="AU608" s="24"/>
      <c r="AV608" s="298">
        <f t="shared" si="519"/>
        <v>0.84097049331515017</v>
      </c>
      <c r="AW608" s="298"/>
      <c r="AX608" s="24">
        <f t="shared" si="520"/>
        <v>62598.270450751254</v>
      </c>
      <c r="AY608" s="308"/>
      <c r="BA608" s="65">
        <f t="shared" si="521"/>
        <v>3603531</v>
      </c>
      <c r="BB608" s="66"/>
      <c r="BC608" s="66">
        <v>712985282</v>
      </c>
      <c r="BD608" s="66"/>
      <c r="BE608" s="66">
        <f t="shared" si="522"/>
        <v>54847</v>
      </c>
      <c r="BF608" s="66"/>
      <c r="BG608" s="144">
        <f t="shared" si="523"/>
        <v>1.5220349151984539E-2</v>
      </c>
      <c r="BH608" s="66"/>
      <c r="BI608" s="170"/>
      <c r="BJ608" s="66"/>
      <c r="BK608" s="66"/>
      <c r="BL608" s="66"/>
      <c r="BM608" s="144"/>
      <c r="BN608" s="65">
        <f t="shared" si="524"/>
        <v>1190292.6243739566</v>
      </c>
      <c r="BO608" s="66"/>
      <c r="BP608" s="66">
        <f t="shared" si="525"/>
        <v>43680037</v>
      </c>
      <c r="BQ608" s="66"/>
      <c r="BR608" s="435">
        <f t="shared" si="526"/>
        <v>6.1263588607990367E-2</v>
      </c>
      <c r="BS608" s="66"/>
      <c r="BT608" s="75"/>
      <c r="BU608" s="170"/>
      <c r="BV608" s="1"/>
      <c r="BW608" s="61">
        <f t="shared" si="407"/>
        <v>599</v>
      </c>
    </row>
    <row r="609" spans="2:75" x14ac:dyDescent="0.3">
      <c r="B609" s="158">
        <f t="shared" si="457"/>
        <v>44509</v>
      </c>
      <c r="C609" s="61"/>
      <c r="D609" s="17">
        <v>72358</v>
      </c>
      <c r="E609" s="16"/>
      <c r="F609" s="16"/>
      <c r="G609" s="16"/>
      <c r="H609" s="16">
        <f t="shared" si="507"/>
        <v>44659373</v>
      </c>
      <c r="I609" s="16"/>
      <c r="J609" s="436">
        <f t="shared" si="508"/>
        <v>1.6228491635961726E-3</v>
      </c>
      <c r="K609" s="16"/>
      <c r="L609" s="16"/>
      <c r="M609" s="16"/>
      <c r="N609" s="16">
        <f t="shared" si="509"/>
        <v>424367</v>
      </c>
      <c r="O609" s="16">
        <f t="shared" si="510"/>
        <v>74432.28833333333</v>
      </c>
      <c r="P609" s="41"/>
      <c r="Q609" s="17">
        <f t="shared" si="511"/>
        <v>424367</v>
      </c>
      <c r="R609" s="16"/>
      <c r="S609" s="60">
        <f t="shared" si="512"/>
        <v>1.1112620114700157E-2</v>
      </c>
      <c r="T609" s="16"/>
      <c r="U609" s="41"/>
      <c r="V609" s="10">
        <f t="shared" si="356"/>
        <v>501</v>
      </c>
      <c r="W609" s="34">
        <v>1339</v>
      </c>
      <c r="X609" s="33">
        <v>4256</v>
      </c>
      <c r="Y609" s="33"/>
      <c r="Z609" s="33">
        <f t="shared" si="513"/>
        <v>4861</v>
      </c>
      <c r="AA609" s="33">
        <f t="shared" si="514"/>
        <v>716983</v>
      </c>
      <c r="AB609" s="33"/>
      <c r="AC609" s="46">
        <f t="shared" si="515"/>
        <v>1.6054479761728854E-2</v>
      </c>
      <c r="AD609" s="33"/>
      <c r="AE609" s="33">
        <f t="shared" si="516"/>
        <v>1194.9716666666666</v>
      </c>
      <c r="AF609" s="50"/>
      <c r="AG609" s="33"/>
      <c r="AH609" s="33"/>
      <c r="AI609" s="213"/>
      <c r="AJ609" s="50"/>
      <c r="AL609" s="23">
        <f t="shared" si="51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18"/>
        <v>2.8849730603212622E-3</v>
      </c>
      <c r="AS609" s="25"/>
      <c r="AT609" s="25"/>
      <c r="AU609" s="24"/>
      <c r="AV609" s="298">
        <f t="shared" si="519"/>
        <v>0.84203018255540663</v>
      </c>
      <c r="AW609" s="298"/>
      <c r="AX609" s="24">
        <f t="shared" si="520"/>
        <v>62674.23333333333</v>
      </c>
      <c r="AY609" s="308"/>
      <c r="BA609" s="65">
        <f t="shared" si="521"/>
        <v>1458675</v>
      </c>
      <c r="BB609" s="66"/>
      <c r="BC609" s="66">
        <v>714443957</v>
      </c>
      <c r="BD609" s="66"/>
      <c r="BE609" s="66">
        <f t="shared" si="522"/>
        <v>72358</v>
      </c>
      <c r="BF609" s="66"/>
      <c r="BG609" s="144">
        <f t="shared" si="523"/>
        <v>4.9605292474334588E-2</v>
      </c>
      <c r="BH609" s="66"/>
      <c r="BI609" s="170"/>
      <c r="BJ609" s="66"/>
      <c r="BK609" s="66"/>
      <c r="BL609" s="66"/>
      <c r="BM609" s="144"/>
      <c r="BN609" s="65">
        <f t="shared" si="524"/>
        <v>1190739.9283333332</v>
      </c>
      <c r="BO609" s="66"/>
      <c r="BP609" s="66">
        <f t="shared" si="525"/>
        <v>43752395</v>
      </c>
      <c r="BQ609" s="66"/>
      <c r="BR609" s="435">
        <f t="shared" si="526"/>
        <v>6.1239785950068577E-2</v>
      </c>
      <c r="BS609" s="66"/>
      <c r="BT609" s="75"/>
      <c r="BU609" s="170"/>
      <c r="BV609" s="1"/>
      <c r="BW609" s="61">
        <f t="shared" si="407"/>
        <v>600</v>
      </c>
    </row>
    <row r="610" spans="2:75" x14ac:dyDescent="0.3">
      <c r="B610" s="158">
        <f t="shared" si="457"/>
        <v>44510</v>
      </c>
      <c r="C610" s="61"/>
      <c r="D610" s="17">
        <v>94376</v>
      </c>
      <c r="E610" s="16"/>
      <c r="F610" s="16"/>
      <c r="G610" s="16"/>
      <c r="H610" s="16">
        <f t="shared" si="507"/>
        <v>44753749</v>
      </c>
      <c r="I610" s="16"/>
      <c r="J610" s="436">
        <f t="shared" si="508"/>
        <v>2.1132405956527872E-3</v>
      </c>
      <c r="K610" s="16"/>
      <c r="L610" s="16"/>
      <c r="M610" s="16"/>
      <c r="N610" s="16">
        <f t="shared" si="509"/>
        <v>443104</v>
      </c>
      <c r="O610" s="16">
        <f t="shared" si="510"/>
        <v>74465.472545757075</v>
      </c>
      <c r="P610" s="41"/>
      <c r="Q610" s="17">
        <f t="shared" si="511"/>
        <v>443104</v>
      </c>
      <c r="R610" s="16"/>
      <c r="S610" s="60">
        <f t="shared" si="512"/>
        <v>6.4105088734660545E-2</v>
      </c>
      <c r="T610" s="16"/>
      <c r="U610" s="41"/>
      <c r="V610" s="10">
        <f t="shared" si="356"/>
        <v>502</v>
      </c>
      <c r="W610" s="34">
        <v>1493</v>
      </c>
      <c r="X610" s="33">
        <v>4256</v>
      </c>
      <c r="Y610" s="33"/>
      <c r="Z610" s="33">
        <f t="shared" si="513"/>
        <v>5205</v>
      </c>
      <c r="AA610" s="33">
        <f t="shared" si="514"/>
        <v>718476</v>
      </c>
      <c r="AB610" s="33"/>
      <c r="AC610" s="46">
        <f t="shared" si="515"/>
        <v>1.6053984661709569E-2</v>
      </c>
      <c r="AD610" s="33"/>
      <c r="AE610" s="33">
        <f t="shared" si="516"/>
        <v>1195.467554076539</v>
      </c>
      <c r="AF610" s="50"/>
      <c r="AG610" s="33"/>
      <c r="AH610" s="33"/>
      <c r="AI610" s="213"/>
      <c r="AJ610" s="50"/>
      <c r="AL610" s="23">
        <f t="shared" si="51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18"/>
        <v>2.5854590961623251E-3</v>
      </c>
      <c r="AS610" s="25"/>
      <c r="AT610" s="25"/>
      <c r="AU610" s="24"/>
      <c r="AV610" s="298">
        <f t="shared" si="519"/>
        <v>0.84242696628610936</v>
      </c>
      <c r="AW610" s="298"/>
      <c r="AX610" s="24">
        <f t="shared" si="520"/>
        <v>62731.722129783695</v>
      </c>
      <c r="AY610" s="308"/>
      <c r="BA610" s="65">
        <f t="shared" si="521"/>
        <v>1594643</v>
      </c>
      <c r="BB610" s="66"/>
      <c r="BC610" s="66">
        <v>716038600</v>
      </c>
      <c r="BD610" s="66"/>
      <c r="BE610" s="66">
        <f t="shared" si="522"/>
        <v>94376</v>
      </c>
      <c r="BF610" s="66"/>
      <c r="BG610" s="144">
        <f t="shared" si="523"/>
        <v>5.9183152592774686E-2</v>
      </c>
      <c r="BH610" s="66"/>
      <c r="BI610" s="170"/>
      <c r="BJ610" s="66"/>
      <c r="BK610" s="66"/>
      <c r="BL610" s="66"/>
      <c r="BM610" s="144"/>
      <c r="BN610" s="65">
        <f t="shared" si="524"/>
        <v>1191411.9800332778</v>
      </c>
      <c r="BO610" s="66"/>
      <c r="BP610" s="66">
        <f t="shared" si="525"/>
        <v>43846771</v>
      </c>
      <c r="BQ610" s="66"/>
      <c r="BR610" s="435">
        <f t="shared" si="526"/>
        <v>6.1235205755667363E-2</v>
      </c>
      <c r="BS610" s="66"/>
      <c r="BT610" s="75"/>
      <c r="BU610" s="170"/>
      <c r="BV610" s="1"/>
      <c r="BW610" s="61">
        <f t="shared" si="407"/>
        <v>601</v>
      </c>
    </row>
    <row r="611" spans="2:75" x14ac:dyDescent="0.3">
      <c r="B611" s="158">
        <f t="shared" si="457"/>
        <v>44511</v>
      </c>
      <c r="C611" s="61"/>
      <c r="D611" s="17">
        <v>43596</v>
      </c>
      <c r="E611" s="16"/>
      <c r="F611" s="16"/>
      <c r="G611" s="16"/>
      <c r="H611" s="16">
        <f t="shared" si="507"/>
        <v>44797345</v>
      </c>
      <c r="I611" s="16"/>
      <c r="J611" s="436">
        <f t="shared" si="508"/>
        <v>9.7413068120840557E-4</v>
      </c>
      <c r="K611" s="16"/>
      <c r="L611" s="16"/>
      <c r="M611" s="16"/>
      <c r="N611" s="16">
        <f t="shared" si="509"/>
        <v>405667</v>
      </c>
      <c r="O611" s="16">
        <f t="shared" si="510"/>
        <v>74414.194352159466</v>
      </c>
      <c r="P611" s="41"/>
      <c r="Q611" s="17">
        <f t="shared" si="511"/>
        <v>405667</v>
      </c>
      <c r="R611" s="16"/>
      <c r="S611" s="60">
        <f t="shared" si="512"/>
        <v>-3.1781719067360728E-2</v>
      </c>
      <c r="T611" s="16"/>
      <c r="U611" s="41"/>
      <c r="V611" s="10">
        <f t="shared" si="356"/>
        <v>503</v>
      </c>
      <c r="W611" s="34">
        <v>539</v>
      </c>
      <c r="X611" s="33">
        <v>4256</v>
      </c>
      <c r="Y611" s="33"/>
      <c r="Z611" s="33">
        <f t="shared" si="513"/>
        <v>4399</v>
      </c>
      <c r="AA611" s="33">
        <f t="shared" si="514"/>
        <v>719015</v>
      </c>
      <c r="AB611" s="33"/>
      <c r="AC611" s="46">
        <f t="shared" si="515"/>
        <v>1.6050393165041366E-2</v>
      </c>
      <c r="AD611" s="33"/>
      <c r="AE611" s="33">
        <f t="shared" si="516"/>
        <v>1194.3770764119602</v>
      </c>
      <c r="AF611" s="50"/>
      <c r="AG611" s="33"/>
      <c r="AH611" s="33"/>
      <c r="AI611" s="213"/>
      <c r="AJ611" s="50"/>
      <c r="AL611" s="23">
        <f t="shared" si="51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18"/>
        <v>7.3535018851239456E-4</v>
      </c>
      <c r="AS611" s="25"/>
      <c r="AT611" s="25"/>
      <c r="AU611" s="24"/>
      <c r="AV611" s="298">
        <f t="shared" si="519"/>
        <v>0.84222600692072269</v>
      </c>
      <c r="AW611" s="298"/>
      <c r="AX611" s="24">
        <f t="shared" si="520"/>
        <v>62673.569767441862</v>
      </c>
      <c r="AY611" s="308"/>
      <c r="BA611" s="65">
        <f t="shared" si="521"/>
        <v>657149</v>
      </c>
      <c r="BB611" s="66"/>
      <c r="BC611" s="66">
        <v>716695749</v>
      </c>
      <c r="BD611" s="66"/>
      <c r="BE611" s="66">
        <f t="shared" si="522"/>
        <v>43596</v>
      </c>
      <c r="BF611" s="66"/>
      <c r="BG611" s="144">
        <f t="shared" si="523"/>
        <v>6.6341118985192099E-2</v>
      </c>
      <c r="BH611" s="66"/>
      <c r="BI611" s="170"/>
      <c r="BJ611" s="66"/>
      <c r="BK611" s="66"/>
      <c r="BL611" s="66"/>
      <c r="BM611" s="144"/>
      <c r="BN611" s="65">
        <f t="shared" si="524"/>
        <v>1190524.5</v>
      </c>
      <c r="BO611" s="66"/>
      <c r="BP611" s="66">
        <f t="shared" si="525"/>
        <v>43890367</v>
      </c>
      <c r="BQ611" s="66"/>
      <c r="BR611" s="435">
        <f t="shared" si="526"/>
        <v>6.1239887443507078E-2</v>
      </c>
      <c r="BS611" s="66"/>
      <c r="BT611" s="75"/>
      <c r="BU611" s="170"/>
      <c r="BV611" s="1"/>
      <c r="BW611" s="61">
        <f t="shared" si="407"/>
        <v>602</v>
      </c>
    </row>
    <row r="612" spans="2:75" x14ac:dyDescent="0.3">
      <c r="B612" s="158">
        <f t="shared" si="457"/>
        <v>44512</v>
      </c>
      <c r="C612" s="61"/>
      <c r="D612" s="17">
        <v>90208</v>
      </c>
      <c r="E612" s="16"/>
      <c r="F612" s="16"/>
      <c r="G612" s="16"/>
      <c r="H612" s="16">
        <f t="shared" si="507"/>
        <v>44887553</v>
      </c>
      <c r="I612" s="16"/>
      <c r="J612" s="436">
        <f t="shared" si="508"/>
        <v>2.0136907667184295E-3</v>
      </c>
      <c r="K612" s="16"/>
      <c r="L612" s="16"/>
      <c r="M612" s="16"/>
      <c r="N612" s="16">
        <f t="shared" si="509"/>
        <v>411029</v>
      </c>
      <c r="O612" s="16">
        <f t="shared" si="510"/>
        <v>74440.386401326701</v>
      </c>
      <c r="P612" s="41"/>
      <c r="Q612" s="17">
        <f t="shared" si="511"/>
        <v>411029</v>
      </c>
      <c r="R612" s="16"/>
      <c r="S612" s="60">
        <f t="shared" si="512"/>
        <v>-2.9126511715797429E-2</v>
      </c>
      <c r="T612" s="16"/>
      <c r="U612" s="41"/>
      <c r="V612" s="10">
        <f t="shared" si="356"/>
        <v>504</v>
      </c>
      <c r="W612" s="34">
        <v>987</v>
      </c>
      <c r="X612" s="33">
        <v>4256</v>
      </c>
      <c r="Y612" s="33"/>
      <c r="Z612" s="33">
        <f t="shared" si="513"/>
        <v>4964</v>
      </c>
      <c r="AA612" s="33">
        <f t="shared" si="514"/>
        <v>720002</v>
      </c>
      <c r="AB612" s="33"/>
      <c r="AC612" s="46">
        <f t="shared" si="515"/>
        <v>1.6040125867409168E-2</v>
      </c>
      <c r="AD612" s="33"/>
      <c r="AE612" s="33">
        <f t="shared" si="516"/>
        <v>1194.0331674958541</v>
      </c>
      <c r="AF612" s="50"/>
      <c r="AG612" s="33"/>
      <c r="AH612" s="33"/>
      <c r="AI612" s="213"/>
      <c r="AJ612" s="50"/>
      <c r="AL612" s="23">
        <f t="shared" si="51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18"/>
        <v>3.0961458290622488E-3</v>
      </c>
      <c r="AS612" s="25"/>
      <c r="AT612" s="25"/>
      <c r="AU612" s="24"/>
      <c r="AV612" s="298">
        <f t="shared" si="519"/>
        <v>0.84313584658981078</v>
      </c>
      <c r="AW612" s="298"/>
      <c r="AX612" s="24">
        <f t="shared" si="520"/>
        <v>62763.358208955222</v>
      </c>
      <c r="AY612" s="308"/>
      <c r="BA612" s="65">
        <f t="shared" si="521"/>
        <v>2392195</v>
      </c>
      <c r="BB612" s="66"/>
      <c r="BC612" s="66">
        <v>719087944</v>
      </c>
      <c r="BD612" s="66"/>
      <c r="BE612" s="66">
        <f t="shared" si="522"/>
        <v>90208</v>
      </c>
      <c r="BF612" s="66"/>
      <c r="BG612" s="144">
        <f t="shared" si="523"/>
        <v>3.7709300454185385E-2</v>
      </c>
      <c r="BH612" s="66"/>
      <c r="BI612" s="170"/>
      <c r="BJ612" s="66"/>
      <c r="BK612" s="66"/>
      <c r="BL612" s="66"/>
      <c r="BM612" s="144"/>
      <c r="BN612" s="65">
        <f t="shared" si="524"/>
        <v>1192517.3200663349</v>
      </c>
      <c r="BO612" s="66"/>
      <c r="BP612" s="66">
        <f t="shared" si="525"/>
        <v>43980575</v>
      </c>
      <c r="BQ612" s="66"/>
      <c r="BR612" s="435">
        <f t="shared" si="526"/>
        <v>6.1161608071682534E-2</v>
      </c>
      <c r="BS612" s="66"/>
      <c r="BT612" s="75"/>
      <c r="BU612" s="170"/>
      <c r="BV612" s="1"/>
      <c r="BW612" s="61">
        <f t="shared" si="407"/>
        <v>603</v>
      </c>
    </row>
    <row r="613" spans="2:75" x14ac:dyDescent="0.3">
      <c r="B613" s="158">
        <f t="shared" si="457"/>
        <v>44513</v>
      </c>
      <c r="C613" s="61"/>
      <c r="D613" s="17">
        <v>41107</v>
      </c>
      <c r="E613" s="16"/>
      <c r="F613" s="16"/>
      <c r="G613" s="16"/>
      <c r="H613" s="16">
        <f t="shared" si="507"/>
        <v>44928660</v>
      </c>
      <c r="I613" s="16"/>
      <c r="J613" s="436">
        <f t="shared" si="508"/>
        <v>9.1577725344039139E-4</v>
      </c>
      <c r="K613" s="16"/>
      <c r="L613" s="16"/>
      <c r="M613" s="16"/>
      <c r="N613" s="16">
        <f t="shared" si="509"/>
        <v>419657</v>
      </c>
      <c r="O613" s="16">
        <f t="shared" si="510"/>
        <v>74385.198675496693</v>
      </c>
      <c r="P613" s="41"/>
      <c r="Q613" s="17">
        <f t="shared" si="511"/>
        <v>419657</v>
      </c>
      <c r="R613" s="16"/>
      <c r="S613" s="60">
        <f t="shared" si="512"/>
        <v>-1.2708823951498497E-2</v>
      </c>
      <c r="T613" s="16"/>
      <c r="U613" s="41"/>
      <c r="V613" s="10">
        <f t="shared" si="356"/>
        <v>505</v>
      </c>
      <c r="W613" s="34">
        <v>506</v>
      </c>
      <c r="X613" s="33">
        <v>4256</v>
      </c>
      <c r="Y613" s="33"/>
      <c r="Z613" s="33">
        <f t="shared" si="513"/>
        <v>5347</v>
      </c>
      <c r="AA613" s="33">
        <f t="shared" si="514"/>
        <v>720508</v>
      </c>
      <c r="AB613" s="33"/>
      <c r="AC613" s="46">
        <f t="shared" si="515"/>
        <v>1.6036712423651185E-2</v>
      </c>
      <c r="AD613" s="33"/>
      <c r="AE613" s="33">
        <f t="shared" si="516"/>
        <v>1192.8940397350993</v>
      </c>
      <c r="AF613" s="50"/>
      <c r="AG613" s="33"/>
      <c r="AH613" s="33"/>
      <c r="AI613" s="213"/>
      <c r="AJ613" s="50"/>
      <c r="AL613" s="23">
        <f t="shared" si="51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18"/>
        <v>1.3483482733651277E-3</v>
      </c>
      <c r="AS613" s="25"/>
      <c r="AT613" s="25"/>
      <c r="AU613" s="24"/>
      <c r="AV613" s="298">
        <f t="shared" si="519"/>
        <v>0.84350022902975519</v>
      </c>
      <c r="AW613" s="298"/>
      <c r="AX613" s="24">
        <f t="shared" si="520"/>
        <v>62743.932119205296</v>
      </c>
      <c r="AY613" s="308"/>
      <c r="BA613" s="65">
        <f t="shared" si="521"/>
        <v>1335550</v>
      </c>
      <c r="BB613" s="66"/>
      <c r="BC613" s="66">
        <v>720423494</v>
      </c>
      <c r="BD613" s="66"/>
      <c r="BE613" s="66">
        <f t="shared" si="522"/>
        <v>41107</v>
      </c>
      <c r="BF613" s="66"/>
      <c r="BG613" s="144">
        <f t="shared" si="523"/>
        <v>3.0779079779865971E-2</v>
      </c>
      <c r="BH613" s="66"/>
      <c r="BI613" s="170"/>
      <c r="BJ613" s="66"/>
      <c r="BK613" s="66"/>
      <c r="BL613" s="66"/>
      <c r="BM613" s="144"/>
      <c r="BN613" s="65">
        <f t="shared" si="524"/>
        <v>1192754.129139073</v>
      </c>
      <c r="BO613" s="66"/>
      <c r="BP613" s="66">
        <f t="shared" si="525"/>
        <v>44021682</v>
      </c>
      <c r="BQ613" s="66"/>
      <c r="BR613" s="435">
        <f t="shared" si="526"/>
        <v>6.1105283720799923E-2</v>
      </c>
      <c r="BS613" s="66"/>
      <c r="BT613" s="75"/>
      <c r="BU613" s="170"/>
      <c r="BV613" s="1"/>
      <c r="BW613" s="61">
        <f t="shared" si="407"/>
        <v>604</v>
      </c>
    </row>
    <row r="614" spans="2:75" x14ac:dyDescent="0.3">
      <c r="B614" s="347">
        <f t="shared" si="457"/>
        <v>44514</v>
      </c>
      <c r="C614" s="61"/>
      <c r="D614" s="17">
        <v>36669</v>
      </c>
      <c r="E614" s="16"/>
      <c r="F614" s="16"/>
      <c r="G614" s="16"/>
      <c r="H614" s="16">
        <f t="shared" si="507"/>
        <v>44965329</v>
      </c>
      <c r="I614" s="16"/>
      <c r="J614" s="436">
        <f t="shared" si="508"/>
        <v>8.1616055319700168E-4</v>
      </c>
      <c r="K614" s="16"/>
      <c r="L614" s="16"/>
      <c r="M614" s="16"/>
      <c r="N614" s="16">
        <f t="shared" si="509"/>
        <v>433161</v>
      </c>
      <c r="O614" s="16">
        <f t="shared" si="510"/>
        <v>74322.857851239663</v>
      </c>
      <c r="P614" s="41"/>
      <c r="Q614" s="17">
        <f t="shared" si="511"/>
        <v>433161</v>
      </c>
      <c r="R614" s="16"/>
      <c r="S614" s="60">
        <f t="shared" si="512"/>
        <v>1.1469962568505706E-2</v>
      </c>
      <c r="T614" s="16"/>
      <c r="U614" s="41"/>
      <c r="V614" s="10">
        <f t="shared" si="356"/>
        <v>506</v>
      </c>
      <c r="W614" s="34">
        <v>243</v>
      </c>
      <c r="X614" s="33">
        <v>4256</v>
      </c>
      <c r="Y614" s="33"/>
      <c r="Z614" s="33">
        <f t="shared" si="513"/>
        <v>5107</v>
      </c>
      <c r="AA614" s="33">
        <f t="shared" si="514"/>
        <v>720751</v>
      </c>
      <c r="AB614" s="33"/>
      <c r="AC614" s="46">
        <f t="shared" si="515"/>
        <v>1.6029038728928236E-2</v>
      </c>
      <c r="AD614" s="33"/>
      <c r="AE614" s="33">
        <f t="shared" si="516"/>
        <v>1191.3239669421487</v>
      </c>
      <c r="AF614" s="50"/>
      <c r="AG614" s="33"/>
      <c r="AH614" s="33"/>
      <c r="AI614" s="213"/>
      <c r="AJ614" s="50"/>
      <c r="AL614" s="23">
        <f t="shared" si="51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18"/>
        <v>1.2228564356834063E-3</v>
      </c>
      <c r="AS614" s="25"/>
      <c r="AT614" s="25"/>
      <c r="AU614" s="24"/>
      <c r="AV614" s="298">
        <f t="shared" si="519"/>
        <v>0.84384299734579948</v>
      </c>
      <c r="AW614" s="298"/>
      <c r="AX614" s="24">
        <f t="shared" si="520"/>
        <v>62716.823140495864</v>
      </c>
      <c r="AY614" s="308"/>
      <c r="BA614" s="65">
        <f t="shared" si="521"/>
        <v>762810</v>
      </c>
      <c r="BB614" s="66"/>
      <c r="BC614" s="66">
        <v>721186304</v>
      </c>
      <c r="BD614" s="66"/>
      <c r="BE614" s="66">
        <f t="shared" si="522"/>
        <v>36669</v>
      </c>
      <c r="BF614" s="66"/>
      <c r="BG614" s="144">
        <f t="shared" si="523"/>
        <v>4.8070948204664336E-2</v>
      </c>
      <c r="BH614" s="66"/>
      <c r="BI614" s="170"/>
      <c r="BJ614" s="66"/>
      <c r="BK614" s="66"/>
      <c r="BL614" s="66"/>
      <c r="BM614" s="144"/>
      <c r="BN614" s="65">
        <f t="shared" si="524"/>
        <v>1192043.4776859505</v>
      </c>
      <c r="BO614" s="66"/>
      <c r="BP614" s="66">
        <f t="shared" si="525"/>
        <v>44058351</v>
      </c>
      <c r="BQ614" s="66"/>
      <c r="BR614" s="435">
        <f t="shared" si="526"/>
        <v>6.109149710086563E-2</v>
      </c>
      <c r="BS614" s="66"/>
      <c r="BT614" s="75"/>
      <c r="BU614" s="170"/>
      <c r="BV614" s="1"/>
      <c r="BW614" s="61">
        <f t="shared" si="407"/>
        <v>605</v>
      </c>
    </row>
    <row r="615" spans="2:75" x14ac:dyDescent="0.3">
      <c r="B615" s="158">
        <f t="shared" si="457"/>
        <v>44515</v>
      </c>
      <c r="C615" s="61"/>
      <c r="D615" s="17">
        <v>70823</v>
      </c>
      <c r="E615" s="16"/>
      <c r="F615" s="16"/>
      <c r="G615" s="16"/>
      <c r="H615" s="16">
        <f t="shared" si="507"/>
        <v>45036152</v>
      </c>
      <c r="I615" s="16"/>
      <c r="J615" s="436">
        <f t="shared" si="508"/>
        <v>1.575057974111565E-3</v>
      </c>
      <c r="K615" s="16"/>
      <c r="L615" s="16"/>
      <c r="M615" s="16"/>
      <c r="N615" s="16">
        <f t="shared" si="509"/>
        <v>449137</v>
      </c>
      <c r="O615" s="16">
        <f t="shared" si="510"/>
        <v>74317.082508250824</v>
      </c>
      <c r="P615" s="41"/>
      <c r="Q615" s="17">
        <f t="shared" si="511"/>
        <v>449137</v>
      </c>
      <c r="R615" s="16"/>
      <c r="S615" s="60">
        <f t="shared" si="512"/>
        <v>4.8075419744011576E-2</v>
      </c>
      <c r="T615" s="16"/>
      <c r="U615" s="41"/>
      <c r="V615" s="10">
        <f t="shared" si="356"/>
        <v>507</v>
      </c>
      <c r="W615" s="34">
        <v>510</v>
      </c>
      <c r="X615" s="33">
        <v>4256</v>
      </c>
      <c r="Y615" s="33"/>
      <c r="Z615" s="33">
        <f t="shared" si="513"/>
        <v>4278</v>
      </c>
      <c r="AA615" s="33">
        <f t="shared" si="514"/>
        <v>721261</v>
      </c>
      <c r="AB615" s="33"/>
      <c r="AC615" s="46">
        <f t="shared" si="515"/>
        <v>1.6015156001782747E-2</v>
      </c>
      <c r="AD615" s="33"/>
      <c r="AE615" s="33">
        <f t="shared" si="516"/>
        <v>1190.1996699669967</v>
      </c>
      <c r="AF615" s="50"/>
      <c r="AG615" s="33"/>
      <c r="AH615" s="33"/>
      <c r="AI615" s="213"/>
      <c r="AJ615" s="50"/>
      <c r="AL615" s="23">
        <f t="shared" si="51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18"/>
        <v>2.8155151432604926E-3</v>
      </c>
      <c r="AS615" s="25"/>
      <c r="AT615" s="25"/>
      <c r="AU615" s="24"/>
      <c r="AV615" s="298">
        <f t="shared" si="519"/>
        <v>0.84488810234053746</v>
      </c>
      <c r="AW615" s="298"/>
      <c r="AX615" s="24">
        <f t="shared" si="520"/>
        <v>62789.618811881192</v>
      </c>
      <c r="AY615" s="308"/>
      <c r="BA615" s="65">
        <f t="shared" si="521"/>
        <v>2805699</v>
      </c>
      <c r="BB615" s="66"/>
      <c r="BC615" s="66">
        <v>723992003</v>
      </c>
      <c r="BD615" s="66"/>
      <c r="BE615" s="66">
        <f t="shared" si="522"/>
        <v>70823</v>
      </c>
      <c r="BF615" s="66"/>
      <c r="BG615" s="144">
        <f t="shared" si="523"/>
        <v>2.5242550965017988E-2</v>
      </c>
      <c r="BH615" s="66"/>
      <c r="BI615" s="170"/>
      <c r="BJ615" s="66"/>
      <c r="BK615" s="66"/>
      <c r="BL615" s="66"/>
      <c r="BM615" s="144"/>
      <c r="BN615" s="65">
        <f t="shared" si="524"/>
        <v>1194706.2755775577</v>
      </c>
      <c r="BO615" s="66"/>
      <c r="BP615" s="66">
        <f t="shared" si="525"/>
        <v>44129174</v>
      </c>
      <c r="BQ615" s="66"/>
      <c r="BR615" s="435">
        <f t="shared" si="526"/>
        <v>6.0952571046561682E-2</v>
      </c>
      <c r="BS615" s="66"/>
      <c r="BT615" s="75"/>
      <c r="BU615" s="170"/>
      <c r="BV615" s="1"/>
      <c r="BW615" s="61">
        <f t="shared" si="407"/>
        <v>606</v>
      </c>
    </row>
    <row r="616" spans="2:75" x14ac:dyDescent="0.3">
      <c r="B616" s="158">
        <f t="shared" si="457"/>
        <v>44516</v>
      </c>
      <c r="C616" s="61"/>
      <c r="D616" s="17">
        <v>97632</v>
      </c>
      <c r="E616" s="16"/>
      <c r="F616" s="16"/>
      <c r="G616" s="16"/>
      <c r="H616" s="16">
        <f t="shared" ref="H616:H647" si="527">+H615+D616</f>
        <v>45133784</v>
      </c>
      <c r="I616" s="16"/>
      <c r="J616" s="436">
        <f t="shared" ref="J616:J647" si="528">+D616/H615</f>
        <v>2.1678583907435074E-3</v>
      </c>
      <c r="K616" s="16"/>
      <c r="L616" s="16"/>
      <c r="M616" s="16"/>
      <c r="N616" s="16">
        <f t="shared" ref="N616:N647" si="529">SUM(D610:D616)</f>
        <v>474411</v>
      </c>
      <c r="O616" s="16">
        <f t="shared" ref="O616:O647" si="530">+H616/BW616</f>
        <v>74355.492586490946</v>
      </c>
      <c r="P616" s="41"/>
      <c r="Q616" s="17">
        <f t="shared" ref="Q616:Q647" si="531">SUM(D610:D616)</f>
        <v>474411</v>
      </c>
      <c r="R616" s="16"/>
      <c r="S616" s="60">
        <f t="shared" ref="S616:S647" si="532">+(Q616-Q609)/Q609</f>
        <v>0.11792622894805675</v>
      </c>
      <c r="T616" s="16"/>
      <c r="U616" s="41"/>
      <c r="V616" s="10">
        <f t="shared" si="356"/>
        <v>508</v>
      </c>
      <c r="W616" s="34">
        <v>1432</v>
      </c>
      <c r="X616" s="33">
        <v>4256</v>
      </c>
      <c r="Y616" s="33"/>
      <c r="Z616" s="33">
        <f t="shared" ref="Z616:Z647" si="533">SUM(W611:W616)</f>
        <v>4217</v>
      </c>
      <c r="AA616" s="33">
        <f t="shared" ref="AA616:AA647" si="534">+AA615+W616</f>
        <v>722693</v>
      </c>
      <c r="AB616" s="33"/>
      <c r="AC616" s="46">
        <f t="shared" ref="AC616:AC647" si="535">+AA616/H616</f>
        <v>1.6012240409534462E-2</v>
      </c>
      <c r="AD616" s="33"/>
      <c r="AE616" s="33">
        <f t="shared" ref="AE616:AE647" si="536">+AA616/BW616</f>
        <v>1190.5980230642504</v>
      </c>
      <c r="AF616" s="50"/>
      <c r="AG616" s="33"/>
      <c r="AH616" s="33"/>
      <c r="AI616" s="213"/>
      <c r="AJ616" s="50"/>
      <c r="AL616" s="23">
        <f t="shared" ref="AL616:AL647" si="53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38">+AL616/AP615</f>
        <v>2.3500079854385128E-3</v>
      </c>
      <c r="AS616" s="25"/>
      <c r="AT616" s="25"/>
      <c r="AU616" s="24"/>
      <c r="AV616" s="298">
        <f t="shared" ref="AV616:AV647" si="539">+AP616/H616</f>
        <v>0.84504166546283821</v>
      </c>
      <c r="AW616" s="298"/>
      <c r="AX616" s="24">
        <f t="shared" ref="AX616:AX647" si="540">+AP616/BW616</f>
        <v>62833.489291598024</v>
      </c>
      <c r="AY616" s="308"/>
      <c r="BA616" s="65">
        <f t="shared" ref="BA616:BA647" si="541">+BC616-BC615</f>
        <v>1360984</v>
      </c>
      <c r="BB616" s="66"/>
      <c r="BC616" s="66">
        <v>725352987</v>
      </c>
      <c r="BD616" s="66"/>
      <c r="BE616" s="66">
        <f t="shared" ref="BE616:BE647" si="542">+D616</f>
        <v>97632</v>
      </c>
      <c r="BF616" s="66"/>
      <c r="BG616" s="144">
        <f t="shared" ref="BG616:BG647" si="54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44">+BC616/BW616</f>
        <v>1194980.2092257002</v>
      </c>
      <c r="BO616" s="66"/>
      <c r="BP616" s="66">
        <f t="shared" ref="BP616:BP647" si="545">+BP615+BE616</f>
        <v>44226806</v>
      </c>
      <c r="BQ616" s="66"/>
      <c r="BR616" s="435">
        <f t="shared" ref="BR616:BR647" si="546">+BP616/BC616</f>
        <v>6.0972804679440849E-2</v>
      </c>
      <c r="BS616" s="66"/>
      <c r="BT616" s="75"/>
      <c r="BU616" s="170"/>
      <c r="BV616" s="1"/>
      <c r="BW616" s="61">
        <f t="shared" si="407"/>
        <v>607</v>
      </c>
    </row>
    <row r="617" spans="2:75" x14ac:dyDescent="0.3">
      <c r="B617" s="158">
        <f t="shared" si="457"/>
        <v>44517</v>
      </c>
      <c r="C617" s="61"/>
      <c r="D617" s="17">
        <v>104702</v>
      </c>
      <c r="E617" s="16"/>
      <c r="F617" s="16"/>
      <c r="G617" s="16"/>
      <c r="H617" s="16">
        <f t="shared" si="527"/>
        <v>45238486</v>
      </c>
      <c r="I617" s="16"/>
      <c r="J617" s="436">
        <f t="shared" si="528"/>
        <v>2.3198143545863558E-3</v>
      </c>
      <c r="K617" s="16"/>
      <c r="L617" s="16"/>
      <c r="M617" s="16"/>
      <c r="N617" s="16">
        <f t="shared" si="529"/>
        <v>484737</v>
      </c>
      <c r="O617" s="16">
        <f t="shared" si="530"/>
        <v>74405.40460526316</v>
      </c>
      <c r="P617" s="41"/>
      <c r="Q617" s="17">
        <f t="shared" si="531"/>
        <v>484737</v>
      </c>
      <c r="R617" s="16"/>
      <c r="S617" s="60">
        <f t="shared" si="532"/>
        <v>9.3957626200621078E-2</v>
      </c>
      <c r="T617" s="16"/>
      <c r="U617" s="41"/>
      <c r="V617" s="10">
        <f t="shared" si="356"/>
        <v>509</v>
      </c>
      <c r="W617" s="34">
        <v>1416</v>
      </c>
      <c r="X617" s="33">
        <v>4256</v>
      </c>
      <c r="Y617" s="33"/>
      <c r="Z617" s="33">
        <f t="shared" si="533"/>
        <v>5094</v>
      </c>
      <c r="AA617" s="33">
        <f t="shared" si="534"/>
        <v>724109</v>
      </c>
      <c r="AB617" s="33"/>
      <c r="AC617" s="46">
        <f t="shared" si="535"/>
        <v>1.6006481737695644E-2</v>
      </c>
      <c r="AD617" s="33"/>
      <c r="AE617" s="33">
        <f t="shared" si="536"/>
        <v>1190.96875</v>
      </c>
      <c r="AF617" s="50"/>
      <c r="AG617" s="33"/>
      <c r="AH617" s="33"/>
      <c r="AI617" s="213"/>
      <c r="AJ617" s="50"/>
      <c r="AL617" s="23">
        <f t="shared" si="53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38"/>
        <v>3.1687527045148067E-3</v>
      </c>
      <c r="AS617" s="25"/>
      <c r="AT617" s="25"/>
      <c r="AU617" s="24"/>
      <c r="AV617" s="298">
        <f t="shared" si="539"/>
        <v>0.84575739338403144</v>
      </c>
      <c r="AW617" s="298"/>
      <c r="AX617" s="24">
        <f t="shared" si="540"/>
        <v>62928.92105263158</v>
      </c>
      <c r="AY617" s="308"/>
      <c r="BA617" s="65">
        <f t="shared" si="541"/>
        <v>1683829</v>
      </c>
      <c r="BB617" s="66"/>
      <c r="BC617" s="66">
        <v>727036816</v>
      </c>
      <c r="BD617" s="66"/>
      <c r="BE617" s="66">
        <f t="shared" si="542"/>
        <v>104702</v>
      </c>
      <c r="BF617" s="66"/>
      <c r="BG617" s="144">
        <f t="shared" si="543"/>
        <v>6.2180898416644446E-2</v>
      </c>
      <c r="BH617" s="66"/>
      <c r="BI617" s="170"/>
      <c r="BJ617" s="66"/>
      <c r="BK617" s="66"/>
      <c r="BL617" s="66"/>
      <c r="BM617" s="144"/>
      <c r="BN617" s="65">
        <f t="shared" si="544"/>
        <v>1195784.2368421052</v>
      </c>
      <c r="BO617" s="66"/>
      <c r="BP617" s="66">
        <f t="shared" si="545"/>
        <v>44331508</v>
      </c>
      <c r="BQ617" s="66"/>
      <c r="BR617" s="435">
        <f t="shared" si="546"/>
        <v>6.0975602644034468E-2</v>
      </c>
      <c r="BS617" s="66"/>
      <c r="BT617" s="75"/>
      <c r="BU617" s="170"/>
      <c r="BV617" s="1"/>
      <c r="BW617" s="61">
        <f t="shared" si="407"/>
        <v>608</v>
      </c>
    </row>
    <row r="618" spans="2:75" x14ac:dyDescent="0.3">
      <c r="B618" s="158">
        <f t="shared" si="457"/>
        <v>44518</v>
      </c>
      <c r="C618" s="61"/>
      <c r="D618" s="17">
        <v>99146</v>
      </c>
      <c r="E618" s="16"/>
      <c r="F618" s="16"/>
      <c r="G618" s="16"/>
      <c r="H618" s="16">
        <f t="shared" si="527"/>
        <v>45337632</v>
      </c>
      <c r="I618" s="16"/>
      <c r="J618" s="436">
        <f t="shared" si="528"/>
        <v>2.1916294899877948E-3</v>
      </c>
      <c r="K618" s="16"/>
      <c r="L618" s="16"/>
      <c r="M618" s="16"/>
      <c r="N618" s="16">
        <f t="shared" si="529"/>
        <v>540287</v>
      </c>
      <c r="O618" s="16">
        <f t="shared" si="530"/>
        <v>74446.029556650246</v>
      </c>
      <c r="P618" s="41"/>
      <c r="Q618" s="17">
        <f t="shared" si="531"/>
        <v>540287</v>
      </c>
      <c r="R618" s="16"/>
      <c r="S618" s="60">
        <f t="shared" si="532"/>
        <v>0.33184853586808888</v>
      </c>
      <c r="T618" s="16"/>
      <c r="U618" s="41"/>
      <c r="V618" s="10">
        <f t="shared" si="356"/>
        <v>510</v>
      </c>
      <c r="W618" s="34">
        <v>1147</v>
      </c>
      <c r="X618" s="33">
        <v>4256</v>
      </c>
      <c r="Y618" s="33"/>
      <c r="Z618" s="33">
        <f t="shared" si="533"/>
        <v>5254</v>
      </c>
      <c r="AA618" s="33">
        <f t="shared" si="534"/>
        <v>725256</v>
      </c>
      <c r="AB618" s="33"/>
      <c r="AC618" s="46">
        <f t="shared" si="535"/>
        <v>1.5996777246769307E-2</v>
      </c>
      <c r="AD618" s="33"/>
      <c r="AE618" s="33">
        <f t="shared" si="536"/>
        <v>1190.8965517241379</v>
      </c>
      <c r="AF618" s="50"/>
      <c r="AG618" s="33"/>
      <c r="AH618" s="33"/>
      <c r="AI618" s="213"/>
      <c r="AJ618" s="50"/>
      <c r="AL618" s="23">
        <f t="shared" si="53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38"/>
        <v>1.8109665499797391E-3</v>
      </c>
      <c r="AS618" s="25"/>
      <c r="AT618" s="25"/>
      <c r="AU618" s="24"/>
      <c r="AV618" s="298">
        <f t="shared" si="539"/>
        <v>0.84543614893693608</v>
      </c>
      <c r="AW618" s="298"/>
      <c r="AX618" s="24">
        <f t="shared" si="540"/>
        <v>62939.364532019703</v>
      </c>
      <c r="AY618" s="308"/>
      <c r="BA618" s="65">
        <f t="shared" si="541"/>
        <v>1787123</v>
      </c>
      <c r="BB618" s="66"/>
      <c r="BC618" s="66">
        <v>728823939</v>
      </c>
      <c r="BD618" s="66"/>
      <c r="BE618" s="66">
        <f t="shared" si="542"/>
        <v>99146</v>
      </c>
      <c r="BF618" s="66"/>
      <c r="BG618" s="144">
        <f t="shared" si="543"/>
        <v>5.5477994519683313E-2</v>
      </c>
      <c r="BH618" s="66"/>
      <c r="BI618" s="170"/>
      <c r="BJ618" s="66"/>
      <c r="BK618" s="66"/>
      <c r="BL618" s="66"/>
      <c r="BM618" s="144"/>
      <c r="BN618" s="65">
        <f t="shared" si="544"/>
        <v>1196755.2364532019</v>
      </c>
      <c r="BO618" s="66"/>
      <c r="BP618" s="66">
        <f t="shared" si="545"/>
        <v>44430654</v>
      </c>
      <c r="BQ618" s="66"/>
      <c r="BR618" s="435">
        <f t="shared" si="546"/>
        <v>6.0962122156637891E-2</v>
      </c>
      <c r="BS618" s="66"/>
      <c r="BT618" s="75"/>
      <c r="BU618" s="170"/>
      <c r="BV618" s="1"/>
      <c r="BW618" s="61">
        <f t="shared" si="407"/>
        <v>609</v>
      </c>
    </row>
    <row r="619" spans="2:75" x14ac:dyDescent="0.3">
      <c r="B619" s="158">
        <f t="shared" si="457"/>
        <v>44519</v>
      </c>
      <c r="C619" s="61"/>
      <c r="D619" s="17">
        <v>111829</v>
      </c>
      <c r="E619" s="16"/>
      <c r="F619" s="16"/>
      <c r="G619" s="16"/>
      <c r="H619" s="16">
        <f t="shared" si="527"/>
        <v>45449461</v>
      </c>
      <c r="I619" s="16"/>
      <c r="J619" s="436">
        <f t="shared" si="528"/>
        <v>2.4665822864326043E-3</v>
      </c>
      <c r="K619" s="16"/>
      <c r="L619" s="16"/>
      <c r="M619" s="16"/>
      <c r="N619" s="16">
        <f t="shared" si="529"/>
        <v>561908</v>
      </c>
      <c r="O619" s="16">
        <f t="shared" si="530"/>
        <v>74507.313114754099</v>
      </c>
      <c r="P619" s="41"/>
      <c r="Q619" s="17">
        <f t="shared" si="531"/>
        <v>561908</v>
      </c>
      <c r="R619" s="16"/>
      <c r="S619" s="60">
        <f t="shared" si="532"/>
        <v>0.36707628902096934</v>
      </c>
      <c r="T619" s="16"/>
      <c r="U619" s="41"/>
      <c r="V619" s="10">
        <f t="shared" si="356"/>
        <v>511</v>
      </c>
      <c r="W619" s="34">
        <v>1332</v>
      </c>
      <c r="X619" s="33">
        <v>4256</v>
      </c>
      <c r="Y619" s="33"/>
      <c r="Z619" s="33">
        <f t="shared" si="533"/>
        <v>6080</v>
      </c>
      <c r="AA619" s="33">
        <f t="shared" si="534"/>
        <v>726588</v>
      </c>
      <c r="AB619" s="33"/>
      <c r="AC619" s="46">
        <f t="shared" si="535"/>
        <v>1.5986724243000374E-2</v>
      </c>
      <c r="AD619" s="33"/>
      <c r="AE619" s="33">
        <f t="shared" si="536"/>
        <v>1191.127868852459</v>
      </c>
      <c r="AF619" s="50"/>
      <c r="AG619" s="33"/>
      <c r="AH619" s="33"/>
      <c r="AI619" s="213"/>
      <c r="AJ619" s="50"/>
      <c r="AL619" s="23">
        <f t="shared" si="53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38"/>
        <v>2.1846031965553521E-3</v>
      </c>
      <c r="AS619" s="25"/>
      <c r="AT619" s="25"/>
      <c r="AU619" s="24"/>
      <c r="AV619" s="298">
        <f t="shared" si="539"/>
        <v>0.84519834019593765</v>
      </c>
      <c r="AW619" s="298"/>
      <c r="AX619" s="24">
        <f t="shared" si="540"/>
        <v>62973.457377049177</v>
      </c>
      <c r="AY619" s="308"/>
      <c r="BA619" s="65">
        <f t="shared" si="541"/>
        <v>1974410</v>
      </c>
      <c r="BB619" s="66"/>
      <c r="BC619" s="66">
        <v>730798349</v>
      </c>
      <c r="BD619" s="66"/>
      <c r="BE619" s="66">
        <f t="shared" si="542"/>
        <v>111829</v>
      </c>
      <c r="BF619" s="66"/>
      <c r="BG619" s="144">
        <f t="shared" si="543"/>
        <v>5.6639198545388243E-2</v>
      </c>
      <c r="BH619" s="66"/>
      <c r="BI619" s="170"/>
      <c r="BJ619" s="66"/>
      <c r="BK619" s="66"/>
      <c r="BL619" s="66"/>
      <c r="BM619" s="144"/>
      <c r="BN619" s="65">
        <f t="shared" si="544"/>
        <v>1198030.0803278689</v>
      </c>
      <c r="BO619" s="66"/>
      <c r="BP619" s="66">
        <f t="shared" si="545"/>
        <v>44542483</v>
      </c>
      <c r="BQ619" s="66"/>
      <c r="BR619" s="435">
        <f t="shared" si="546"/>
        <v>6.0950442842338713E-2</v>
      </c>
      <c r="BS619" s="66"/>
      <c r="BT619" s="75"/>
      <c r="BU619" s="170"/>
      <c r="BV619" s="1"/>
      <c r="BW619" s="61">
        <f t="shared" si="407"/>
        <v>610</v>
      </c>
    </row>
    <row r="620" spans="2:75" x14ac:dyDescent="0.3">
      <c r="B620" s="158">
        <f t="shared" si="457"/>
        <v>44520</v>
      </c>
      <c r="C620" s="61"/>
      <c r="D620" s="17">
        <v>36633</v>
      </c>
      <c r="E620" s="16"/>
      <c r="F620" s="16"/>
      <c r="G620" s="16"/>
      <c r="H620" s="16">
        <f t="shared" si="527"/>
        <v>45486094</v>
      </c>
      <c r="I620" s="16"/>
      <c r="J620" s="436">
        <f t="shared" si="528"/>
        <v>8.0601615935555317E-4</v>
      </c>
      <c r="K620" s="16"/>
      <c r="L620" s="16"/>
      <c r="M620" s="16"/>
      <c r="N620" s="16">
        <f t="shared" si="529"/>
        <v>557434</v>
      </c>
      <c r="O620" s="16">
        <f t="shared" si="530"/>
        <v>74445.325695581021</v>
      </c>
      <c r="P620" s="41"/>
      <c r="Q620" s="17">
        <f t="shared" si="531"/>
        <v>557434</v>
      </c>
      <c r="R620" s="16"/>
      <c r="S620" s="60">
        <f t="shared" si="532"/>
        <v>0.32830859487629183</v>
      </c>
      <c r="T620" s="16"/>
      <c r="U620" s="41"/>
      <c r="V620" s="10">
        <f t="shared" si="356"/>
        <v>512</v>
      </c>
      <c r="W620" s="34">
        <v>404</v>
      </c>
      <c r="X620" s="33">
        <v>4256</v>
      </c>
      <c r="Y620" s="33"/>
      <c r="Z620" s="33">
        <f t="shared" si="533"/>
        <v>6241</v>
      </c>
      <c r="AA620" s="33">
        <f t="shared" si="534"/>
        <v>726992</v>
      </c>
      <c r="AB620" s="33"/>
      <c r="AC620" s="46">
        <f t="shared" si="535"/>
        <v>1.5982730897931136E-2</v>
      </c>
      <c r="AD620" s="33"/>
      <c r="AE620" s="33">
        <f t="shared" si="536"/>
        <v>1189.8396072013093</v>
      </c>
      <c r="AF620" s="50"/>
      <c r="AG620" s="33"/>
      <c r="AH620" s="33"/>
      <c r="AI620" s="213"/>
      <c r="AJ620" s="50"/>
      <c r="AL620" s="23">
        <f t="shared" si="53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38"/>
        <v>6.260509078909618E-4</v>
      </c>
      <c r="AS620" s="25"/>
      <c r="AT620" s="25"/>
      <c r="AU620" s="24"/>
      <c r="AV620" s="298">
        <f t="shared" si="539"/>
        <v>0.84504635636553005</v>
      </c>
      <c r="AW620" s="298"/>
      <c r="AX620" s="24">
        <f t="shared" si="540"/>
        <v>62909.751227495908</v>
      </c>
      <c r="AY620" s="308"/>
      <c r="BA620" s="65">
        <f t="shared" si="541"/>
        <v>8505093</v>
      </c>
      <c r="BB620" s="66"/>
      <c r="BC620" s="66">
        <v>739303442</v>
      </c>
      <c r="BD620" s="66"/>
      <c r="BE620" s="66">
        <f t="shared" si="542"/>
        <v>36633</v>
      </c>
      <c r="BF620" s="66"/>
      <c r="BG620" s="144">
        <f t="shared" si="543"/>
        <v>4.3071839426094462E-3</v>
      </c>
      <c r="BH620" s="66"/>
      <c r="BI620" s="170"/>
      <c r="BJ620" s="66"/>
      <c r="BK620" s="66"/>
      <c r="BL620" s="66"/>
      <c r="BM620" s="144"/>
      <c r="BN620" s="65">
        <f t="shared" si="544"/>
        <v>1209989.2667757773</v>
      </c>
      <c r="BO620" s="66"/>
      <c r="BP620" s="66">
        <f t="shared" si="545"/>
        <v>44579116</v>
      </c>
      <c r="BQ620" s="66"/>
      <c r="BR620" s="435">
        <f t="shared" si="546"/>
        <v>6.0298807590293893E-2</v>
      </c>
      <c r="BS620" s="66"/>
      <c r="BT620" s="75"/>
      <c r="BU620" s="170"/>
      <c r="BV620" s="1"/>
      <c r="BW620" s="61">
        <f t="shared" si="407"/>
        <v>611</v>
      </c>
    </row>
    <row r="621" spans="2:75" x14ac:dyDescent="0.3">
      <c r="B621" s="347">
        <f t="shared" si="457"/>
        <v>44521</v>
      </c>
      <c r="C621" s="61"/>
      <c r="D621" s="17">
        <v>37188</v>
      </c>
      <c r="E621" s="16"/>
      <c r="F621" s="16"/>
      <c r="G621" s="16"/>
      <c r="H621" s="16">
        <f t="shared" si="527"/>
        <v>45523282</v>
      </c>
      <c r="I621" s="16"/>
      <c r="J621" s="436">
        <f t="shared" si="528"/>
        <v>8.1756855183036815E-4</v>
      </c>
      <c r="K621" s="16"/>
      <c r="L621" s="16"/>
      <c r="M621" s="16"/>
      <c r="N621" s="16">
        <f t="shared" si="529"/>
        <v>557953</v>
      </c>
      <c r="O621" s="16">
        <f t="shared" si="530"/>
        <v>74384.447712418303</v>
      </c>
      <c r="P621" s="41"/>
      <c r="Q621" s="17">
        <f t="shared" si="531"/>
        <v>557953</v>
      </c>
      <c r="R621" s="16"/>
      <c r="S621" s="60">
        <f t="shared" si="532"/>
        <v>0.28809611206918445</v>
      </c>
      <c r="T621" s="16"/>
      <c r="U621" s="41"/>
      <c r="V621" s="10">
        <f t="shared" si="356"/>
        <v>513</v>
      </c>
      <c r="W621" s="34">
        <v>157</v>
      </c>
      <c r="X621" s="33">
        <v>4256</v>
      </c>
      <c r="Y621" s="33"/>
      <c r="Z621" s="33">
        <f t="shared" si="533"/>
        <v>5888</v>
      </c>
      <c r="AA621" s="33">
        <f t="shared" si="534"/>
        <v>727149</v>
      </c>
      <c r="AB621" s="33"/>
      <c r="AC621" s="46">
        <f t="shared" si="535"/>
        <v>1.5973123378933883E-2</v>
      </c>
      <c r="AD621" s="33"/>
      <c r="AE621" s="33">
        <f t="shared" si="536"/>
        <v>1188.1519607843138</v>
      </c>
      <c r="AF621" s="50"/>
      <c r="AG621" s="33"/>
      <c r="AH621" s="33"/>
      <c r="AI621" s="213"/>
      <c r="AJ621" s="50"/>
      <c r="AL621" s="23">
        <f t="shared" si="53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38"/>
        <v>9.8236483416947948E-4</v>
      </c>
      <c r="AS621" s="25"/>
      <c r="AT621" s="25"/>
      <c r="AU621" s="24"/>
      <c r="AV621" s="298">
        <f t="shared" si="539"/>
        <v>0.84518550310146789</v>
      </c>
      <c r="AW621" s="298"/>
      <c r="AX621" s="24">
        <f t="shared" si="540"/>
        <v>62868.656862745098</v>
      </c>
      <c r="AY621" s="308"/>
      <c r="BA621" s="65">
        <f t="shared" si="541"/>
        <v>917275</v>
      </c>
      <c r="BB621" s="66"/>
      <c r="BC621" s="66">
        <v>740220717</v>
      </c>
      <c r="BD621" s="66"/>
      <c r="BE621" s="66">
        <f t="shared" si="542"/>
        <v>37188</v>
      </c>
      <c r="BF621" s="66"/>
      <c r="BG621" s="144">
        <f t="shared" si="543"/>
        <v>4.0541822245237252E-2</v>
      </c>
      <c r="BH621" s="66"/>
      <c r="BI621" s="170"/>
      <c r="BJ621" s="66"/>
      <c r="BK621" s="66"/>
      <c r="BL621" s="66"/>
      <c r="BM621" s="144"/>
      <c r="BN621" s="65">
        <f t="shared" si="544"/>
        <v>1209510.9754901961</v>
      </c>
      <c r="BO621" s="66"/>
      <c r="BP621" s="66">
        <f t="shared" si="545"/>
        <v>44616304</v>
      </c>
      <c r="BQ621" s="66"/>
      <c r="BR621" s="435">
        <f t="shared" si="546"/>
        <v>6.0274324907877444E-2</v>
      </c>
      <c r="BS621" s="66"/>
      <c r="BT621" s="75"/>
      <c r="BU621" s="170"/>
      <c r="BV621" s="1"/>
      <c r="BW621" s="61">
        <f t="shared" si="407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27"/>
        <v>45597438</v>
      </c>
      <c r="I622" s="16"/>
      <c r="J622" s="436">
        <f t="shared" si="528"/>
        <v>1.6289686670657884E-3</v>
      </c>
      <c r="K622" s="16"/>
      <c r="L622" s="16"/>
      <c r="M622" s="16"/>
      <c r="N622" s="16">
        <f t="shared" si="529"/>
        <v>561286</v>
      </c>
      <c r="O622" s="16">
        <f t="shared" si="530"/>
        <v>74384.075040783035</v>
      </c>
      <c r="P622" s="41"/>
      <c r="Q622" s="17">
        <f t="shared" si="531"/>
        <v>561286</v>
      </c>
      <c r="R622" s="16"/>
      <c r="S622" s="60">
        <f t="shared" si="532"/>
        <v>0.24969886693815027</v>
      </c>
      <c r="T622" s="16"/>
      <c r="U622" s="41"/>
      <c r="V622" s="10">
        <f t="shared" si="356"/>
        <v>514</v>
      </c>
      <c r="W622" s="34">
        <v>516</v>
      </c>
      <c r="X622" s="33">
        <v>4256</v>
      </c>
      <c r="Y622" s="33"/>
      <c r="Z622" s="33">
        <f t="shared" si="533"/>
        <v>4972</v>
      </c>
      <c r="AA622" s="33">
        <f t="shared" si="534"/>
        <v>727665</v>
      </c>
      <c r="AB622" s="33"/>
      <c r="AC622" s="46">
        <f t="shared" si="535"/>
        <v>1.5958462403085016E-2</v>
      </c>
      <c r="AD622" s="33"/>
      <c r="AE622" s="33">
        <f t="shared" si="536"/>
        <v>1187.0554649265905</v>
      </c>
      <c r="AF622" s="50"/>
      <c r="AG622" s="33"/>
      <c r="AH622" s="33"/>
      <c r="AI622" s="213"/>
      <c r="AJ622" s="50"/>
      <c r="AL622" s="23">
        <f t="shared" si="53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38"/>
        <v>4.1135661550647474E-3</v>
      </c>
      <c r="AS622" s="25"/>
      <c r="AT622" s="25"/>
      <c r="AU622" s="24"/>
      <c r="AV622" s="298">
        <f t="shared" si="539"/>
        <v>0.84728203369671784</v>
      </c>
      <c r="AW622" s="298"/>
      <c r="AX622" s="24">
        <f t="shared" si="540"/>
        <v>63024.290375203913</v>
      </c>
      <c r="AY622" s="308"/>
      <c r="BA622" s="65">
        <f t="shared" si="541"/>
        <v>3410833</v>
      </c>
      <c r="BB622" s="66"/>
      <c r="BC622" s="66">
        <v>743631550</v>
      </c>
      <c r="BD622" s="66"/>
      <c r="BE622" s="66">
        <f t="shared" si="542"/>
        <v>74156</v>
      </c>
      <c r="BF622" s="66"/>
      <c r="BG622" s="144">
        <f t="shared" si="543"/>
        <v>2.1741316564018232E-2</v>
      </c>
      <c r="BH622" s="66"/>
      <c r="BI622" s="170"/>
      <c r="BJ622" s="66"/>
      <c r="BK622" s="66"/>
      <c r="BL622" s="66"/>
      <c r="BM622" s="144"/>
      <c r="BN622" s="65">
        <f t="shared" si="544"/>
        <v>1213102.0391517128</v>
      </c>
      <c r="BO622" s="66"/>
      <c r="BP622" s="66">
        <f t="shared" si="545"/>
        <v>44690460</v>
      </c>
      <c r="BQ622" s="66"/>
      <c r="BR622" s="435">
        <f t="shared" si="546"/>
        <v>6.009758461700556E-2</v>
      </c>
      <c r="BS622" s="66"/>
      <c r="BT622" s="75"/>
      <c r="BU622" s="170"/>
      <c r="BV622" s="1"/>
      <c r="BW622" s="61">
        <f t="shared" si="407"/>
        <v>613</v>
      </c>
    </row>
    <row r="623" spans="2:75" x14ac:dyDescent="0.3">
      <c r="B623" s="158">
        <f t="shared" ref="B623:B699" si="547">1+B622</f>
        <v>44523</v>
      </c>
      <c r="C623" s="61"/>
      <c r="D623" s="17">
        <v>86016</v>
      </c>
      <c r="E623" s="16"/>
      <c r="F623" s="16"/>
      <c r="G623" s="16"/>
      <c r="H623" s="16">
        <f t="shared" si="527"/>
        <v>45683454</v>
      </c>
      <c r="I623" s="16"/>
      <c r="J623" s="436">
        <f t="shared" si="528"/>
        <v>1.8864217765919217E-3</v>
      </c>
      <c r="K623" s="16"/>
      <c r="L623" s="16"/>
      <c r="M623" s="16"/>
      <c r="N623" s="16">
        <f t="shared" si="529"/>
        <v>549670</v>
      </c>
      <c r="O623" s="16">
        <f t="shared" si="530"/>
        <v>74403.019543973947</v>
      </c>
      <c r="P623" s="41"/>
      <c r="Q623" s="17">
        <f t="shared" si="531"/>
        <v>549670</v>
      </c>
      <c r="R623" s="16"/>
      <c r="S623" s="60">
        <f t="shared" si="532"/>
        <v>0.15863670951980455</v>
      </c>
      <c r="T623" s="16"/>
      <c r="U623" s="41"/>
      <c r="V623" s="10">
        <f t="shared" si="356"/>
        <v>515</v>
      </c>
      <c r="W623" s="34">
        <v>1237</v>
      </c>
      <c r="X623" s="33">
        <v>4256</v>
      </c>
      <c r="Y623" s="33"/>
      <c r="Z623" s="33">
        <f t="shared" si="533"/>
        <v>4793</v>
      </c>
      <c r="AA623" s="33">
        <f t="shared" si="534"/>
        <v>728902</v>
      </c>
      <c r="AB623" s="33"/>
      <c r="AC623" s="46">
        <f t="shared" si="535"/>
        <v>1.5955492332081544E-2</v>
      </c>
      <c r="AD623" s="33"/>
      <c r="AE623" s="33">
        <f t="shared" si="536"/>
        <v>1187.1368078175897</v>
      </c>
      <c r="AF623" s="50"/>
      <c r="AG623" s="33"/>
      <c r="AH623" s="33"/>
      <c r="AI623" s="213"/>
      <c r="AJ623" s="50"/>
      <c r="AL623" s="23">
        <f t="shared" si="53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38"/>
        <v>1.9623703437577733E-3</v>
      </c>
      <c r="AS623" s="25"/>
      <c r="AT623" s="25"/>
      <c r="AU623" s="24"/>
      <c r="AV623" s="298">
        <f t="shared" si="539"/>
        <v>0.84734626239075528</v>
      </c>
      <c r="AW623" s="298"/>
      <c r="AX623" s="24">
        <f t="shared" si="540"/>
        <v>63045.120521172641</v>
      </c>
      <c r="AY623" s="308"/>
      <c r="BA623" s="65">
        <f t="shared" si="541"/>
        <v>1044201</v>
      </c>
      <c r="BB623" s="66"/>
      <c r="BC623" s="66">
        <v>744675751</v>
      </c>
      <c r="BD623" s="66"/>
      <c r="BE623" s="66">
        <f t="shared" si="542"/>
        <v>86016</v>
      </c>
      <c r="BF623" s="66"/>
      <c r="BG623" s="144">
        <f t="shared" si="543"/>
        <v>8.2374945053682189E-2</v>
      </c>
      <c r="BH623" s="66"/>
      <c r="BI623" s="170"/>
      <c r="BJ623" s="66"/>
      <c r="BK623" s="66"/>
      <c r="BL623" s="66"/>
      <c r="BM623" s="144"/>
      <c r="BN623" s="65">
        <f t="shared" si="544"/>
        <v>1212826.9560260586</v>
      </c>
      <c r="BO623" s="66"/>
      <c r="BP623" s="66">
        <f t="shared" si="545"/>
        <v>44776476</v>
      </c>
      <c r="BQ623" s="66"/>
      <c r="BR623" s="435">
        <f t="shared" si="546"/>
        <v>6.0128822430260659E-2</v>
      </c>
      <c r="BS623" s="66"/>
      <c r="BT623" s="75"/>
      <c r="BU623" s="170"/>
      <c r="BV623" s="1"/>
      <c r="BW623" s="61">
        <f t="shared" si="407"/>
        <v>614</v>
      </c>
    </row>
    <row r="624" spans="2:75" x14ac:dyDescent="0.3">
      <c r="B624" s="158">
        <f t="shared" si="547"/>
        <v>44524</v>
      </c>
      <c r="C624" s="61"/>
      <c r="D624" s="17">
        <v>104819</v>
      </c>
      <c r="E624" s="16"/>
      <c r="F624" s="16"/>
      <c r="G624" s="16"/>
      <c r="H624" s="16">
        <f t="shared" si="527"/>
        <v>45788273</v>
      </c>
      <c r="I624" s="16"/>
      <c r="J624" s="436">
        <f t="shared" si="528"/>
        <v>2.2944631113050252E-3</v>
      </c>
      <c r="K624" s="16"/>
      <c r="L624" s="16"/>
      <c r="M624" s="16"/>
      <c r="N624" s="16">
        <f t="shared" si="529"/>
        <v>549787</v>
      </c>
      <c r="O624" s="16">
        <f t="shared" si="530"/>
        <v>74452.47642276423</v>
      </c>
      <c r="P624" s="41"/>
      <c r="Q624" s="17">
        <f t="shared" si="531"/>
        <v>549787</v>
      </c>
      <c r="R624" s="16"/>
      <c r="S624" s="60">
        <f t="shared" si="532"/>
        <v>0.13419648180353469</v>
      </c>
      <c r="T624" s="16"/>
      <c r="U624" s="41"/>
      <c r="V624" s="10">
        <f t="shared" si="356"/>
        <v>516</v>
      </c>
      <c r="W624" s="34">
        <v>1594</v>
      </c>
      <c r="X624" s="33">
        <v>4256</v>
      </c>
      <c r="Y624" s="33"/>
      <c r="Z624" s="33">
        <f t="shared" si="533"/>
        <v>5240</v>
      </c>
      <c r="AA624" s="33">
        <f t="shared" si="534"/>
        <v>730496</v>
      </c>
      <c r="AB624" s="33"/>
      <c r="AC624" s="46">
        <f t="shared" si="535"/>
        <v>1.5953779256972632E-2</v>
      </c>
      <c r="AD624" s="33"/>
      <c r="AE624" s="33">
        <f t="shared" si="536"/>
        <v>1187.7983739837398</v>
      </c>
      <c r="AF624" s="50"/>
      <c r="AG624" s="33"/>
      <c r="AH624" s="33"/>
      <c r="AI624" s="213"/>
      <c r="AJ624" s="50"/>
      <c r="AL624" s="23">
        <f t="shared" si="53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38"/>
        <v>2.0147402832116721E-3</v>
      </c>
      <c r="AS624" s="25"/>
      <c r="AT624" s="25"/>
      <c r="AU624" s="24"/>
      <c r="AV624" s="298">
        <f t="shared" si="539"/>
        <v>0.84710978289135297</v>
      </c>
      <c r="AW624" s="298"/>
      <c r="AX624" s="24">
        <f t="shared" si="540"/>
        <v>63069.421138211379</v>
      </c>
      <c r="AY624" s="308"/>
      <c r="BA624" s="65">
        <f t="shared" si="541"/>
        <v>1781250</v>
      </c>
      <c r="BB624" s="66"/>
      <c r="BC624" s="66">
        <v>746457001</v>
      </c>
      <c r="BD624" s="66"/>
      <c r="BE624" s="66">
        <f t="shared" si="542"/>
        <v>104819</v>
      </c>
      <c r="BF624" s="66"/>
      <c r="BG624" s="144">
        <f t="shared" si="543"/>
        <v>5.8845754385964913E-2</v>
      </c>
      <c r="BH624" s="66"/>
      <c r="BI624" s="170"/>
      <c r="BJ624" s="66"/>
      <c r="BK624" s="66"/>
      <c r="BL624" s="66"/>
      <c r="BM624" s="144"/>
      <c r="BN624" s="65">
        <f t="shared" si="544"/>
        <v>1213751.2211382114</v>
      </c>
      <c r="BO624" s="66"/>
      <c r="BP624" s="66">
        <f t="shared" si="545"/>
        <v>44881295</v>
      </c>
      <c r="BQ624" s="66"/>
      <c r="BR624" s="435">
        <f t="shared" si="546"/>
        <v>6.0125760679951075E-2</v>
      </c>
      <c r="BS624" s="66"/>
      <c r="BT624" s="75"/>
      <c r="BU624" s="170"/>
      <c r="BV624" s="1"/>
      <c r="BW624" s="61">
        <f t="shared" si="407"/>
        <v>615</v>
      </c>
    </row>
    <row r="625" spans="2:75" x14ac:dyDescent="0.3">
      <c r="B625" s="158">
        <f t="shared" si="547"/>
        <v>44525</v>
      </c>
      <c r="C625" s="61"/>
      <c r="D625" s="17">
        <v>40309</v>
      </c>
      <c r="E625" s="16"/>
      <c r="F625" s="16"/>
      <c r="G625" s="16"/>
      <c r="H625" s="16">
        <f t="shared" si="527"/>
        <v>45828582</v>
      </c>
      <c r="I625" s="16"/>
      <c r="J625" s="436">
        <f t="shared" si="528"/>
        <v>8.8033457824452125E-4</v>
      </c>
      <c r="K625" s="16"/>
      <c r="L625" s="16"/>
      <c r="M625" s="16"/>
      <c r="N625" s="16">
        <f t="shared" si="529"/>
        <v>490950</v>
      </c>
      <c r="O625" s="16">
        <f t="shared" si="530"/>
        <v>74397.0487012987</v>
      </c>
      <c r="P625" s="41"/>
      <c r="Q625" s="17">
        <f t="shared" si="531"/>
        <v>490950</v>
      </c>
      <c r="R625" s="16"/>
      <c r="S625" s="60">
        <f t="shared" si="532"/>
        <v>-9.1316281902026147E-2</v>
      </c>
      <c r="T625" s="16"/>
      <c r="U625" s="41"/>
      <c r="V625" s="10">
        <f t="shared" si="356"/>
        <v>517</v>
      </c>
      <c r="W625" s="34">
        <v>449</v>
      </c>
      <c r="X625" s="33">
        <v>4256</v>
      </c>
      <c r="Y625" s="33"/>
      <c r="Z625" s="33">
        <f t="shared" si="533"/>
        <v>4357</v>
      </c>
      <c r="AA625" s="33">
        <f t="shared" si="534"/>
        <v>730945</v>
      </c>
      <c r="AB625" s="33"/>
      <c r="AC625" s="46">
        <f t="shared" si="535"/>
        <v>1.5949544325853243E-2</v>
      </c>
      <c r="AD625" s="33"/>
      <c r="AE625" s="33">
        <f t="shared" si="536"/>
        <v>1186.5990259740261</v>
      </c>
      <c r="AF625" s="50"/>
      <c r="AG625" s="33"/>
      <c r="AH625" s="33"/>
      <c r="AI625" s="213"/>
      <c r="AJ625" s="50"/>
      <c r="AL625" s="23">
        <f t="shared" si="53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38"/>
        <v>6.3177254105387136E-4</v>
      </c>
      <c r="AS625" s="25"/>
      <c r="AT625" s="25"/>
      <c r="AU625" s="24"/>
      <c r="AV625" s="298">
        <f t="shared" si="539"/>
        <v>0.84689940875761771</v>
      </c>
      <c r="AW625" s="298"/>
      <c r="AX625" s="24">
        <f t="shared" si="540"/>
        <v>63006.816558441562</v>
      </c>
      <c r="AY625" s="308"/>
      <c r="BA625" s="65">
        <f t="shared" si="541"/>
        <v>921797</v>
      </c>
      <c r="BB625" s="66"/>
      <c r="BC625" s="66">
        <v>747378798</v>
      </c>
      <c r="BD625" s="66"/>
      <c r="BE625" s="66">
        <f t="shared" si="542"/>
        <v>40309</v>
      </c>
      <c r="BF625" s="66"/>
      <c r="BG625" s="144">
        <f t="shared" si="543"/>
        <v>4.3728716843296302E-2</v>
      </c>
      <c r="BH625" s="66"/>
      <c r="BI625" s="170"/>
      <c r="BJ625" s="66"/>
      <c r="BK625" s="66"/>
      <c r="BL625" s="66"/>
      <c r="BM625" s="144"/>
      <c r="BN625" s="65">
        <f t="shared" si="544"/>
        <v>1213277.2694805195</v>
      </c>
      <c r="BO625" s="66"/>
      <c r="BP625" s="66">
        <f t="shared" si="545"/>
        <v>44921604</v>
      </c>
      <c r="BQ625" s="66"/>
      <c r="BR625" s="435">
        <f t="shared" si="546"/>
        <v>6.0105537005078383E-2</v>
      </c>
      <c r="BS625" s="66"/>
      <c r="BT625" s="75"/>
      <c r="BU625" s="170"/>
      <c r="BV625" s="1"/>
      <c r="BW625" s="61">
        <f t="shared" si="407"/>
        <v>616</v>
      </c>
    </row>
    <row r="626" spans="2:75" x14ac:dyDescent="0.3">
      <c r="B626" s="158">
        <f t="shared" si="547"/>
        <v>44526</v>
      </c>
      <c r="C626" s="61"/>
      <c r="D626" s="17">
        <v>37686</v>
      </c>
      <c r="E626" s="16"/>
      <c r="F626" s="16"/>
      <c r="G626" s="16"/>
      <c r="H626" s="16">
        <f t="shared" si="527"/>
        <v>45866268</v>
      </c>
      <c r="I626" s="16"/>
      <c r="J626" s="436">
        <f t="shared" si="528"/>
        <v>8.2232524672048546E-4</v>
      </c>
      <c r="K626" s="16"/>
      <c r="L626" s="16"/>
      <c r="M626" s="16"/>
      <c r="N626" s="16">
        <f t="shared" si="529"/>
        <v>416807</v>
      </c>
      <c r="O626" s="16">
        <f t="shared" si="530"/>
        <v>74337.549432739062</v>
      </c>
      <c r="P626" s="41"/>
      <c r="Q626" s="17">
        <f t="shared" si="531"/>
        <v>416807</v>
      </c>
      <c r="R626" s="16"/>
      <c r="S626" s="60">
        <f t="shared" si="532"/>
        <v>-0.2582291051204112</v>
      </c>
      <c r="T626" s="16"/>
      <c r="U626" s="41"/>
      <c r="V626" s="10">
        <f t="shared" si="356"/>
        <v>518</v>
      </c>
      <c r="W626" s="34">
        <v>337</v>
      </c>
      <c r="X626" s="33">
        <v>4256</v>
      </c>
      <c r="Y626" s="33"/>
      <c r="Z626" s="33">
        <f t="shared" si="533"/>
        <v>4290</v>
      </c>
      <c r="AA626" s="33">
        <f t="shared" si="534"/>
        <v>731282</v>
      </c>
      <c r="AB626" s="33"/>
      <c r="AC626" s="46">
        <f t="shared" si="535"/>
        <v>1.5943786836984428E-2</v>
      </c>
      <c r="AD626" s="33"/>
      <c r="AE626" s="33">
        <f t="shared" si="536"/>
        <v>1185.222042139384</v>
      </c>
      <c r="AF626" s="50"/>
      <c r="AG626" s="33"/>
      <c r="AH626" s="33"/>
      <c r="AI626" s="213"/>
      <c r="AJ626" s="50"/>
      <c r="AL626" s="23">
        <f t="shared" si="53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38"/>
        <v>7.3389297009427367E-4</v>
      </c>
      <c r="AS626" s="25"/>
      <c r="AT626" s="25"/>
      <c r="AU626" s="24"/>
      <c r="AV626" s="298">
        <f t="shared" si="539"/>
        <v>0.84682457705082959</v>
      </c>
      <c r="AW626" s="298"/>
      <c r="AX626" s="24">
        <f t="shared" si="540"/>
        <v>62950.863857374396</v>
      </c>
      <c r="AY626" s="308"/>
      <c r="BA626" s="65">
        <f t="shared" si="541"/>
        <v>687800</v>
      </c>
      <c r="BB626" s="66"/>
      <c r="BC626" s="66">
        <v>748066598</v>
      </c>
      <c r="BD626" s="66"/>
      <c r="BE626" s="66">
        <f t="shared" si="542"/>
        <v>37686</v>
      </c>
      <c r="BF626" s="66"/>
      <c r="BG626" s="144">
        <f t="shared" si="543"/>
        <v>5.4792090724047691E-2</v>
      </c>
      <c r="BH626" s="66"/>
      <c r="BI626" s="170"/>
      <c r="BJ626" s="66"/>
      <c r="BK626" s="66"/>
      <c r="BL626" s="66"/>
      <c r="BM626" s="144"/>
      <c r="BN626" s="65">
        <f t="shared" si="544"/>
        <v>1212425.6045380875</v>
      </c>
      <c r="BO626" s="66"/>
      <c r="BP626" s="66">
        <f t="shared" si="545"/>
        <v>44959290</v>
      </c>
      <c r="BQ626" s="66"/>
      <c r="BR626" s="435">
        <f t="shared" si="546"/>
        <v>6.0100651626741927E-2</v>
      </c>
      <c r="BS626" s="66"/>
      <c r="BT626" s="75"/>
      <c r="BU626" s="170"/>
      <c r="BV626" s="1"/>
      <c r="BW626" s="61">
        <f t="shared" si="407"/>
        <v>617</v>
      </c>
    </row>
    <row r="627" spans="2:75" x14ac:dyDescent="0.3">
      <c r="B627" s="158">
        <f t="shared" si="547"/>
        <v>44527</v>
      </c>
      <c r="C627" s="61"/>
      <c r="D627" s="17">
        <v>22612</v>
      </c>
      <c r="E627" s="16"/>
      <c r="F627" s="16"/>
      <c r="G627" s="16"/>
      <c r="H627" s="16">
        <f t="shared" si="527"/>
        <v>45888880</v>
      </c>
      <c r="I627" s="16"/>
      <c r="J627" s="436">
        <f t="shared" si="528"/>
        <v>4.9299847112043208E-4</v>
      </c>
      <c r="K627" s="16"/>
      <c r="L627" s="16"/>
      <c r="M627" s="16"/>
      <c r="N627" s="16">
        <f t="shared" si="529"/>
        <v>402786</v>
      </c>
      <c r="O627" s="16">
        <f t="shared" si="530"/>
        <v>74253.85113268609</v>
      </c>
      <c r="P627" s="41"/>
      <c r="Q627" s="17">
        <f t="shared" si="531"/>
        <v>402786</v>
      </c>
      <c r="R627" s="16"/>
      <c r="S627" s="60">
        <f t="shared" si="532"/>
        <v>-0.27742835923176556</v>
      </c>
      <c r="T627" s="16"/>
      <c r="U627" s="41"/>
      <c r="V627" s="10">
        <f t="shared" si="356"/>
        <v>519</v>
      </c>
      <c r="W627" s="34">
        <v>127</v>
      </c>
      <c r="X627" s="33">
        <v>4256</v>
      </c>
      <c r="Y627" s="33"/>
      <c r="Z627" s="33">
        <f t="shared" si="533"/>
        <v>4260</v>
      </c>
      <c r="AA627" s="33">
        <f t="shared" si="534"/>
        <v>731409</v>
      </c>
      <c r="AB627" s="33"/>
      <c r="AC627" s="46">
        <f t="shared" si="535"/>
        <v>1.5938698002653365E-2</v>
      </c>
      <c r="AD627" s="33"/>
      <c r="AE627" s="33">
        <f t="shared" si="536"/>
        <v>1183.509708737864</v>
      </c>
      <c r="AF627" s="50"/>
      <c r="AG627" s="33"/>
      <c r="AH627" s="33"/>
      <c r="AI627" s="213"/>
      <c r="AJ627" s="50"/>
      <c r="AL627" s="23">
        <f t="shared" si="53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38"/>
        <v>5.4146833617730152E-4</v>
      </c>
      <c r="AS627" s="25"/>
      <c r="AT627" s="25"/>
      <c r="AU627" s="24"/>
      <c r="AV627" s="298">
        <f t="shared" si="539"/>
        <v>0.84686560229842178</v>
      </c>
      <c r="AW627" s="298"/>
      <c r="AX627" s="24">
        <f t="shared" si="540"/>
        <v>62883.032362459548</v>
      </c>
      <c r="AY627" s="308"/>
      <c r="BA627" s="65">
        <f t="shared" si="541"/>
        <v>241281</v>
      </c>
      <c r="BB627" s="66"/>
      <c r="BC627" s="66">
        <v>748307879</v>
      </c>
      <c r="BD627" s="66"/>
      <c r="BE627" s="66">
        <f t="shared" si="542"/>
        <v>22612</v>
      </c>
      <c r="BF627" s="66"/>
      <c r="BG627" s="144">
        <f t="shared" si="543"/>
        <v>9.3716455087636402E-2</v>
      </c>
      <c r="BH627" s="66"/>
      <c r="BI627" s="170"/>
      <c r="BJ627" s="66"/>
      <c r="BK627" s="66"/>
      <c r="BL627" s="66"/>
      <c r="BM627" s="144"/>
      <c r="BN627" s="65">
        <f t="shared" si="544"/>
        <v>1210854.1731391586</v>
      </c>
      <c r="BO627" s="66"/>
      <c r="BP627" s="66">
        <f t="shared" si="545"/>
        <v>44981902</v>
      </c>
      <c r="BQ627" s="66"/>
      <c r="BR627" s="435">
        <f t="shared" si="546"/>
        <v>6.011149055401032E-2</v>
      </c>
      <c r="BS627" s="66"/>
      <c r="BT627" s="75"/>
      <c r="BU627" s="170"/>
      <c r="BV627" s="1"/>
      <c r="BW627" s="61">
        <f t="shared" si="407"/>
        <v>618</v>
      </c>
    </row>
    <row r="628" spans="2:75" x14ac:dyDescent="0.3">
      <c r="B628" s="347">
        <f t="shared" si="547"/>
        <v>44528</v>
      </c>
      <c r="C628" s="61"/>
      <c r="D628" s="17">
        <v>20835</v>
      </c>
      <c r="E628" s="16"/>
      <c r="F628" s="16"/>
      <c r="G628" s="16"/>
      <c r="H628" s="16">
        <f t="shared" si="527"/>
        <v>45909715</v>
      </c>
      <c r="I628" s="16"/>
      <c r="J628" s="436">
        <f t="shared" si="528"/>
        <v>4.5403156494558161E-4</v>
      </c>
      <c r="K628" s="16"/>
      <c r="L628" s="16"/>
      <c r="M628" s="16"/>
      <c r="N628" s="16">
        <f t="shared" si="529"/>
        <v>386433</v>
      </c>
      <c r="O628" s="16">
        <f t="shared" si="530"/>
        <v>74167.552504038773</v>
      </c>
      <c r="P628" s="41"/>
      <c r="Q628" s="17">
        <f t="shared" si="531"/>
        <v>386433</v>
      </c>
      <c r="R628" s="16"/>
      <c r="S628" s="60">
        <f t="shared" si="532"/>
        <v>-0.30740940545171369</v>
      </c>
      <c r="T628" s="16"/>
      <c r="U628" s="41"/>
      <c r="V628" s="10">
        <f t="shared" si="356"/>
        <v>520</v>
      </c>
      <c r="W628" s="34">
        <v>102</v>
      </c>
      <c r="X628" s="33">
        <v>4256</v>
      </c>
      <c r="Y628" s="33"/>
      <c r="Z628" s="33">
        <f t="shared" si="533"/>
        <v>3846</v>
      </c>
      <c r="AA628" s="33">
        <f t="shared" si="534"/>
        <v>731511</v>
      </c>
      <c r="AB628" s="33"/>
      <c r="AC628" s="46">
        <f t="shared" si="535"/>
        <v>1.5933686366818002E-2</v>
      </c>
      <c r="AD628" s="33"/>
      <c r="AE628" s="33">
        <f t="shared" si="536"/>
        <v>1181.7625201938611</v>
      </c>
      <c r="AF628" s="50"/>
      <c r="AG628" s="33"/>
      <c r="AH628" s="33"/>
      <c r="AI628" s="213"/>
      <c r="AJ628" s="50"/>
      <c r="AL628" s="23">
        <f t="shared" si="53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38"/>
        <v>4.7262454764604569E-4</v>
      </c>
      <c r="AS628" s="25"/>
      <c r="AT628" s="25"/>
      <c r="AU628" s="24"/>
      <c r="AV628" s="298">
        <f t="shared" si="539"/>
        <v>0.84688134091008838</v>
      </c>
      <c r="AW628" s="298"/>
      <c r="AX628" s="24">
        <f t="shared" si="540"/>
        <v>62811.116316639738</v>
      </c>
      <c r="AY628" s="308"/>
      <c r="BA628" s="65">
        <f t="shared" si="541"/>
        <v>216720</v>
      </c>
      <c r="BB628" s="66"/>
      <c r="BC628" s="66">
        <v>748524599</v>
      </c>
      <c r="BD628" s="66"/>
      <c r="BE628" s="66">
        <f t="shared" si="542"/>
        <v>20835</v>
      </c>
      <c r="BF628" s="66"/>
      <c r="BG628" s="144">
        <f t="shared" si="543"/>
        <v>9.6137873754152822E-2</v>
      </c>
      <c r="BH628" s="66"/>
      <c r="BI628" s="170"/>
      <c r="BJ628" s="66"/>
      <c r="BK628" s="66"/>
      <c r="BL628" s="66"/>
      <c r="BM628" s="144"/>
      <c r="BN628" s="65">
        <f t="shared" si="544"/>
        <v>1209248.140549273</v>
      </c>
      <c r="BO628" s="66"/>
      <c r="BP628" s="66">
        <f t="shared" si="545"/>
        <v>45002737</v>
      </c>
      <c r="BQ628" s="66"/>
      <c r="BR628" s="435">
        <f t="shared" si="546"/>
        <v>6.0121921256992651E-2</v>
      </c>
      <c r="BS628" s="66"/>
      <c r="BT628" s="75"/>
      <c r="BU628" s="170"/>
      <c r="BV628" s="1"/>
      <c r="BW628" s="61">
        <f t="shared" si="407"/>
        <v>619</v>
      </c>
    </row>
    <row r="629" spans="2:75" x14ac:dyDescent="0.3">
      <c r="B629" s="158">
        <f t="shared" si="547"/>
        <v>44529</v>
      </c>
      <c r="C629" s="61"/>
      <c r="D629" s="17">
        <v>106876</v>
      </c>
      <c r="E629" s="16"/>
      <c r="F629" s="16"/>
      <c r="G629" s="16"/>
      <c r="H629" s="16">
        <f t="shared" si="527"/>
        <v>46016591</v>
      </c>
      <c r="I629" s="16"/>
      <c r="J629" s="436">
        <f t="shared" si="528"/>
        <v>2.3279604327755029E-3</v>
      </c>
      <c r="K629" s="16"/>
      <c r="L629" s="16"/>
      <c r="M629" s="16"/>
      <c r="N629" s="16">
        <f t="shared" si="529"/>
        <v>419153</v>
      </c>
      <c r="O629" s="16">
        <f t="shared" si="530"/>
        <v>74220.308064516124</v>
      </c>
      <c r="P629" s="41"/>
      <c r="Q629" s="17">
        <f t="shared" si="531"/>
        <v>419153</v>
      </c>
      <c r="R629" s="16"/>
      <c r="S629" s="60">
        <f t="shared" si="532"/>
        <v>-0.25322740991223724</v>
      </c>
      <c r="T629" s="16"/>
      <c r="U629" s="41"/>
      <c r="V629" s="10">
        <f t="shared" si="356"/>
        <v>521</v>
      </c>
      <c r="W629" s="34">
        <v>1438</v>
      </c>
      <c r="X629" s="33">
        <v>4256</v>
      </c>
      <c r="Y629" s="33"/>
      <c r="Z629" s="33">
        <f t="shared" si="533"/>
        <v>4047</v>
      </c>
      <c r="AA629" s="33">
        <f t="shared" si="534"/>
        <v>732949</v>
      </c>
      <c r="AB629" s="33"/>
      <c r="AC629" s="46">
        <f t="shared" si="535"/>
        <v>1.5927929124519458E-2</v>
      </c>
      <c r="AD629" s="33"/>
      <c r="AE629" s="33">
        <f t="shared" si="536"/>
        <v>1182.175806451613</v>
      </c>
      <c r="AF629" s="50"/>
      <c r="AG629" s="33"/>
      <c r="AH629" s="33"/>
      <c r="AI629" s="213"/>
      <c r="AJ629" s="50"/>
      <c r="AL629" s="23">
        <f t="shared" si="53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38"/>
        <v>5.8081411918869206E-3</v>
      </c>
      <c r="AS629" s="25"/>
      <c r="AT629" s="25"/>
      <c r="AU629" s="24"/>
      <c r="AV629" s="298">
        <f t="shared" si="539"/>
        <v>0.84982179579534689</v>
      </c>
      <c r="AW629" s="298"/>
      <c r="AX629" s="24">
        <f t="shared" si="540"/>
        <v>63074.035483870968</v>
      </c>
      <c r="AY629" s="308"/>
      <c r="BA629" s="65">
        <f t="shared" si="541"/>
        <v>5468770</v>
      </c>
      <c r="BB629" s="66"/>
      <c r="BC629" s="66">
        <v>753993369</v>
      </c>
      <c r="BD629" s="66"/>
      <c r="BE629" s="66">
        <f t="shared" si="542"/>
        <v>106876</v>
      </c>
      <c r="BF629" s="66"/>
      <c r="BG629" s="144">
        <f t="shared" si="543"/>
        <v>1.9542968528572239E-2</v>
      </c>
      <c r="BH629" s="66"/>
      <c r="BI629" s="170"/>
      <c r="BJ629" s="66"/>
      <c r="BK629" s="66"/>
      <c r="BL629" s="66"/>
      <c r="BM629" s="144"/>
      <c r="BN629" s="65">
        <f t="shared" si="544"/>
        <v>1216118.3370967743</v>
      </c>
      <c r="BO629" s="66"/>
      <c r="BP629" s="66">
        <f t="shared" si="545"/>
        <v>45109613</v>
      </c>
      <c r="BQ629" s="66"/>
      <c r="BR629" s="435">
        <f t="shared" si="546"/>
        <v>5.9827599093911922E-2</v>
      </c>
      <c r="BS629" s="66"/>
      <c r="BT629" s="75"/>
      <c r="BU629" s="170"/>
      <c r="BV629" s="1"/>
      <c r="BW629" s="61">
        <f t="shared" si="407"/>
        <v>620</v>
      </c>
    </row>
    <row r="630" spans="2:75" x14ac:dyDescent="0.3">
      <c r="B630" s="158">
        <f t="shared" si="547"/>
        <v>44530</v>
      </c>
      <c r="C630" s="61"/>
      <c r="D630" s="17">
        <v>120458</v>
      </c>
      <c r="E630" s="16"/>
      <c r="F630" s="16"/>
      <c r="G630" s="16"/>
      <c r="H630" s="16">
        <f t="shared" si="527"/>
        <v>46137049</v>
      </c>
      <c r="I630" s="16"/>
      <c r="J630" s="436">
        <f t="shared" si="528"/>
        <v>2.6177080349128862E-3</v>
      </c>
      <c r="K630" s="16"/>
      <c r="L630" s="16"/>
      <c r="M630" s="16"/>
      <c r="N630" s="16">
        <f t="shared" si="529"/>
        <v>453595</v>
      </c>
      <c r="O630" s="16">
        <f t="shared" si="530"/>
        <v>74294.76489533011</v>
      </c>
      <c r="P630" s="41"/>
      <c r="Q630" s="17">
        <f t="shared" si="531"/>
        <v>453595</v>
      </c>
      <c r="R630" s="16"/>
      <c r="S630" s="60">
        <f t="shared" si="532"/>
        <v>-0.17478669019593573</v>
      </c>
      <c r="T630" s="16"/>
      <c r="U630" s="41"/>
      <c r="V630" s="10">
        <f t="shared" si="356"/>
        <v>522</v>
      </c>
      <c r="W630" s="34">
        <v>1650</v>
      </c>
      <c r="X630" s="33">
        <v>4256</v>
      </c>
      <c r="Y630" s="33"/>
      <c r="Z630" s="33">
        <f t="shared" si="533"/>
        <v>4103</v>
      </c>
      <c r="AA630" s="33">
        <f t="shared" si="534"/>
        <v>734599</v>
      </c>
      <c r="AB630" s="33"/>
      <c r="AC630" s="46">
        <f t="shared" si="535"/>
        <v>1.5922106331508111E-2</v>
      </c>
      <c r="AD630" s="33"/>
      <c r="AE630" s="33">
        <f t="shared" si="536"/>
        <v>1182.9291465378421</v>
      </c>
      <c r="AF630" s="50"/>
      <c r="AG630" s="33"/>
      <c r="AH630" s="33"/>
      <c r="AI630" s="213"/>
      <c r="AJ630" s="50"/>
      <c r="AL630" s="23">
        <f t="shared" si="53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38"/>
        <v>2.5576190519783944E-3</v>
      </c>
      <c r="AS630" s="25"/>
      <c r="AT630" s="25"/>
      <c r="AU630" s="24"/>
      <c r="AV630" s="298">
        <f t="shared" si="539"/>
        <v>0.8497708641920293</v>
      </c>
      <c r="AW630" s="298"/>
      <c r="AX630" s="24">
        <f t="shared" si="540"/>
        <v>63133.526570048307</v>
      </c>
      <c r="AY630" s="308"/>
      <c r="BA630" s="65">
        <f t="shared" si="541"/>
        <v>88000</v>
      </c>
      <c r="BB630" s="66"/>
      <c r="BC630" s="66">
        <v>754081369</v>
      </c>
      <c r="BD630" s="66"/>
      <c r="BE630" s="66">
        <f t="shared" si="542"/>
        <v>120458</v>
      </c>
      <c r="BF630" s="66"/>
      <c r="BG630" s="144">
        <f t="shared" si="543"/>
        <v>1.3688409090909091</v>
      </c>
      <c r="BH630" s="66"/>
      <c r="BI630" s="170"/>
      <c r="BJ630" s="66"/>
      <c r="BK630" s="66"/>
      <c r="BL630" s="66"/>
      <c r="BM630" s="144"/>
      <c r="BN630" s="65">
        <f t="shared" si="544"/>
        <v>1214301.7214170692</v>
      </c>
      <c r="BO630" s="66"/>
      <c r="BP630" s="66">
        <f t="shared" si="545"/>
        <v>45230071</v>
      </c>
      <c r="BQ630" s="66"/>
      <c r="BR630" s="435">
        <f t="shared" si="546"/>
        <v>5.998035869786885E-2</v>
      </c>
      <c r="BS630" s="66"/>
      <c r="BT630" s="75"/>
      <c r="BU630" s="170"/>
      <c r="BV630" s="1"/>
      <c r="BW630" s="61">
        <f t="shared" si="407"/>
        <v>621</v>
      </c>
    </row>
    <row r="631" spans="2:75" x14ac:dyDescent="0.3">
      <c r="B631" s="158">
        <f t="shared" si="547"/>
        <v>44531</v>
      </c>
      <c r="C631" s="61"/>
      <c r="D631" s="17">
        <v>131460</v>
      </c>
      <c r="E631" s="16"/>
      <c r="F631" s="16"/>
      <c r="G631" s="16"/>
      <c r="H631" s="16">
        <f t="shared" si="527"/>
        <v>46268509</v>
      </c>
      <c r="I631" s="16"/>
      <c r="J631" s="436">
        <f t="shared" si="528"/>
        <v>2.8493369829526807E-3</v>
      </c>
      <c r="K631" s="16"/>
      <c r="L631" s="16"/>
      <c r="M631" s="16"/>
      <c r="N631" s="16">
        <f t="shared" si="529"/>
        <v>480236</v>
      </c>
      <c r="O631" s="16">
        <f t="shared" si="530"/>
        <v>74386.670418006426</v>
      </c>
      <c r="P631" s="41"/>
      <c r="Q631" s="17">
        <f t="shared" si="531"/>
        <v>480236</v>
      </c>
      <c r="R631" s="16"/>
      <c r="S631" s="60">
        <f t="shared" si="532"/>
        <v>-0.12650535571048424</v>
      </c>
      <c r="T631" s="16"/>
      <c r="U631" s="41"/>
      <c r="V631" s="10">
        <f t="shared" si="356"/>
        <v>523</v>
      </c>
      <c r="W631" s="34">
        <v>1745</v>
      </c>
      <c r="X631" s="33">
        <v>4256</v>
      </c>
      <c r="Y631" s="33"/>
      <c r="Z631" s="33">
        <f t="shared" si="533"/>
        <v>5399</v>
      </c>
      <c r="AA631" s="33">
        <f t="shared" si="534"/>
        <v>736344</v>
      </c>
      <c r="AB631" s="33"/>
      <c r="AC631" s="46">
        <f t="shared" si="535"/>
        <v>1.591458242149104E-2</v>
      </c>
      <c r="AD631" s="33"/>
      <c r="AE631" s="33">
        <f t="shared" si="536"/>
        <v>1183.8327974276526</v>
      </c>
      <c r="AF631" s="50"/>
      <c r="AG631" s="33"/>
      <c r="AH631" s="33"/>
      <c r="AI631" s="213"/>
      <c r="AJ631" s="50"/>
      <c r="AL631" s="23">
        <f t="shared" si="53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38"/>
        <v>2.8731120198174152E-3</v>
      </c>
      <c r="AS631" s="25"/>
      <c r="AT631" s="25"/>
      <c r="AU631" s="24"/>
      <c r="AV631" s="298">
        <f t="shared" si="539"/>
        <v>0.84979101012310554</v>
      </c>
      <c r="AW631" s="298"/>
      <c r="AX631" s="24">
        <f t="shared" si="540"/>
        <v>63213.123794212217</v>
      </c>
      <c r="AY631" s="308"/>
      <c r="BA631" s="65">
        <f t="shared" si="541"/>
        <v>1604533</v>
      </c>
      <c r="BB631" s="66"/>
      <c r="BC631" s="66">
        <v>755685902</v>
      </c>
      <c r="BD631" s="66"/>
      <c r="BE631" s="66">
        <f t="shared" si="542"/>
        <v>131460</v>
      </c>
      <c r="BF631" s="66"/>
      <c r="BG631" s="144">
        <f t="shared" si="543"/>
        <v>8.1930380989359522E-2</v>
      </c>
      <c r="BH631" s="66"/>
      <c r="BI631" s="170"/>
      <c r="BJ631" s="66"/>
      <c r="BK631" s="66"/>
      <c r="BL631" s="66"/>
      <c r="BM631" s="144"/>
      <c r="BN631" s="65">
        <f t="shared" si="544"/>
        <v>1214929.1028938906</v>
      </c>
      <c r="BO631" s="66"/>
      <c r="BP631" s="66">
        <f t="shared" si="545"/>
        <v>45361531</v>
      </c>
      <c r="BQ631" s="66"/>
      <c r="BR631" s="435">
        <f t="shared" si="546"/>
        <v>6.0026964748113032E-2</v>
      </c>
      <c r="BS631" s="66"/>
      <c r="BT631" s="75"/>
      <c r="BU631" s="170"/>
      <c r="BV631" s="1"/>
      <c r="BW631" s="61">
        <f t="shared" si="407"/>
        <v>622</v>
      </c>
    </row>
    <row r="632" spans="2:75" x14ac:dyDescent="0.3">
      <c r="B632" s="158">
        <f t="shared" si="547"/>
        <v>44532</v>
      </c>
      <c r="C632" s="61"/>
      <c r="D632" s="17">
        <v>146612</v>
      </c>
      <c r="E632" s="16"/>
      <c r="F632" s="16"/>
      <c r="G632" s="16"/>
      <c r="H632" s="16">
        <f t="shared" si="527"/>
        <v>46415121</v>
      </c>
      <c r="I632" s="16"/>
      <c r="J632" s="436">
        <f t="shared" si="528"/>
        <v>3.1687210841395384E-3</v>
      </c>
      <c r="K632" s="16"/>
      <c r="L632" s="16"/>
      <c r="M632" s="16"/>
      <c r="N632" s="16">
        <f t="shared" si="529"/>
        <v>586539</v>
      </c>
      <c r="O632" s="16">
        <f t="shared" si="530"/>
        <v>74502.601926163727</v>
      </c>
      <c r="P632" s="41"/>
      <c r="Q632" s="17">
        <f t="shared" si="531"/>
        <v>586539</v>
      </c>
      <c r="R632" s="16"/>
      <c r="S632" s="60">
        <f t="shared" si="532"/>
        <v>0.19470210815765354</v>
      </c>
      <c r="T632" s="16"/>
      <c r="U632" s="41"/>
      <c r="V632" s="10">
        <f t="shared" si="356"/>
        <v>524</v>
      </c>
      <c r="W632" s="34">
        <v>1528</v>
      </c>
      <c r="X632" s="33">
        <v>4256</v>
      </c>
      <c r="Y632" s="33"/>
      <c r="Z632" s="33">
        <f t="shared" si="533"/>
        <v>6590</v>
      </c>
      <c r="AA632" s="33">
        <f t="shared" si="534"/>
        <v>737872</v>
      </c>
      <c r="AB632" s="33"/>
      <c r="AC632" s="46">
        <f t="shared" si="535"/>
        <v>1.5897233145207142E-2</v>
      </c>
      <c r="AD632" s="33"/>
      <c r="AE632" s="33">
        <f t="shared" si="536"/>
        <v>1184.3852327447833</v>
      </c>
      <c r="AF632" s="50"/>
      <c r="AG632" s="33"/>
      <c r="AH632" s="33"/>
      <c r="AI632" s="213"/>
      <c r="AJ632" s="50"/>
      <c r="AL632" s="23">
        <f t="shared" si="53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38"/>
        <v>1.8078738025090082E-3</v>
      </c>
      <c r="AS632" s="25"/>
      <c r="AT632" s="25"/>
      <c r="AU632" s="24"/>
      <c r="AV632" s="298">
        <f t="shared" si="539"/>
        <v>0.848638227184628</v>
      </c>
      <c r="AW632" s="298"/>
      <c r="AX632" s="24">
        <f t="shared" si="540"/>
        <v>63225.756019261637</v>
      </c>
      <c r="AY632" s="308"/>
      <c r="BA632" s="65">
        <f t="shared" si="541"/>
        <v>1879157</v>
      </c>
      <c r="BB632" s="66"/>
      <c r="BC632" s="66">
        <v>757565059</v>
      </c>
      <c r="BD632" s="66"/>
      <c r="BE632" s="66">
        <f t="shared" si="542"/>
        <v>146612</v>
      </c>
      <c r="BF632" s="66"/>
      <c r="BG632" s="144">
        <f t="shared" si="543"/>
        <v>7.8020090923749313E-2</v>
      </c>
      <c r="BH632" s="66"/>
      <c r="BI632" s="170"/>
      <c r="BJ632" s="66"/>
      <c r="BK632" s="66"/>
      <c r="BL632" s="66"/>
      <c r="BM632" s="144"/>
      <c r="BN632" s="65">
        <f t="shared" si="544"/>
        <v>1215995.2792937399</v>
      </c>
      <c r="BO632" s="66"/>
      <c r="BP632" s="66">
        <f t="shared" si="545"/>
        <v>45508143</v>
      </c>
      <c r="BQ632" s="66"/>
      <c r="BR632" s="435">
        <f t="shared" si="546"/>
        <v>6.0071597098302815E-2</v>
      </c>
      <c r="BS632" s="66"/>
      <c r="BT632" s="75"/>
      <c r="BU632" s="170"/>
      <c r="BV632" s="1"/>
      <c r="BW632" s="61">
        <f t="shared" si="407"/>
        <v>623</v>
      </c>
    </row>
    <row r="633" spans="2:75" x14ac:dyDescent="0.3">
      <c r="B633" s="158">
        <f t="shared" si="547"/>
        <v>44533</v>
      </c>
      <c r="C633" s="61"/>
      <c r="D633" s="17">
        <v>147434</v>
      </c>
      <c r="E633" s="16"/>
      <c r="F633" s="16"/>
      <c r="G633" s="16"/>
      <c r="H633" s="16">
        <f t="shared" si="527"/>
        <v>46562555</v>
      </c>
      <c r="I633" s="16"/>
      <c r="J633" s="436">
        <f t="shared" si="528"/>
        <v>3.176421752730107E-3</v>
      </c>
      <c r="K633" s="16"/>
      <c r="L633" s="16"/>
      <c r="M633" s="16"/>
      <c r="N633" s="16">
        <f t="shared" si="529"/>
        <v>696287</v>
      </c>
      <c r="O633" s="16">
        <f t="shared" si="530"/>
        <v>74619.479166666672</v>
      </c>
      <c r="P633" s="41"/>
      <c r="Q633" s="17">
        <f t="shared" si="531"/>
        <v>696287</v>
      </c>
      <c r="R633" s="16"/>
      <c r="S633" s="60">
        <f t="shared" si="532"/>
        <v>0.67052616678702615</v>
      </c>
      <c r="T633" s="16"/>
      <c r="U633" s="41"/>
      <c r="V633" s="10">
        <f t="shared" si="356"/>
        <v>525</v>
      </c>
      <c r="W633" s="34">
        <v>1352</v>
      </c>
      <c r="X633" s="33">
        <v>4256</v>
      </c>
      <c r="Y633" s="33"/>
      <c r="Z633" s="33">
        <f t="shared" si="533"/>
        <v>7815</v>
      </c>
      <c r="AA633" s="33">
        <f t="shared" si="534"/>
        <v>739224</v>
      </c>
      <c r="AB633" s="33"/>
      <c r="AC633" s="46">
        <f t="shared" si="535"/>
        <v>1.5875932925072517E-2</v>
      </c>
      <c r="AD633" s="33"/>
      <c r="AE633" s="33">
        <f t="shared" si="536"/>
        <v>1184.6538461538462</v>
      </c>
      <c r="AF633" s="50"/>
      <c r="AG633" s="33"/>
      <c r="AH633" s="33"/>
      <c r="AI633" s="213"/>
      <c r="AJ633" s="50"/>
      <c r="AL633" s="23">
        <f t="shared" si="53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38"/>
        <v>1.8684859467891638E-3</v>
      </c>
      <c r="AS633" s="25"/>
      <c r="AT633" s="25"/>
      <c r="AU633" s="24"/>
      <c r="AV633" s="298">
        <f t="shared" si="539"/>
        <v>0.84753177741212871</v>
      </c>
      <c r="AW633" s="298"/>
      <c r="AX633" s="24">
        <f t="shared" si="540"/>
        <v>63242.379807692305</v>
      </c>
      <c r="AY633" s="308"/>
      <c r="BA633" s="65">
        <f t="shared" si="541"/>
        <v>2036316</v>
      </c>
      <c r="BB633" s="66"/>
      <c r="BC633" s="66">
        <v>759601375</v>
      </c>
      <c r="BD633" s="66"/>
      <c r="BE633" s="66">
        <f t="shared" si="542"/>
        <v>147434</v>
      </c>
      <c r="BF633" s="66"/>
      <c r="BG633" s="144">
        <f t="shared" si="543"/>
        <v>7.2402318697098095E-2</v>
      </c>
      <c r="BH633" s="66"/>
      <c r="BI633" s="170"/>
      <c r="BJ633" s="66"/>
      <c r="BK633" s="66"/>
      <c r="BL633" s="66"/>
      <c r="BM633" s="144"/>
      <c r="BN633" s="65">
        <f t="shared" si="544"/>
        <v>1217309.8958333333</v>
      </c>
      <c r="BO633" s="66"/>
      <c r="BP633" s="66">
        <f t="shared" si="545"/>
        <v>45655577</v>
      </c>
      <c r="BQ633" s="66"/>
      <c r="BR633" s="435">
        <f t="shared" si="546"/>
        <v>6.0104652917459506E-2</v>
      </c>
      <c r="BS633" s="66"/>
      <c r="BT633" s="75"/>
      <c r="BU633" s="170"/>
      <c r="BV633" s="1"/>
      <c r="BW633" s="61">
        <f t="shared" si="407"/>
        <v>624</v>
      </c>
    </row>
    <row r="634" spans="2:75" x14ac:dyDescent="0.3">
      <c r="B634" s="158">
        <f t="shared" si="547"/>
        <v>44534</v>
      </c>
      <c r="C634" s="61"/>
      <c r="D634" s="17">
        <v>56742</v>
      </c>
      <c r="E634" s="16"/>
      <c r="F634" s="16"/>
      <c r="G634" s="16"/>
      <c r="H634" s="16">
        <f t="shared" si="527"/>
        <v>46619297</v>
      </c>
      <c r="I634" s="16"/>
      <c r="J634" s="436">
        <f t="shared" si="528"/>
        <v>1.2186186947859712E-3</v>
      </c>
      <c r="K634" s="16"/>
      <c r="L634" s="16"/>
      <c r="M634" s="16"/>
      <c r="N634" s="16">
        <f t="shared" si="529"/>
        <v>730417</v>
      </c>
      <c r="O634" s="16">
        <f t="shared" si="530"/>
        <v>74590.875199999995</v>
      </c>
      <c r="P634" s="41"/>
      <c r="Q634" s="17">
        <f t="shared" si="531"/>
        <v>730417</v>
      </c>
      <c r="R634" s="16"/>
      <c r="S634" s="60">
        <f t="shared" si="532"/>
        <v>0.81341208482916483</v>
      </c>
      <c r="T634" s="16"/>
      <c r="U634" s="41"/>
      <c r="V634" s="10">
        <f t="shared" si="356"/>
        <v>526</v>
      </c>
      <c r="W634" s="34">
        <v>492</v>
      </c>
      <c r="X634" s="33">
        <v>4256</v>
      </c>
      <c r="Y634" s="33"/>
      <c r="Z634" s="33">
        <f t="shared" si="533"/>
        <v>8205</v>
      </c>
      <c r="AA634" s="33">
        <f t="shared" si="534"/>
        <v>739716</v>
      </c>
      <c r="AB634" s="33"/>
      <c r="AC634" s="46">
        <f t="shared" si="535"/>
        <v>1.5867163333672749E-2</v>
      </c>
      <c r="AD634" s="33"/>
      <c r="AE634" s="33">
        <f t="shared" si="536"/>
        <v>1183.5455999999999</v>
      </c>
      <c r="AF634" s="50"/>
      <c r="AG634" s="33"/>
      <c r="AH634" s="33"/>
      <c r="AI634" s="213"/>
      <c r="AJ634" s="50"/>
      <c r="AL634" s="23">
        <f t="shared" si="53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38"/>
        <v>8.8350565190470267E-4</v>
      </c>
      <c r="AS634" s="25"/>
      <c r="AT634" s="25"/>
      <c r="AU634" s="24"/>
      <c r="AV634" s="298">
        <f t="shared" si="539"/>
        <v>0.84724810414880347</v>
      </c>
      <c r="AW634" s="298"/>
      <c r="AX634" s="24">
        <f t="shared" si="540"/>
        <v>63196.977599999998</v>
      </c>
      <c r="AY634" s="308"/>
      <c r="BA634" s="65">
        <f t="shared" si="541"/>
        <v>570108</v>
      </c>
      <c r="BB634" s="66"/>
      <c r="BC634" s="66">
        <v>760171483</v>
      </c>
      <c r="BD634" s="66"/>
      <c r="BE634" s="66">
        <f t="shared" si="542"/>
        <v>56742</v>
      </c>
      <c r="BF634" s="66"/>
      <c r="BG634" s="144">
        <f t="shared" si="543"/>
        <v>9.9528510387505528E-2</v>
      </c>
      <c r="BH634" s="66"/>
      <c r="BI634" s="170"/>
      <c r="BJ634" s="66"/>
      <c r="BK634" s="66"/>
      <c r="BL634" s="66"/>
      <c r="BM634" s="144"/>
      <c r="BN634" s="65">
        <f t="shared" si="544"/>
        <v>1216274.3728</v>
      </c>
      <c r="BO634" s="66"/>
      <c r="BP634" s="66">
        <f t="shared" si="545"/>
        <v>45712319</v>
      </c>
      <c r="BQ634" s="66"/>
      <c r="BR634" s="435">
        <f t="shared" si="546"/>
        <v>6.0134219741573756E-2</v>
      </c>
      <c r="BS634" s="66"/>
      <c r="BT634" s="75"/>
      <c r="BU634" s="170"/>
      <c r="BV634" s="1"/>
      <c r="BW634" s="61">
        <f t="shared" si="407"/>
        <v>625</v>
      </c>
    </row>
    <row r="635" spans="2:75" x14ac:dyDescent="0.3">
      <c r="B635" s="347">
        <f t="shared" si="547"/>
        <v>44535</v>
      </c>
      <c r="C635" s="61"/>
      <c r="D635" s="17">
        <v>35065</v>
      </c>
      <c r="E635" s="16"/>
      <c r="F635" s="16"/>
      <c r="G635" s="16"/>
      <c r="H635" s="16">
        <f t="shared" si="527"/>
        <v>46654362</v>
      </c>
      <c r="I635" s="16"/>
      <c r="J635" s="436">
        <f t="shared" si="528"/>
        <v>7.5215634418511284E-4</v>
      </c>
      <c r="K635" s="16"/>
      <c r="L635" s="16"/>
      <c r="M635" s="16"/>
      <c r="N635" s="16">
        <f t="shared" si="529"/>
        <v>744647</v>
      </c>
      <c r="O635" s="16">
        <f t="shared" si="530"/>
        <v>74527.734824281157</v>
      </c>
      <c r="P635" s="41"/>
      <c r="Q635" s="17">
        <f t="shared" si="531"/>
        <v>744647</v>
      </c>
      <c r="R635" s="16"/>
      <c r="S635" s="60">
        <f t="shared" si="532"/>
        <v>0.92697569824523263</v>
      </c>
      <c r="T635" s="16"/>
      <c r="U635" s="41"/>
      <c r="V635" s="10">
        <f t="shared" si="356"/>
        <v>527</v>
      </c>
      <c r="W635" s="34">
        <v>155</v>
      </c>
      <c r="X635" s="33">
        <v>4256</v>
      </c>
      <c r="Y635" s="33"/>
      <c r="Z635" s="33">
        <f t="shared" si="533"/>
        <v>6922</v>
      </c>
      <c r="AA635" s="33">
        <f t="shared" si="534"/>
        <v>739871</v>
      </c>
      <c r="AB635" s="33"/>
      <c r="AC635" s="46">
        <f t="shared" si="535"/>
        <v>1.585856002060429E-2</v>
      </c>
      <c r="AD635" s="33"/>
      <c r="AE635" s="33">
        <f t="shared" si="536"/>
        <v>1181.9025559105432</v>
      </c>
      <c r="AF635" s="50"/>
      <c r="AG635" s="33"/>
      <c r="AH635" s="33"/>
      <c r="AI635" s="213"/>
      <c r="AJ635" s="50"/>
      <c r="AL635" s="23">
        <f t="shared" si="53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38"/>
        <v>6.4463842334130863E-4</v>
      </c>
      <c r="AS635" s="25"/>
      <c r="AT635" s="25"/>
      <c r="AU635" s="24"/>
      <c r="AV635" s="298">
        <f t="shared" si="539"/>
        <v>0.84715707825990638</v>
      </c>
      <c r="AW635" s="298"/>
      <c r="AX635" s="24">
        <f t="shared" si="540"/>
        <v>63136.698083067095</v>
      </c>
      <c r="AY635" s="308"/>
      <c r="BA635" s="65">
        <f t="shared" si="541"/>
        <v>465359</v>
      </c>
      <c r="BB635" s="66"/>
      <c r="BC635" s="66">
        <v>760636842</v>
      </c>
      <c r="BD635" s="66"/>
      <c r="BE635" s="66">
        <f t="shared" si="542"/>
        <v>35065</v>
      </c>
      <c r="BF635" s="66"/>
      <c r="BG635" s="144">
        <f t="shared" si="543"/>
        <v>7.5350428378950451E-2</v>
      </c>
      <c r="BH635" s="66"/>
      <c r="BI635" s="170"/>
      <c r="BJ635" s="66"/>
      <c r="BK635" s="66"/>
      <c r="BL635" s="66"/>
      <c r="BM635" s="144"/>
      <c r="BN635" s="65">
        <f t="shared" si="544"/>
        <v>1215074.8274760384</v>
      </c>
      <c r="BO635" s="66"/>
      <c r="BP635" s="66">
        <f t="shared" si="545"/>
        <v>45747384</v>
      </c>
      <c r="BQ635" s="66"/>
      <c r="BR635" s="435">
        <f t="shared" si="546"/>
        <v>6.0143529045625692E-2</v>
      </c>
      <c r="BS635" s="66"/>
      <c r="BT635" s="75"/>
      <c r="BU635" s="170"/>
      <c r="BV635" s="1"/>
      <c r="BW635" s="61">
        <f t="shared" si="407"/>
        <v>626</v>
      </c>
    </row>
    <row r="636" spans="2:75" x14ac:dyDescent="0.3">
      <c r="B636" s="158">
        <f t="shared" si="547"/>
        <v>44536</v>
      </c>
      <c r="C636" s="61"/>
      <c r="D636" s="17">
        <v>91965</v>
      </c>
      <c r="E636" s="16"/>
      <c r="F636" s="16"/>
      <c r="G636" s="16"/>
      <c r="H636" s="16">
        <f t="shared" si="527"/>
        <v>46746327</v>
      </c>
      <c r="I636" s="16"/>
      <c r="J636" s="436">
        <f t="shared" si="528"/>
        <v>1.9711983201056312E-3</v>
      </c>
      <c r="K636" s="16"/>
      <c r="L636" s="16"/>
      <c r="M636" s="16"/>
      <c r="N636" s="16">
        <f t="shared" si="529"/>
        <v>729736</v>
      </c>
      <c r="O636" s="16">
        <f t="shared" si="530"/>
        <v>74555.545454545456</v>
      </c>
      <c r="P636" s="41"/>
      <c r="Q636" s="17">
        <f t="shared" si="531"/>
        <v>729736</v>
      </c>
      <c r="R636" s="16"/>
      <c r="S636" s="60">
        <f t="shared" si="532"/>
        <v>0.74097763823711149</v>
      </c>
      <c r="T636" s="16"/>
      <c r="U636" s="41"/>
      <c r="V636" s="10">
        <f t="shared" si="356"/>
        <v>528</v>
      </c>
      <c r="W636" s="34">
        <v>725</v>
      </c>
      <c r="X636" s="33">
        <v>4256</v>
      </c>
      <c r="Y636" s="33"/>
      <c r="Z636" s="33">
        <f t="shared" si="533"/>
        <v>5997</v>
      </c>
      <c r="AA636" s="33">
        <f t="shared" si="534"/>
        <v>740596</v>
      </c>
      <c r="AB636" s="33"/>
      <c r="AC636" s="46">
        <f t="shared" si="535"/>
        <v>1.5842870392790434E-2</v>
      </c>
      <c r="AD636" s="33"/>
      <c r="AE636" s="33">
        <f t="shared" si="536"/>
        <v>1181.1738437001595</v>
      </c>
      <c r="AF636" s="50"/>
      <c r="AG636" s="33"/>
      <c r="AH636" s="33"/>
      <c r="AI636" s="213"/>
      <c r="AJ636" s="50"/>
      <c r="AL636" s="23">
        <f t="shared" si="53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38"/>
        <v>3.8363687412572745E-3</v>
      </c>
      <c r="AS636" s="25"/>
      <c r="AT636" s="25"/>
      <c r="AU636" s="24"/>
      <c r="AV636" s="298">
        <f t="shared" si="539"/>
        <v>0.84873406203657453</v>
      </c>
      <c r="AW636" s="298"/>
      <c r="AX636" s="24">
        <f t="shared" si="540"/>
        <v>63277.830940988839</v>
      </c>
      <c r="AY636" s="308"/>
      <c r="BA636" s="65">
        <f t="shared" si="541"/>
        <v>4161741</v>
      </c>
      <c r="BB636" s="66"/>
      <c r="BC636" s="66">
        <v>764798583</v>
      </c>
      <c r="BD636" s="66"/>
      <c r="BE636" s="66">
        <f t="shared" si="542"/>
        <v>91965</v>
      </c>
      <c r="BF636" s="66"/>
      <c r="BG636" s="144">
        <f t="shared" si="543"/>
        <v>2.2097723044274018E-2</v>
      </c>
      <c r="BH636" s="66"/>
      <c r="BI636" s="170"/>
      <c r="BJ636" s="66"/>
      <c r="BK636" s="66"/>
      <c r="BL636" s="66"/>
      <c r="BM636" s="144"/>
      <c r="BN636" s="65">
        <f t="shared" si="544"/>
        <v>1219774.4545454546</v>
      </c>
      <c r="BO636" s="66"/>
      <c r="BP636" s="66">
        <f t="shared" si="545"/>
        <v>45839349</v>
      </c>
      <c r="BQ636" s="66"/>
      <c r="BR636" s="435">
        <f t="shared" si="546"/>
        <v>5.9936498339458875E-2</v>
      </c>
      <c r="BS636" s="66"/>
      <c r="BT636" s="75"/>
      <c r="BU636" s="170"/>
      <c r="BV636" s="1"/>
      <c r="BW636" s="61">
        <f t="shared" si="407"/>
        <v>627</v>
      </c>
    </row>
    <row r="637" spans="2:75" x14ac:dyDescent="0.3">
      <c r="B637" s="158">
        <f t="shared" si="547"/>
        <v>44537</v>
      </c>
      <c r="C637" s="61"/>
      <c r="D637" s="17">
        <v>107642</v>
      </c>
      <c r="E637" s="16"/>
      <c r="F637" s="16"/>
      <c r="G637" s="16"/>
      <c r="H637" s="16">
        <f t="shared" si="527"/>
        <v>46853969</v>
      </c>
      <c r="I637" s="16"/>
      <c r="J637" s="436">
        <f t="shared" si="528"/>
        <v>2.3026835883811791E-3</v>
      </c>
      <c r="K637" s="16"/>
      <c r="L637" s="16"/>
      <c r="M637" s="16"/>
      <c r="N637" s="16">
        <f t="shared" si="529"/>
        <v>716920</v>
      </c>
      <c r="O637" s="16">
        <f t="shared" si="530"/>
        <v>74608.230891719752</v>
      </c>
      <c r="P637" s="41"/>
      <c r="Q637" s="17">
        <f t="shared" si="531"/>
        <v>716920</v>
      </c>
      <c r="R637" s="16"/>
      <c r="S637" s="60">
        <f t="shared" si="532"/>
        <v>0.58052888590041773</v>
      </c>
      <c r="T637" s="16"/>
      <c r="U637" s="41"/>
      <c r="V637" s="10">
        <f t="shared" si="356"/>
        <v>529</v>
      </c>
      <c r="W637" s="34">
        <v>1722</v>
      </c>
      <c r="X637" s="33">
        <v>4256</v>
      </c>
      <c r="Y637" s="33"/>
      <c r="Z637" s="33">
        <f t="shared" si="533"/>
        <v>5974</v>
      </c>
      <c r="AA637" s="33">
        <f t="shared" si="534"/>
        <v>742318</v>
      </c>
      <c r="AB637" s="33"/>
      <c r="AC637" s="46">
        <f t="shared" si="535"/>
        <v>1.5843225576044583E-2</v>
      </c>
      <c r="AD637" s="33"/>
      <c r="AE637" s="33">
        <f t="shared" si="536"/>
        <v>1182.0350318471337</v>
      </c>
      <c r="AF637" s="50"/>
      <c r="AG637" s="33"/>
      <c r="AH637" s="33"/>
      <c r="AI637" s="213"/>
      <c r="AJ637" s="50"/>
      <c r="AL637" s="23">
        <f t="shared" si="53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38"/>
        <v>1.7055238536919789E-3</v>
      </c>
      <c r="AS637" s="25"/>
      <c r="AT637" s="25"/>
      <c r="AU637" s="24"/>
      <c r="AV637" s="298">
        <f t="shared" si="539"/>
        <v>0.84822839661673055</v>
      </c>
      <c r="AW637" s="298"/>
      <c r="AX637" s="24">
        <f t="shared" si="540"/>
        <v>63284.820063694271</v>
      </c>
      <c r="AY637" s="308"/>
      <c r="BA637" s="65">
        <f t="shared" si="541"/>
        <v>1594691</v>
      </c>
      <c r="BB637" s="66"/>
      <c r="BC637" s="66">
        <v>766393274</v>
      </c>
      <c r="BD637" s="66"/>
      <c r="BE637" s="66">
        <f t="shared" si="542"/>
        <v>107642</v>
      </c>
      <c r="BF637" s="66"/>
      <c r="BG637" s="144">
        <f t="shared" si="543"/>
        <v>6.7500224181361784E-2</v>
      </c>
      <c r="BH637" s="66"/>
      <c r="BI637" s="170"/>
      <c r="BJ637" s="66"/>
      <c r="BK637" s="66"/>
      <c r="BL637" s="66"/>
      <c r="BM637" s="144"/>
      <c r="BN637" s="65">
        <f t="shared" si="544"/>
        <v>1220371.4554140128</v>
      </c>
      <c r="BO637" s="66"/>
      <c r="BP637" s="66">
        <f t="shared" si="545"/>
        <v>45946991</v>
      </c>
      <c r="BQ637" s="66"/>
      <c r="BR637" s="435">
        <f t="shared" si="546"/>
        <v>5.9952236741576626E-2</v>
      </c>
      <c r="BS637" s="66"/>
      <c r="BT637" s="75"/>
      <c r="BU637" s="170"/>
      <c r="BV637" s="1"/>
      <c r="BW637" s="61">
        <f t="shared" si="407"/>
        <v>628</v>
      </c>
    </row>
    <row r="638" spans="2:75" x14ac:dyDescent="0.3">
      <c r="B638" s="158">
        <f t="shared" si="547"/>
        <v>44538</v>
      </c>
      <c r="C638" s="61"/>
      <c r="D638" s="17">
        <v>127411</v>
      </c>
      <c r="E638" s="16"/>
      <c r="F638" s="16"/>
      <c r="G638" s="16"/>
      <c r="H638" s="16">
        <f t="shared" si="527"/>
        <v>46981380</v>
      </c>
      <c r="I638" s="16"/>
      <c r="J638" s="436">
        <f t="shared" si="528"/>
        <v>2.7193213876928976E-3</v>
      </c>
      <c r="K638" s="16"/>
      <c r="L638" s="16"/>
      <c r="M638" s="16"/>
      <c r="N638" s="16">
        <f t="shared" si="529"/>
        <v>712871</v>
      </c>
      <c r="O638" s="16">
        <f t="shared" si="530"/>
        <v>74692.178060413353</v>
      </c>
      <c r="P638" s="41"/>
      <c r="Q638" s="17">
        <f t="shared" si="531"/>
        <v>712871</v>
      </c>
      <c r="R638" s="16"/>
      <c r="S638" s="60">
        <f t="shared" si="532"/>
        <v>0.4844180777784256</v>
      </c>
      <c r="T638" s="16"/>
      <c r="U638" s="41"/>
      <c r="V638" s="10">
        <f t="shared" si="356"/>
        <v>530</v>
      </c>
      <c r="W638" s="34">
        <v>1324</v>
      </c>
      <c r="X638" s="33">
        <v>4256</v>
      </c>
      <c r="Y638" s="33"/>
      <c r="Z638" s="33">
        <f t="shared" si="533"/>
        <v>5770</v>
      </c>
      <c r="AA638" s="33">
        <f t="shared" si="534"/>
        <v>743642</v>
      </c>
      <c r="AB638" s="33"/>
      <c r="AC638" s="46">
        <f t="shared" si="535"/>
        <v>1.5828440969592635E-2</v>
      </c>
      <c r="AD638" s="33"/>
      <c r="AE638" s="33">
        <f t="shared" si="536"/>
        <v>1182.2607313195549</v>
      </c>
      <c r="AF638" s="50"/>
      <c r="AG638" s="33"/>
      <c r="AH638" s="33"/>
      <c r="AI638" s="213"/>
      <c r="AJ638" s="50"/>
      <c r="AL638" s="23">
        <f t="shared" si="53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38"/>
        <v>1.83678243444289E-3</v>
      </c>
      <c r="AS638" s="25"/>
      <c r="AT638" s="25"/>
      <c r="AU638" s="24"/>
      <c r="AV638" s="298">
        <f t="shared" si="539"/>
        <v>0.84748183216414674</v>
      </c>
      <c r="AW638" s="298"/>
      <c r="AX638" s="24">
        <f t="shared" si="540"/>
        <v>63300.263910969792</v>
      </c>
      <c r="AY638" s="308"/>
      <c r="BA638" s="65">
        <f t="shared" si="541"/>
        <v>1951172</v>
      </c>
      <c r="BB638" s="66"/>
      <c r="BC638" s="66">
        <v>768344446</v>
      </c>
      <c r="BD638" s="66"/>
      <c r="BE638" s="66">
        <f t="shared" si="542"/>
        <v>127411</v>
      </c>
      <c r="BF638" s="66"/>
      <c r="BG638" s="144">
        <f t="shared" si="543"/>
        <v>6.5299727548365799E-2</v>
      </c>
      <c r="BH638" s="66"/>
      <c r="BI638" s="170"/>
      <c r="BJ638" s="66"/>
      <c r="BK638" s="66"/>
      <c r="BL638" s="66"/>
      <c r="BM638" s="144"/>
      <c r="BN638" s="65">
        <f t="shared" si="544"/>
        <v>1221533.3004769476</v>
      </c>
      <c r="BO638" s="66"/>
      <c r="BP638" s="66">
        <f t="shared" si="545"/>
        <v>46074402</v>
      </c>
      <c r="BQ638" s="66"/>
      <c r="BR638" s="435">
        <f t="shared" si="546"/>
        <v>5.9965816424994371E-2</v>
      </c>
      <c r="BS638" s="66"/>
      <c r="BT638" s="75"/>
      <c r="BU638" s="170"/>
      <c r="BV638" s="1"/>
      <c r="BW638" s="61">
        <f t="shared" si="407"/>
        <v>629</v>
      </c>
    </row>
    <row r="639" spans="2:75" x14ac:dyDescent="0.3">
      <c r="B639" s="158">
        <f t="shared" si="547"/>
        <v>44539</v>
      </c>
      <c r="C639" s="61"/>
      <c r="D639" s="17">
        <v>110894</v>
      </c>
      <c r="E639" s="16"/>
      <c r="F639" s="16"/>
      <c r="G639" s="16"/>
      <c r="H639" s="16">
        <f t="shared" si="527"/>
        <v>47092274</v>
      </c>
      <c r="I639" s="16"/>
      <c r="J639" s="436">
        <f t="shared" si="528"/>
        <v>2.3603819215186955E-3</v>
      </c>
      <c r="K639" s="16"/>
      <c r="L639" s="16"/>
      <c r="M639" s="16"/>
      <c r="N639" s="16">
        <f t="shared" si="529"/>
        <v>677153</v>
      </c>
      <c r="O639" s="16">
        <f t="shared" si="530"/>
        <v>74749.641269841275</v>
      </c>
      <c r="P639" s="41"/>
      <c r="Q639" s="17">
        <f t="shared" si="531"/>
        <v>677153</v>
      </c>
      <c r="R639" s="16"/>
      <c r="S639" s="60">
        <f t="shared" si="532"/>
        <v>0.15448930079670747</v>
      </c>
      <c r="T639" s="16"/>
      <c r="U639" s="41"/>
      <c r="V639" s="10">
        <f t="shared" si="356"/>
        <v>531</v>
      </c>
      <c r="W639" s="34">
        <v>1088</v>
      </c>
      <c r="X639" s="33">
        <v>4256</v>
      </c>
      <c r="Y639" s="33"/>
      <c r="Z639" s="33">
        <f t="shared" si="533"/>
        <v>5506</v>
      </c>
      <c r="AA639" s="33">
        <f t="shared" si="534"/>
        <v>744730</v>
      </c>
      <c r="AB639" s="33"/>
      <c r="AC639" s="46">
        <f t="shared" si="535"/>
        <v>1.5814271360096138E-2</v>
      </c>
      <c r="AD639" s="33"/>
      <c r="AE639" s="33">
        <f t="shared" si="536"/>
        <v>1182.1111111111111</v>
      </c>
      <c r="AF639" s="50"/>
      <c r="AG639" s="33"/>
      <c r="AH639" s="33"/>
      <c r="AI639" s="213"/>
      <c r="AJ639" s="50"/>
      <c r="AL639" s="23">
        <f t="shared" si="53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38"/>
        <v>1.5969010946540758E-3</v>
      </c>
      <c r="AS639" s="25"/>
      <c r="AT639" s="25"/>
      <c r="AU639" s="24"/>
      <c r="AV639" s="298">
        <f t="shared" si="539"/>
        <v>0.84683631969014705</v>
      </c>
      <c r="AW639" s="298"/>
      <c r="AX639" s="24">
        <f t="shared" si="540"/>
        <v>63300.711111111108</v>
      </c>
      <c r="AY639" s="308"/>
      <c r="BA639" s="65">
        <f t="shared" si="541"/>
        <v>1622015</v>
      </c>
      <c r="BB639" s="66"/>
      <c r="BC639" s="66">
        <v>769966461</v>
      </c>
      <c r="BD639" s="66"/>
      <c r="BE639" s="66">
        <f t="shared" si="542"/>
        <v>110894</v>
      </c>
      <c r="BF639" s="66"/>
      <c r="BG639" s="144">
        <f t="shared" si="543"/>
        <v>6.8368048384262789E-2</v>
      </c>
      <c r="BH639" s="66"/>
      <c r="BI639" s="170"/>
      <c r="BJ639" s="66"/>
      <c r="BK639" s="66"/>
      <c r="BL639" s="66"/>
      <c r="BM639" s="144"/>
      <c r="BN639" s="65">
        <f t="shared" si="544"/>
        <v>1222168.9857142856</v>
      </c>
      <c r="BO639" s="66"/>
      <c r="BP639" s="66">
        <f t="shared" si="545"/>
        <v>46185296</v>
      </c>
      <c r="BQ639" s="66"/>
      <c r="BR639" s="435">
        <f t="shared" si="546"/>
        <v>5.9983516606705811E-2</v>
      </c>
      <c r="BS639" s="66"/>
      <c r="BT639" s="75"/>
      <c r="BU639" s="170"/>
      <c r="BV639" s="1"/>
      <c r="BW639" s="61">
        <f t="shared" si="407"/>
        <v>630</v>
      </c>
    </row>
    <row r="640" spans="2:75" x14ac:dyDescent="0.3">
      <c r="B640" s="158">
        <f t="shared" si="547"/>
        <v>44540</v>
      </c>
      <c r="C640" s="61"/>
      <c r="D640" s="17">
        <v>136839</v>
      </c>
      <c r="E640" s="16"/>
      <c r="F640" s="16"/>
      <c r="G640" s="16"/>
      <c r="H640" s="16">
        <f t="shared" si="527"/>
        <v>47229113</v>
      </c>
      <c r="I640" s="16"/>
      <c r="J640" s="436">
        <f t="shared" si="528"/>
        <v>2.9057632680893684E-3</v>
      </c>
      <c r="K640" s="16"/>
      <c r="L640" s="16"/>
      <c r="M640" s="16"/>
      <c r="N640" s="16">
        <f t="shared" si="529"/>
        <v>666558</v>
      </c>
      <c r="O640" s="16">
        <f t="shared" si="530"/>
        <v>74848.039619651347</v>
      </c>
      <c r="P640" s="41"/>
      <c r="Q640" s="17">
        <f t="shared" si="531"/>
        <v>666558</v>
      </c>
      <c r="R640" s="16"/>
      <c r="S640" s="60">
        <f t="shared" si="532"/>
        <v>-4.2696474298672821E-2</v>
      </c>
      <c r="T640" s="16"/>
      <c r="U640" s="41"/>
      <c r="V640" s="10">
        <f t="shared" si="356"/>
        <v>532</v>
      </c>
      <c r="W640" s="34">
        <v>1574</v>
      </c>
      <c r="X640" s="33">
        <v>4256</v>
      </c>
      <c r="Y640" s="33"/>
      <c r="Z640" s="33">
        <f t="shared" si="533"/>
        <v>6588</v>
      </c>
      <c r="AA640" s="33">
        <f t="shared" si="534"/>
        <v>746304</v>
      </c>
      <c r="AB640" s="33"/>
      <c r="AC640" s="46">
        <f t="shared" si="535"/>
        <v>1.580177887312853E-2</v>
      </c>
      <c r="AD640" s="33"/>
      <c r="AE640" s="33">
        <f t="shared" si="536"/>
        <v>1182.7321711568939</v>
      </c>
      <c r="AF640" s="50"/>
      <c r="AG640" s="33"/>
      <c r="AH640" s="33"/>
      <c r="AI640" s="213"/>
      <c r="AJ640" s="50"/>
      <c r="AL640" s="23">
        <f t="shared" si="53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38"/>
        <v>1.8115847541320031E-3</v>
      </c>
      <c r="AS640" s="25"/>
      <c r="AT640" s="25"/>
      <c r="AU640" s="24"/>
      <c r="AV640" s="298">
        <f t="shared" si="539"/>
        <v>0.84591241423483854</v>
      </c>
      <c r="AW640" s="298"/>
      <c r="AX640" s="24">
        <f t="shared" si="540"/>
        <v>63314.885895404121</v>
      </c>
      <c r="AY640" s="308"/>
      <c r="BA640" s="65">
        <f t="shared" si="541"/>
        <v>2508466</v>
      </c>
      <c r="BB640" s="66"/>
      <c r="BC640" s="66">
        <v>772474927</v>
      </c>
      <c r="BD640" s="66"/>
      <c r="BE640" s="66">
        <f t="shared" si="542"/>
        <v>136839</v>
      </c>
      <c r="BF640" s="66"/>
      <c r="BG640" s="144">
        <f t="shared" si="543"/>
        <v>5.4550868937430289E-2</v>
      </c>
      <c r="BH640" s="66"/>
      <c r="BI640" s="170"/>
      <c r="BJ640" s="66"/>
      <c r="BK640" s="66"/>
      <c r="BL640" s="66"/>
      <c r="BM640" s="144"/>
      <c r="BN640" s="65">
        <f t="shared" si="544"/>
        <v>1224207.4912836768</v>
      </c>
      <c r="BO640" s="66"/>
      <c r="BP640" s="66">
        <f t="shared" si="545"/>
        <v>46322135</v>
      </c>
      <c r="BQ640" s="66"/>
      <c r="BR640" s="435">
        <f t="shared" si="546"/>
        <v>5.9965875112474684E-2</v>
      </c>
      <c r="BS640" s="66"/>
      <c r="BT640" s="75"/>
      <c r="BU640" s="170"/>
      <c r="BV640" s="1"/>
      <c r="BW640" s="61">
        <f t="shared" si="407"/>
        <v>631</v>
      </c>
    </row>
    <row r="641" spans="2:75" x14ac:dyDescent="0.3">
      <c r="B641" s="158">
        <f t="shared" si="547"/>
        <v>44541</v>
      </c>
      <c r="C641" s="61"/>
      <c r="D641" s="17">
        <v>57414</v>
      </c>
      <c r="E641" s="16"/>
      <c r="F641" s="16"/>
      <c r="G641" s="16"/>
      <c r="H641" s="16">
        <f t="shared" si="527"/>
        <v>47286527</v>
      </c>
      <c r="I641" s="16"/>
      <c r="J641" s="436">
        <f t="shared" si="528"/>
        <v>1.2156484920646297E-3</v>
      </c>
      <c r="K641" s="16"/>
      <c r="L641" s="16"/>
      <c r="M641" s="16"/>
      <c r="N641" s="16">
        <f t="shared" si="529"/>
        <v>667230</v>
      </c>
      <c r="O641" s="16">
        <f t="shared" si="530"/>
        <v>74820.454113924046</v>
      </c>
      <c r="P641" s="41"/>
      <c r="Q641" s="17">
        <f t="shared" si="531"/>
        <v>667230</v>
      </c>
      <c r="R641" s="16"/>
      <c r="S641" s="60">
        <f t="shared" si="532"/>
        <v>-8.6508117965490947E-2</v>
      </c>
      <c r="T641" s="16"/>
      <c r="U641" s="41"/>
      <c r="V641" s="10">
        <f t="shared" si="356"/>
        <v>533</v>
      </c>
      <c r="W641" s="34">
        <v>446</v>
      </c>
      <c r="X641" s="33">
        <v>4256</v>
      </c>
      <c r="Y641" s="33"/>
      <c r="Z641" s="33">
        <f t="shared" si="533"/>
        <v>6879</v>
      </c>
      <c r="AA641" s="33">
        <f t="shared" si="534"/>
        <v>746750</v>
      </c>
      <c r="AB641" s="33"/>
      <c r="AC641" s="46">
        <f t="shared" si="535"/>
        <v>1.5792024650065756E-2</v>
      </c>
      <c r="AD641" s="33"/>
      <c r="AE641" s="33">
        <f t="shared" si="536"/>
        <v>1181.5664556962026</v>
      </c>
      <c r="AF641" s="50"/>
      <c r="AG641" s="33"/>
      <c r="AH641" s="33"/>
      <c r="AI641" s="213"/>
      <c r="AJ641" s="50"/>
      <c r="AL641" s="23">
        <f t="shared" si="53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38"/>
        <v>8.7080164537708081E-4</v>
      </c>
      <c r="AS641" s="25"/>
      <c r="AT641" s="25"/>
      <c r="AU641" s="24"/>
      <c r="AV641" s="298">
        <f t="shared" si="539"/>
        <v>0.84562105819274902</v>
      </c>
      <c r="AW641" s="298"/>
      <c r="AX641" s="24">
        <f t="shared" si="540"/>
        <v>63269.751582278484</v>
      </c>
      <c r="AY641" s="308"/>
      <c r="BA641" s="65">
        <f t="shared" si="541"/>
        <v>825924</v>
      </c>
      <c r="BB641" s="66"/>
      <c r="BC641" s="66">
        <v>773300851</v>
      </c>
      <c r="BD641" s="66"/>
      <c r="BE641" s="66">
        <f t="shared" si="542"/>
        <v>57414</v>
      </c>
      <c r="BF641" s="66"/>
      <c r="BG641" s="144">
        <f t="shared" si="543"/>
        <v>6.9514870617635519E-2</v>
      </c>
      <c r="BH641" s="66"/>
      <c r="BI641" s="170"/>
      <c r="BJ641" s="66"/>
      <c r="BK641" s="66"/>
      <c r="BL641" s="66"/>
      <c r="BM641" s="144"/>
      <c r="BN641" s="65">
        <f t="shared" si="544"/>
        <v>1223577.2958860761</v>
      </c>
      <c r="BO641" s="66"/>
      <c r="BP641" s="66">
        <f t="shared" si="545"/>
        <v>46379549</v>
      </c>
      <c r="BQ641" s="66"/>
      <c r="BR641" s="435">
        <f t="shared" si="546"/>
        <v>5.9976073917446138E-2</v>
      </c>
      <c r="BS641" s="66"/>
      <c r="BT641" s="75"/>
      <c r="BU641" s="170"/>
      <c r="BV641" s="1"/>
      <c r="BW641" s="61">
        <f t="shared" si="407"/>
        <v>632</v>
      </c>
    </row>
    <row r="642" spans="2:75" x14ac:dyDescent="0.3">
      <c r="B642" s="347">
        <f t="shared" si="547"/>
        <v>44542</v>
      </c>
      <c r="C642" s="61"/>
      <c r="D642" s="17">
        <v>38784</v>
      </c>
      <c r="E642" s="16"/>
      <c r="F642" s="16"/>
      <c r="G642" s="16"/>
      <c r="H642" s="16">
        <f t="shared" si="527"/>
        <v>47325311</v>
      </c>
      <c r="I642" s="16"/>
      <c r="J642" s="436">
        <f t="shared" si="528"/>
        <v>8.2019134118265869E-4</v>
      </c>
      <c r="K642" s="16"/>
      <c r="L642" s="16"/>
      <c r="M642" s="16"/>
      <c r="N642" s="16">
        <f t="shared" si="529"/>
        <v>670949</v>
      </c>
      <c r="O642" s="16">
        <f t="shared" si="530"/>
        <v>74763.524486571885</v>
      </c>
      <c r="P642" s="41"/>
      <c r="Q642" s="17">
        <f t="shared" si="531"/>
        <v>670949</v>
      </c>
      <c r="R642" s="16"/>
      <c r="S642" s="60">
        <f t="shared" si="532"/>
        <v>-9.8970384625198249E-2</v>
      </c>
      <c r="T642" s="16"/>
      <c r="U642" s="41"/>
      <c r="V642" s="10">
        <f t="shared" si="356"/>
        <v>534</v>
      </c>
      <c r="W642" s="34">
        <v>167</v>
      </c>
      <c r="X642" s="33">
        <v>4256</v>
      </c>
      <c r="Y642" s="33"/>
      <c r="Z642" s="33">
        <f t="shared" si="533"/>
        <v>6321</v>
      </c>
      <c r="AA642" s="33">
        <f t="shared" si="534"/>
        <v>746917</v>
      </c>
      <c r="AB642" s="33"/>
      <c r="AC642" s="46">
        <f t="shared" si="535"/>
        <v>1.5782611550085746E-2</v>
      </c>
      <c r="AD642" s="33"/>
      <c r="AE642" s="33">
        <f t="shared" si="536"/>
        <v>1179.9636650868879</v>
      </c>
      <c r="AF642" s="50"/>
      <c r="AG642" s="33"/>
      <c r="AH642" s="33"/>
      <c r="AI642" s="213"/>
      <c r="AJ642" s="50"/>
      <c r="AL642" s="23">
        <f t="shared" si="53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38"/>
        <v>4.2992028081089302E-4</v>
      </c>
      <c r="AS642" s="25"/>
      <c r="AT642" s="25"/>
      <c r="AU642" s="24"/>
      <c r="AV642" s="298">
        <f t="shared" si="539"/>
        <v>0.84529130722458434</v>
      </c>
      <c r="AW642" s="298"/>
      <c r="AX642" s="24">
        <f t="shared" si="540"/>
        <v>63196.957345971561</v>
      </c>
      <c r="AY642" s="308"/>
      <c r="BA642" s="65">
        <f t="shared" si="541"/>
        <v>432813</v>
      </c>
      <c r="BB642" s="66"/>
      <c r="BC642" s="66">
        <v>773733664</v>
      </c>
      <c r="BD642" s="66"/>
      <c r="BE642" s="66">
        <f t="shared" si="542"/>
        <v>38784</v>
      </c>
      <c r="BF642" s="66"/>
      <c r="BG642" s="144">
        <f t="shared" si="543"/>
        <v>8.9609138357674104E-2</v>
      </c>
      <c r="BH642" s="66"/>
      <c r="BI642" s="170"/>
      <c r="BJ642" s="66"/>
      <c r="BK642" s="66"/>
      <c r="BL642" s="66"/>
      <c r="BM642" s="144"/>
      <c r="BN642" s="65">
        <f t="shared" si="544"/>
        <v>1222328.0631911533</v>
      </c>
      <c r="BO642" s="66"/>
      <c r="BP642" s="66">
        <f t="shared" si="545"/>
        <v>46418333</v>
      </c>
      <c r="BQ642" s="66"/>
      <c r="BR642" s="435">
        <f t="shared" si="546"/>
        <v>5.999265013238457E-2</v>
      </c>
      <c r="BS642" s="66"/>
      <c r="BT642" s="75"/>
      <c r="BU642" s="170"/>
      <c r="BV642" s="1"/>
      <c r="BW642" s="61">
        <f t="shared" si="407"/>
        <v>633</v>
      </c>
    </row>
    <row r="643" spans="2:75" x14ac:dyDescent="0.3">
      <c r="B643" s="158">
        <f t="shared" si="547"/>
        <v>44543</v>
      </c>
      <c r="C643" s="61"/>
      <c r="D643" s="17">
        <v>95343</v>
      </c>
      <c r="E643" s="16"/>
      <c r="F643" s="16"/>
      <c r="G643" s="16"/>
      <c r="H643" s="16">
        <f t="shared" si="527"/>
        <v>47420654</v>
      </c>
      <c r="I643" s="16"/>
      <c r="J643" s="436">
        <f t="shared" si="528"/>
        <v>2.0146301838354533E-3</v>
      </c>
      <c r="K643" s="16"/>
      <c r="L643" s="16"/>
      <c r="M643" s="16"/>
      <c r="N643" s="16">
        <f t="shared" si="529"/>
        <v>674327</v>
      </c>
      <c r="O643" s="16">
        <f t="shared" si="530"/>
        <v>74795.984227129331</v>
      </c>
      <c r="P643" s="41"/>
      <c r="Q643" s="17">
        <f t="shared" si="531"/>
        <v>674327</v>
      </c>
      <c r="R643" s="16"/>
      <c r="S643" s="60">
        <f t="shared" si="532"/>
        <v>-7.5930199414582802E-2</v>
      </c>
      <c r="T643" s="16"/>
      <c r="U643" s="41"/>
      <c r="V643" s="10">
        <f t="shared" si="356"/>
        <v>535</v>
      </c>
      <c r="W643" s="34">
        <v>549</v>
      </c>
      <c r="X643" s="33">
        <v>4256</v>
      </c>
      <c r="Y643" s="33"/>
      <c r="Z643" s="33">
        <f t="shared" si="533"/>
        <v>5148</v>
      </c>
      <c r="AA643" s="33">
        <f t="shared" si="534"/>
        <v>747466</v>
      </c>
      <c r="AB643" s="33"/>
      <c r="AC643" s="46">
        <f t="shared" si="535"/>
        <v>1.5762456586954705E-2</v>
      </c>
      <c r="AD643" s="33"/>
      <c r="AE643" s="33">
        <f t="shared" si="536"/>
        <v>1178.9684542586751</v>
      </c>
      <c r="AF643" s="50"/>
      <c r="AG643" s="33"/>
      <c r="AH643" s="33"/>
      <c r="AI643" s="213"/>
      <c r="AJ643" s="50"/>
      <c r="AL643" s="23">
        <f t="shared" si="53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38"/>
        <v>3.7753032383975533E-3</v>
      </c>
      <c r="AS643" s="25"/>
      <c r="AT643" s="25"/>
      <c r="AU643" s="24"/>
      <c r="AV643" s="298">
        <f t="shared" si="539"/>
        <v>0.84677659654377602</v>
      </c>
      <c r="AW643" s="298"/>
      <c r="AX643" s="24">
        <f t="shared" si="540"/>
        <v>63335.488958990536</v>
      </c>
      <c r="AY643" s="308"/>
      <c r="BA643" s="65">
        <f t="shared" si="541"/>
        <v>4327383</v>
      </c>
      <c r="BB643" s="66"/>
      <c r="BC643" s="66">
        <v>778061047</v>
      </c>
      <c r="BD643" s="66"/>
      <c r="BE643" s="66">
        <f t="shared" si="542"/>
        <v>95343</v>
      </c>
      <c r="BF643" s="66"/>
      <c r="BG643" s="144">
        <f t="shared" si="543"/>
        <v>2.2032484760419867E-2</v>
      </c>
      <c r="BH643" s="66"/>
      <c r="BI643" s="170"/>
      <c r="BJ643" s="66"/>
      <c r="BK643" s="66"/>
      <c r="BL643" s="66"/>
      <c r="BM643" s="144"/>
      <c r="BN643" s="65">
        <f t="shared" si="544"/>
        <v>1227225.6261829652</v>
      </c>
      <c r="BO643" s="66"/>
      <c r="BP643" s="66">
        <f t="shared" si="545"/>
        <v>46513676</v>
      </c>
      <c r="BQ643" s="66"/>
      <c r="BR643" s="435">
        <f t="shared" si="546"/>
        <v>5.9781525086424231E-2</v>
      </c>
      <c r="BS643" s="66"/>
      <c r="BT643" s="75"/>
      <c r="BU643" s="170"/>
      <c r="BV643" s="1"/>
      <c r="BW643" s="61">
        <f t="shared" si="407"/>
        <v>634</v>
      </c>
    </row>
    <row r="644" spans="2:75" x14ac:dyDescent="0.3">
      <c r="B644" s="158">
        <f t="shared" si="547"/>
        <v>44544</v>
      </c>
      <c r="C644" s="61"/>
      <c r="D644" s="17">
        <v>108566</v>
      </c>
      <c r="E644" s="16"/>
      <c r="F644" s="16"/>
      <c r="G644" s="16"/>
      <c r="H644" s="16">
        <f t="shared" si="527"/>
        <v>47529220</v>
      </c>
      <c r="I644" s="16"/>
      <c r="J644" s="436">
        <f t="shared" si="528"/>
        <v>2.2894243508324451E-3</v>
      </c>
      <c r="K644" s="16"/>
      <c r="L644" s="16"/>
      <c r="M644" s="16"/>
      <c r="N644" s="16">
        <f t="shared" si="529"/>
        <v>675251</v>
      </c>
      <c r="O644" s="16">
        <f t="shared" si="530"/>
        <v>74849.165354330704</v>
      </c>
      <c r="P644" s="41"/>
      <c r="Q644" s="17">
        <f t="shared" si="531"/>
        <v>675251</v>
      </c>
      <c r="R644" s="16"/>
      <c r="S644" s="60">
        <f t="shared" si="532"/>
        <v>-5.8122245159850469E-2</v>
      </c>
      <c r="T644" s="16"/>
      <c r="U644" s="41"/>
      <c r="V644" s="10">
        <f t="shared" si="356"/>
        <v>536</v>
      </c>
      <c r="W644" s="34">
        <v>1598</v>
      </c>
      <c r="X644" s="33">
        <v>4256</v>
      </c>
      <c r="Y644" s="33"/>
      <c r="Z644" s="33">
        <f t="shared" si="533"/>
        <v>5422</v>
      </c>
      <c r="AA644" s="33">
        <f t="shared" si="534"/>
        <v>749064</v>
      </c>
      <c r="AB644" s="33"/>
      <c r="AC644" s="46">
        <f t="shared" si="535"/>
        <v>1.5760073487425211E-2</v>
      </c>
      <c r="AD644" s="33"/>
      <c r="AE644" s="33">
        <f t="shared" si="536"/>
        <v>1179.628346456693</v>
      </c>
      <c r="AF644" s="50"/>
      <c r="AG644" s="33"/>
      <c r="AH644" s="33"/>
      <c r="AI644" s="213"/>
      <c r="AJ644" s="50"/>
      <c r="AL644" s="23">
        <f t="shared" si="53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38"/>
        <v>2.1121562357582051E-3</v>
      </c>
      <c r="AS644" s="25"/>
      <c r="AT644" s="25"/>
      <c r="AU644" s="24"/>
      <c r="AV644" s="298">
        <f t="shared" si="539"/>
        <v>0.84662683292509322</v>
      </c>
      <c r="AW644" s="298"/>
      <c r="AX644" s="24">
        <f t="shared" si="540"/>
        <v>63369.311811023625</v>
      </c>
      <c r="AY644" s="308"/>
      <c r="BA644" s="65">
        <f t="shared" si="541"/>
        <v>1525244</v>
      </c>
      <c r="BB644" s="66"/>
      <c r="BC644" s="66">
        <v>779586291</v>
      </c>
      <c r="BD644" s="66"/>
      <c r="BE644" s="66">
        <f t="shared" si="542"/>
        <v>108566</v>
      </c>
      <c r="BF644" s="66"/>
      <c r="BG644" s="144">
        <f t="shared" si="543"/>
        <v>7.117943096317704E-2</v>
      </c>
      <c r="BH644" s="66"/>
      <c r="BI644" s="170"/>
      <c r="BJ644" s="66"/>
      <c r="BK644" s="66"/>
      <c r="BL644" s="66"/>
      <c r="BM644" s="144"/>
      <c r="BN644" s="65">
        <f t="shared" si="544"/>
        <v>1227694.9464566929</v>
      </c>
      <c r="BO644" s="66"/>
      <c r="BP644" s="66">
        <f t="shared" si="545"/>
        <v>46622242</v>
      </c>
      <c r="BQ644" s="66"/>
      <c r="BR644" s="435">
        <f t="shared" si="546"/>
        <v>5.980382484688921E-2</v>
      </c>
      <c r="BS644" s="66"/>
      <c r="BT644" s="75"/>
      <c r="BU644" s="170"/>
      <c r="BV644" s="1"/>
      <c r="BW644" s="61">
        <f t="shared" si="407"/>
        <v>635</v>
      </c>
    </row>
    <row r="645" spans="2:75" x14ac:dyDescent="0.3">
      <c r="B645" s="158">
        <f t="shared" si="547"/>
        <v>44545</v>
      </c>
      <c r="C645" s="61"/>
      <c r="D645" s="17">
        <v>136590</v>
      </c>
      <c r="E645" s="16"/>
      <c r="F645" s="16"/>
      <c r="G645" s="16"/>
      <c r="H645" s="16">
        <f t="shared" si="527"/>
        <v>47665810</v>
      </c>
      <c r="I645" s="16"/>
      <c r="J645" s="436">
        <f t="shared" si="528"/>
        <v>2.8738110997824076E-3</v>
      </c>
      <c r="K645" s="16"/>
      <c r="L645" s="16"/>
      <c r="M645" s="16"/>
      <c r="N645" s="16">
        <f t="shared" si="529"/>
        <v>684430</v>
      </c>
      <c r="O645" s="16">
        <f t="shared" si="530"/>
        <v>74946.242138364774</v>
      </c>
      <c r="P645" s="41"/>
      <c r="Q645" s="17">
        <f t="shared" si="531"/>
        <v>684430</v>
      </c>
      <c r="R645" s="16"/>
      <c r="S645" s="60">
        <f t="shared" si="532"/>
        <v>-3.9896418847168699E-2</v>
      </c>
      <c r="T645" s="16"/>
      <c r="U645" s="41"/>
      <c r="V645" s="10">
        <f t="shared" si="356"/>
        <v>537</v>
      </c>
      <c r="W645" s="34">
        <v>1690</v>
      </c>
      <c r="X645" s="33">
        <v>4256</v>
      </c>
      <c r="Y645" s="33"/>
      <c r="Z645" s="33">
        <f t="shared" si="533"/>
        <v>6024</v>
      </c>
      <c r="AA645" s="33">
        <f t="shared" si="534"/>
        <v>750754</v>
      </c>
      <c r="AB645" s="33"/>
      <c r="AC645" s="46">
        <f t="shared" si="535"/>
        <v>1.5750366982119887E-2</v>
      </c>
      <c r="AD645" s="33"/>
      <c r="AE645" s="33">
        <f t="shared" si="536"/>
        <v>1180.4308176100628</v>
      </c>
      <c r="AF645" s="50"/>
      <c r="AG645" s="33"/>
      <c r="AH645" s="33"/>
      <c r="AI645" s="213"/>
      <c r="AJ645" s="50"/>
      <c r="AL645" s="23">
        <f t="shared" si="53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38"/>
        <v>2.5857171780384121E-3</v>
      </c>
      <c r="AS645" s="25"/>
      <c r="AT645" s="25"/>
      <c r="AU645" s="24"/>
      <c r="AV645" s="298">
        <f t="shared" si="539"/>
        <v>0.84638362381757493</v>
      </c>
      <c r="AW645" s="298"/>
      <c r="AX645" s="24">
        <f t="shared" si="540"/>
        <v>63433.272012578615</v>
      </c>
      <c r="AY645" s="308"/>
      <c r="BA645" s="65">
        <f t="shared" si="541"/>
        <v>1779795</v>
      </c>
      <c r="BB645" s="66"/>
      <c r="BC645" s="66">
        <v>781366086</v>
      </c>
      <c r="BD645" s="66"/>
      <c r="BE645" s="66">
        <f t="shared" si="542"/>
        <v>136590</v>
      </c>
      <c r="BF645" s="66"/>
      <c r="BG645" s="144">
        <f t="shared" si="543"/>
        <v>7.674479364196439E-2</v>
      </c>
      <c r="BH645" s="66"/>
      <c r="BI645" s="170"/>
      <c r="BJ645" s="66"/>
      <c r="BK645" s="66"/>
      <c r="BL645" s="66"/>
      <c r="BM645" s="144"/>
      <c r="BN645" s="65">
        <f t="shared" si="544"/>
        <v>1228563.0283018867</v>
      </c>
      <c r="BO645" s="66"/>
      <c r="BP645" s="66">
        <f t="shared" si="545"/>
        <v>46758832</v>
      </c>
      <c r="BQ645" s="66"/>
      <c r="BR645" s="435">
        <f t="shared" si="546"/>
        <v>5.9842412971069237E-2</v>
      </c>
      <c r="BS645" s="66"/>
      <c r="BT645" s="75"/>
      <c r="BU645" s="170"/>
      <c r="BV645" s="1"/>
      <c r="BW645" s="61">
        <f t="shared" si="407"/>
        <v>636</v>
      </c>
    </row>
    <row r="646" spans="2:75" x14ac:dyDescent="0.3">
      <c r="B646" s="158">
        <f t="shared" si="547"/>
        <v>44546</v>
      </c>
      <c r="C646" s="61"/>
      <c r="D646" s="17">
        <v>155795</v>
      </c>
      <c r="E646" s="16"/>
      <c r="F646" s="16"/>
      <c r="G646" s="16"/>
      <c r="H646" s="16">
        <f t="shared" si="527"/>
        <v>47821605</v>
      </c>
      <c r="I646" s="16"/>
      <c r="J646" s="436">
        <f t="shared" si="528"/>
        <v>3.268485314736076E-3</v>
      </c>
      <c r="K646" s="16"/>
      <c r="L646" s="16"/>
      <c r="M646" s="16"/>
      <c r="N646" s="16">
        <f t="shared" si="529"/>
        <v>729331</v>
      </c>
      <c r="O646" s="16">
        <f t="shared" si="530"/>
        <v>75073.163265306124</v>
      </c>
      <c r="P646" s="41"/>
      <c r="Q646" s="17">
        <f t="shared" si="531"/>
        <v>729331</v>
      </c>
      <c r="R646" s="16"/>
      <c r="S646" s="60">
        <f t="shared" si="532"/>
        <v>7.7054963944632904E-2</v>
      </c>
      <c r="T646" s="16"/>
      <c r="U646" s="41"/>
      <c r="V646" s="10">
        <f t="shared" si="356"/>
        <v>538</v>
      </c>
      <c r="W646" s="34">
        <v>1324</v>
      </c>
      <c r="X646" s="33">
        <v>4256</v>
      </c>
      <c r="Y646" s="33"/>
      <c r="Z646" s="33">
        <f t="shared" si="533"/>
        <v>5774</v>
      </c>
      <c r="AA646" s="33">
        <f t="shared" si="534"/>
        <v>752078</v>
      </c>
      <c r="AB646" s="33"/>
      <c r="AC646" s="46">
        <f t="shared" si="535"/>
        <v>1.5726741082822293E-2</v>
      </c>
      <c r="AD646" s="33"/>
      <c r="AE646" s="33">
        <f t="shared" si="536"/>
        <v>1180.6562009419151</v>
      </c>
      <c r="AF646" s="50"/>
      <c r="AG646" s="33"/>
      <c r="AH646" s="33"/>
      <c r="AI646" s="213"/>
      <c r="AJ646" s="50"/>
      <c r="AL646" s="23">
        <f t="shared" si="53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38"/>
        <v>1.5923482808074378E-3</v>
      </c>
      <c r="AS646" s="25"/>
      <c r="AT646" s="25"/>
      <c r="AU646" s="24"/>
      <c r="AV646" s="298">
        <f t="shared" si="539"/>
        <v>0.84496959062749988</v>
      </c>
      <c r="AW646" s="298"/>
      <c r="AX646" s="24">
        <f t="shared" si="540"/>
        <v>63434.540031397177</v>
      </c>
      <c r="AY646" s="308"/>
      <c r="BA646" s="65">
        <f t="shared" si="541"/>
        <v>1886361</v>
      </c>
      <c r="BB646" s="66"/>
      <c r="BC646" s="66">
        <v>783252447</v>
      </c>
      <c r="BD646" s="66"/>
      <c r="BE646" s="66">
        <f t="shared" si="542"/>
        <v>155795</v>
      </c>
      <c r="BF646" s="66"/>
      <c r="BG646" s="144">
        <f t="shared" si="543"/>
        <v>8.2590235909245371E-2</v>
      </c>
      <c r="BH646" s="66"/>
      <c r="BI646" s="170"/>
      <c r="BJ646" s="66"/>
      <c r="BK646" s="66"/>
      <c r="BL646" s="66"/>
      <c r="BM646" s="144"/>
      <c r="BN646" s="65">
        <f t="shared" si="544"/>
        <v>1229595.6781789639</v>
      </c>
      <c r="BO646" s="66"/>
      <c r="BP646" s="66">
        <f t="shared" si="545"/>
        <v>46914627</v>
      </c>
      <c r="BQ646" s="66"/>
      <c r="BR646" s="435">
        <f t="shared" si="546"/>
        <v>5.9897198125191432E-2</v>
      </c>
      <c r="BS646" s="66"/>
      <c r="BT646" s="75"/>
      <c r="BU646" s="170"/>
      <c r="BV646" s="1"/>
      <c r="BW646" s="61">
        <f t="shared" si="407"/>
        <v>637</v>
      </c>
    </row>
    <row r="647" spans="2:75" x14ac:dyDescent="0.3">
      <c r="B647" s="158">
        <f t="shared" si="547"/>
        <v>44547</v>
      </c>
      <c r="C647" s="61"/>
      <c r="D647" s="17">
        <v>163707</v>
      </c>
      <c r="E647" s="16"/>
      <c r="F647" s="16"/>
      <c r="G647" s="16"/>
      <c r="H647" s="16">
        <f t="shared" si="527"/>
        <v>47985312</v>
      </c>
      <c r="I647" s="16"/>
      <c r="J647" s="436">
        <f t="shared" si="528"/>
        <v>3.4232853539733765E-3</v>
      </c>
      <c r="K647" s="16"/>
      <c r="L647" s="16"/>
      <c r="M647" s="16"/>
      <c r="N647" s="16">
        <f t="shared" si="529"/>
        <v>756199</v>
      </c>
      <c r="O647" s="16">
        <f t="shared" si="530"/>
        <v>75212.087774294676</v>
      </c>
      <c r="P647" s="41"/>
      <c r="Q647" s="17">
        <f t="shared" si="531"/>
        <v>756199</v>
      </c>
      <c r="R647" s="16"/>
      <c r="S647" s="60">
        <f t="shared" si="532"/>
        <v>0.13448342079759001</v>
      </c>
      <c r="T647" s="16"/>
      <c r="U647" s="41"/>
      <c r="V647" s="10">
        <f t="shared" si="356"/>
        <v>539</v>
      </c>
      <c r="W647" s="34">
        <v>1653</v>
      </c>
      <c r="X647" s="33">
        <v>4256</v>
      </c>
      <c r="Y647" s="33"/>
      <c r="Z647" s="33">
        <f t="shared" si="533"/>
        <v>6981</v>
      </c>
      <c r="AA647" s="33">
        <f t="shared" si="534"/>
        <v>753731</v>
      </c>
      <c r="AB647" s="33"/>
      <c r="AC647" s="46">
        <f t="shared" si="535"/>
        <v>1.5707535672582477E-2</v>
      </c>
      <c r="AD647" s="33"/>
      <c r="AE647" s="33">
        <f t="shared" si="536"/>
        <v>1181.3965517241379</v>
      </c>
      <c r="AF647" s="50"/>
      <c r="AG647" s="33"/>
      <c r="AH647" s="33"/>
      <c r="AI647" s="213"/>
      <c r="AJ647" s="50"/>
      <c r="AL647" s="23">
        <f t="shared" si="53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38"/>
        <v>1.6468106827488415E-3</v>
      </c>
      <c r="AS647" s="25"/>
      <c r="AT647" s="25"/>
      <c r="AU647" s="24"/>
      <c r="AV647" s="298">
        <f t="shared" si="539"/>
        <v>0.84347364460191487</v>
      </c>
      <c r="AW647" s="298"/>
      <c r="AX647" s="24">
        <f t="shared" si="540"/>
        <v>63439.413793103449</v>
      </c>
      <c r="AY647" s="308"/>
      <c r="BA647" s="65">
        <f t="shared" si="541"/>
        <v>2048448</v>
      </c>
      <c r="BB647" s="66"/>
      <c r="BC647" s="66">
        <v>785300895</v>
      </c>
      <c r="BD647" s="66"/>
      <c r="BE647" s="66">
        <f t="shared" si="542"/>
        <v>163707</v>
      </c>
      <c r="BF647" s="66"/>
      <c r="BG647" s="144">
        <f t="shared" si="543"/>
        <v>7.9917576623863534E-2</v>
      </c>
      <c r="BH647" s="66"/>
      <c r="BI647" s="170"/>
      <c r="BJ647" s="66"/>
      <c r="BK647" s="66"/>
      <c r="BL647" s="66"/>
      <c r="BM647" s="144"/>
      <c r="BN647" s="65">
        <f t="shared" si="544"/>
        <v>1230879.1457680252</v>
      </c>
      <c r="BO647" s="66"/>
      <c r="BP647" s="66">
        <f t="shared" si="545"/>
        <v>47078334</v>
      </c>
      <c r="BQ647" s="66"/>
      <c r="BR647" s="435">
        <f t="shared" si="546"/>
        <v>5.994942104325502E-2</v>
      </c>
      <c r="BS647" s="66"/>
      <c r="BT647" s="75"/>
      <c r="BU647" s="170"/>
      <c r="BV647" s="1"/>
      <c r="BW647" s="61">
        <f t="shared" si="407"/>
        <v>638</v>
      </c>
    </row>
    <row r="648" spans="2:75" x14ac:dyDescent="0.3">
      <c r="B648" s="158">
        <f t="shared" si="547"/>
        <v>44548</v>
      </c>
      <c r="C648" s="61"/>
      <c r="D648" s="17">
        <v>85924</v>
      </c>
      <c r="E648" s="16"/>
      <c r="F648" s="16"/>
      <c r="G648" s="16"/>
      <c r="H648" s="16">
        <f t="shared" ref="H648:H677" si="548">+H647+D648</f>
        <v>48071236</v>
      </c>
      <c r="I648" s="16"/>
      <c r="J648" s="436">
        <f t="shared" ref="J648:J677" si="549">+D648/H647</f>
        <v>1.7906312665008826E-3</v>
      </c>
      <c r="K648" s="16"/>
      <c r="L648" s="16"/>
      <c r="M648" s="16"/>
      <c r="N648" s="16">
        <f t="shared" ref="N648:N677" si="550">SUM(D642:D648)</f>
        <v>784709</v>
      </c>
      <c r="O648" s="16">
        <f t="shared" ref="O648:O677" si="551">+H648/BW648</f>
        <v>75228.851330203441</v>
      </c>
      <c r="P648" s="41"/>
      <c r="Q648" s="17">
        <f t="shared" ref="Q648:Q677" si="552">SUM(D642:D648)</f>
        <v>784709</v>
      </c>
      <c r="R648" s="16"/>
      <c r="S648" s="60">
        <f t="shared" ref="S648:S677" si="553">+(Q648-Q641)/Q641</f>
        <v>0.17606972108568258</v>
      </c>
      <c r="T648" s="16"/>
      <c r="U648" s="41"/>
      <c r="V648" s="10">
        <f t="shared" si="356"/>
        <v>540</v>
      </c>
      <c r="W648" s="34">
        <v>487</v>
      </c>
      <c r="X648" s="33">
        <v>4256</v>
      </c>
      <c r="Y648" s="33"/>
      <c r="Z648" s="33">
        <f t="shared" ref="Z648:Z677" si="554">SUM(W643:W648)</f>
        <v>7301</v>
      </c>
      <c r="AA648" s="33">
        <f t="shared" ref="AA648:AA677" si="555">+AA647+W648</f>
        <v>754218</v>
      </c>
      <c r="AB648" s="33"/>
      <c r="AC648" s="46">
        <f t="shared" ref="AC648:AC677" si="556">+AA648/H648</f>
        <v>1.5689590340468882E-2</v>
      </c>
      <c r="AD648" s="33"/>
      <c r="AE648" s="33">
        <f t="shared" ref="AE648:AE677" si="557">+AA648/BW648</f>
        <v>1180.3098591549297</v>
      </c>
      <c r="AF648" s="50"/>
      <c r="AG648" s="33"/>
      <c r="AH648" s="33"/>
      <c r="AI648" s="213"/>
      <c r="AJ648" s="50"/>
      <c r="AL648" s="23">
        <f t="shared" ref="AL648:AL677" si="55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59">+AL648/AP647</f>
        <v>1.0080212290521013E-3</v>
      </c>
      <c r="AS648" s="25"/>
      <c r="AT648" s="25"/>
      <c r="AU648" s="24"/>
      <c r="AV648" s="298">
        <f t="shared" ref="AV648:AV677" si="560">+AP648/H648</f>
        <v>0.84281471356384507</v>
      </c>
      <c r="AW648" s="298"/>
      <c r="AX648" s="24">
        <f t="shared" ref="AX648:AX677" si="561">+AP648/BW648</f>
        <v>63403.9827856025</v>
      </c>
      <c r="AY648" s="308"/>
      <c r="BA648" s="65">
        <f t="shared" ref="BA648:BA677" si="562">+BC648-BC647</f>
        <v>651477</v>
      </c>
      <c r="BB648" s="66"/>
      <c r="BC648" s="66">
        <v>785952372</v>
      </c>
      <c r="BD648" s="66"/>
      <c r="BE648" s="66">
        <f t="shared" ref="BE648:BE677" si="563">+D648</f>
        <v>85924</v>
      </c>
      <c r="BF648" s="66"/>
      <c r="BG648" s="144">
        <f t="shared" ref="BG648:BG677" si="56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65">+BC648/BW648</f>
        <v>1229972.4131455398</v>
      </c>
      <c r="BO648" s="66"/>
      <c r="BP648" s="66">
        <f t="shared" ref="BP648:BP677" si="566">+BP647+BE648</f>
        <v>47164258</v>
      </c>
      <c r="BQ648" s="66"/>
      <c r="BR648" s="435">
        <f t="shared" ref="BR648:BR677" si="567">+BP648/BC648</f>
        <v>6.0009053576595098E-2</v>
      </c>
      <c r="BS648" s="66"/>
      <c r="BT648" s="75"/>
      <c r="BU648" s="170"/>
      <c r="BV648" s="1"/>
      <c r="BW648" s="61">
        <f t="shared" si="407"/>
        <v>639</v>
      </c>
    </row>
    <row r="649" spans="2:75" x14ac:dyDescent="0.3">
      <c r="B649" s="347">
        <f t="shared" si="547"/>
        <v>44549</v>
      </c>
      <c r="C649" s="61"/>
      <c r="D649" s="17">
        <v>66751</v>
      </c>
      <c r="E649" s="16"/>
      <c r="F649" s="16"/>
      <c r="G649" s="16"/>
      <c r="H649" s="16">
        <f t="shared" si="548"/>
        <v>48137987</v>
      </c>
      <c r="I649" s="16"/>
      <c r="J649" s="436">
        <f t="shared" si="549"/>
        <v>1.3885850573927411E-3</v>
      </c>
      <c r="K649" s="16"/>
      <c r="L649" s="16"/>
      <c r="M649" s="16"/>
      <c r="N649" s="16">
        <f t="shared" si="550"/>
        <v>812676</v>
      </c>
      <c r="O649" s="16">
        <f t="shared" si="551"/>
        <v>75215.604687500003</v>
      </c>
      <c r="P649" s="41"/>
      <c r="Q649" s="17">
        <f t="shared" si="552"/>
        <v>812676</v>
      </c>
      <c r="R649" s="16"/>
      <c r="S649" s="60">
        <f t="shared" si="553"/>
        <v>0.21123364070890635</v>
      </c>
      <c r="T649" s="16"/>
      <c r="U649" s="41"/>
      <c r="V649" s="10">
        <f t="shared" si="356"/>
        <v>541</v>
      </c>
      <c r="W649" s="34">
        <v>109</v>
      </c>
      <c r="X649" s="33">
        <v>4256</v>
      </c>
      <c r="Y649" s="33"/>
      <c r="Z649" s="33">
        <f t="shared" si="554"/>
        <v>6861</v>
      </c>
      <c r="AA649" s="33">
        <f t="shared" si="555"/>
        <v>754327</v>
      </c>
      <c r="AB649" s="33"/>
      <c r="AC649" s="46">
        <f t="shared" si="556"/>
        <v>1.5670098544004342E-2</v>
      </c>
      <c r="AD649" s="33"/>
      <c r="AE649" s="33">
        <f t="shared" si="557"/>
        <v>1178.6359375</v>
      </c>
      <c r="AF649" s="50"/>
      <c r="AG649" s="33"/>
      <c r="AH649" s="33"/>
      <c r="AI649" s="213"/>
      <c r="AJ649" s="50"/>
      <c r="AL649" s="23">
        <f t="shared" si="55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59"/>
        <v>6.1038902859659029E-4</v>
      </c>
      <c r="AS649" s="25"/>
      <c r="AT649" s="25"/>
      <c r="AU649" s="24"/>
      <c r="AV649" s="298">
        <f t="shared" si="560"/>
        <v>0.84215974797616688</v>
      </c>
      <c r="AW649" s="298"/>
      <c r="AX649" s="24">
        <f t="shared" si="561"/>
        <v>63343.5546875</v>
      </c>
      <c r="AY649" s="308"/>
      <c r="BA649" s="65">
        <f t="shared" si="562"/>
        <v>525957</v>
      </c>
      <c r="BB649" s="66"/>
      <c r="BC649" s="66">
        <v>786478329</v>
      </c>
      <c r="BD649" s="66"/>
      <c r="BE649" s="66">
        <f t="shared" si="563"/>
        <v>66751</v>
      </c>
      <c r="BF649" s="66"/>
      <c r="BG649" s="144">
        <f t="shared" si="564"/>
        <v>0.12691341687628457</v>
      </c>
      <c r="BH649" s="66"/>
      <c r="BI649" s="170"/>
      <c r="BJ649" s="66"/>
      <c r="BK649" s="66"/>
      <c r="BL649" s="66"/>
      <c r="BM649" s="144"/>
      <c r="BN649" s="65">
        <f t="shared" si="565"/>
        <v>1228872.3890625001</v>
      </c>
      <c r="BO649" s="66"/>
      <c r="BP649" s="66">
        <f t="shared" si="566"/>
        <v>47231009</v>
      </c>
      <c r="BQ649" s="66"/>
      <c r="BR649" s="435">
        <f t="shared" si="567"/>
        <v>6.005379583701155E-2</v>
      </c>
      <c r="BS649" s="66"/>
      <c r="BT649" s="75"/>
      <c r="BU649" s="170"/>
      <c r="BV649" s="1"/>
      <c r="BW649" s="61">
        <f t="shared" si="407"/>
        <v>640</v>
      </c>
    </row>
    <row r="650" spans="2:75" x14ac:dyDescent="0.3">
      <c r="B650" s="158">
        <f t="shared" si="547"/>
        <v>44550</v>
      </c>
      <c r="C650" s="61"/>
      <c r="D650" s="17">
        <v>143530</v>
      </c>
      <c r="E650" s="16"/>
      <c r="F650" s="16"/>
      <c r="G650" s="16"/>
      <c r="H650" s="16">
        <f t="shared" si="548"/>
        <v>48281517</v>
      </c>
      <c r="I650" s="16"/>
      <c r="J650" s="436">
        <f t="shared" si="549"/>
        <v>2.9816369346728189E-3</v>
      </c>
      <c r="K650" s="16"/>
      <c r="L650" s="16"/>
      <c r="M650" s="16"/>
      <c r="N650" s="16">
        <f t="shared" si="550"/>
        <v>860863</v>
      </c>
      <c r="O650" s="16">
        <f t="shared" si="551"/>
        <v>75322.179407176285</v>
      </c>
      <c r="P650" s="41"/>
      <c r="Q650" s="17">
        <f t="shared" si="552"/>
        <v>860863</v>
      </c>
      <c r="R650" s="16"/>
      <c r="S650" s="60">
        <f t="shared" si="553"/>
        <v>0.27662543543414397</v>
      </c>
      <c r="T650" s="16"/>
      <c r="U650" s="41"/>
      <c r="V650" s="10">
        <f t="shared" ref="V650:V831" si="568">+V649+1</f>
        <v>542</v>
      </c>
      <c r="W650" s="34">
        <v>623</v>
      </c>
      <c r="X650" s="33">
        <v>4256</v>
      </c>
      <c r="Y650" s="33"/>
      <c r="Z650" s="33">
        <f t="shared" si="554"/>
        <v>5886</v>
      </c>
      <c r="AA650" s="33">
        <f t="shared" si="555"/>
        <v>754950</v>
      </c>
      <c r="AB650" s="33"/>
      <c r="AC650" s="46">
        <f t="shared" si="556"/>
        <v>1.5636418383457171E-2</v>
      </c>
      <c r="AD650" s="33"/>
      <c r="AE650" s="33">
        <f t="shared" si="557"/>
        <v>1177.7691107644305</v>
      </c>
      <c r="AF650" s="50"/>
      <c r="AG650" s="33"/>
      <c r="AH650" s="33"/>
      <c r="AI650" s="213"/>
      <c r="AJ650" s="50"/>
      <c r="AL650" s="23">
        <f t="shared" si="55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59"/>
        <v>4.4196485558971261E-3</v>
      </c>
      <c r="AS650" s="25"/>
      <c r="AT650" s="25"/>
      <c r="AU650" s="24"/>
      <c r="AV650" s="298">
        <f t="shared" si="560"/>
        <v>0.84336718334678673</v>
      </c>
      <c r="AW650" s="298"/>
      <c r="AX650" s="24">
        <f t="shared" si="561"/>
        <v>63524.254290171608</v>
      </c>
      <c r="AY650" s="308"/>
      <c r="BA650" s="65">
        <f t="shared" si="562"/>
        <v>4894217</v>
      </c>
      <c r="BB650" s="66"/>
      <c r="BC650" s="66">
        <v>791372546</v>
      </c>
      <c r="BD650" s="66"/>
      <c r="BE650" s="66">
        <f t="shared" si="563"/>
        <v>143530</v>
      </c>
      <c r="BF650" s="66"/>
      <c r="BG650" s="144">
        <f t="shared" si="564"/>
        <v>2.9326447928238571E-2</v>
      </c>
      <c r="BH650" s="66"/>
      <c r="BI650" s="170"/>
      <c r="BJ650" s="66"/>
      <c r="BK650" s="66"/>
      <c r="BL650" s="66"/>
      <c r="BM650" s="144"/>
      <c r="BN650" s="65">
        <f t="shared" si="565"/>
        <v>1234590.5553822152</v>
      </c>
      <c r="BO650" s="66"/>
      <c r="BP650" s="66">
        <f t="shared" si="566"/>
        <v>47374539</v>
      </c>
      <c r="BQ650" s="66"/>
      <c r="BR650" s="435">
        <f t="shared" si="567"/>
        <v>5.9863763583226454E-2</v>
      </c>
      <c r="BS650" s="66"/>
      <c r="BT650" s="75"/>
      <c r="BU650" s="170"/>
      <c r="BV650" s="1"/>
      <c r="BW650" s="61">
        <f t="shared" si="407"/>
        <v>641</v>
      </c>
    </row>
    <row r="651" spans="2:75" x14ac:dyDescent="0.3">
      <c r="B651" s="158">
        <f t="shared" si="547"/>
        <v>44551</v>
      </c>
      <c r="C651" s="61"/>
      <c r="D651" s="17">
        <v>193227</v>
      </c>
      <c r="E651" s="16"/>
      <c r="F651" s="16"/>
      <c r="G651" s="16"/>
      <c r="H651" s="16">
        <f t="shared" si="548"/>
        <v>48474744</v>
      </c>
      <c r="I651" s="16"/>
      <c r="J651" s="436">
        <f t="shared" si="549"/>
        <v>4.0020904894102647E-3</v>
      </c>
      <c r="K651" s="16"/>
      <c r="L651" s="16"/>
      <c r="M651" s="16"/>
      <c r="N651" s="16">
        <f t="shared" si="550"/>
        <v>945524</v>
      </c>
      <c r="O651" s="16">
        <f t="shared" si="551"/>
        <v>75505.831775700935</v>
      </c>
      <c r="P651" s="41"/>
      <c r="Q651" s="17">
        <f t="shared" si="552"/>
        <v>945524</v>
      </c>
      <c r="R651" s="16"/>
      <c r="S651" s="60">
        <f t="shared" si="553"/>
        <v>0.40025560865515192</v>
      </c>
      <c r="T651" s="16"/>
      <c r="U651" s="41"/>
      <c r="V651" s="10">
        <f t="shared" si="568"/>
        <v>543</v>
      </c>
      <c r="W651" s="34">
        <v>2051</v>
      </c>
      <c r="X651" s="33">
        <v>4256</v>
      </c>
      <c r="Y651" s="33"/>
      <c r="Z651" s="33">
        <f t="shared" si="554"/>
        <v>6247</v>
      </c>
      <c r="AA651" s="33">
        <f t="shared" si="555"/>
        <v>757001</v>
      </c>
      <c r="AB651" s="33"/>
      <c r="AC651" s="46">
        <f t="shared" si="556"/>
        <v>1.5616400160875527E-2</v>
      </c>
      <c r="AD651" s="33"/>
      <c r="AE651" s="33">
        <f t="shared" si="557"/>
        <v>1179.1292834890967</v>
      </c>
      <c r="AF651" s="50"/>
      <c r="AG651" s="33"/>
      <c r="AH651" s="33"/>
      <c r="AI651" s="213"/>
      <c r="AJ651" s="50"/>
      <c r="AL651" s="23">
        <f t="shared" si="55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59"/>
        <v>2.0750240053506162E-3</v>
      </c>
      <c r="AS651" s="25"/>
      <c r="AT651" s="25"/>
      <c r="AU651" s="24"/>
      <c r="AV651" s="298">
        <f t="shared" si="560"/>
        <v>0.84174843708303027</v>
      </c>
      <c r="AW651" s="298"/>
      <c r="AX651" s="24">
        <f t="shared" si="561"/>
        <v>63556.915887850468</v>
      </c>
      <c r="AY651" s="308"/>
      <c r="BA651" s="65">
        <f t="shared" si="562"/>
        <v>1884941</v>
      </c>
      <c r="BB651" s="66"/>
      <c r="BC651" s="66">
        <v>793257487</v>
      </c>
      <c r="BD651" s="66"/>
      <c r="BE651" s="66">
        <f t="shared" si="563"/>
        <v>193227</v>
      </c>
      <c r="BF651" s="66"/>
      <c r="BG651" s="144">
        <f t="shared" si="564"/>
        <v>0.10251090087169837</v>
      </c>
      <c r="BH651" s="66"/>
      <c r="BI651" s="170"/>
      <c r="BJ651" s="66"/>
      <c r="BK651" s="66"/>
      <c r="BL651" s="66"/>
      <c r="BM651" s="144"/>
      <c r="BN651" s="65">
        <f t="shared" si="565"/>
        <v>1235603.5623052958</v>
      </c>
      <c r="BO651" s="66"/>
      <c r="BP651" s="66">
        <f t="shared" si="566"/>
        <v>47567766</v>
      </c>
      <c r="BQ651" s="66"/>
      <c r="BR651" s="435">
        <f t="shared" si="567"/>
        <v>5.9965101848449366E-2</v>
      </c>
      <c r="BS651" s="66"/>
      <c r="BT651" s="75"/>
      <c r="BU651" s="170"/>
      <c r="BV651" s="1"/>
      <c r="BW651" s="61">
        <f t="shared" si="407"/>
        <v>642</v>
      </c>
    </row>
    <row r="652" spans="2:75" x14ac:dyDescent="0.3">
      <c r="B652" s="158">
        <f t="shared" si="547"/>
        <v>44552</v>
      </c>
      <c r="C652" s="61"/>
      <c r="D652" s="17">
        <v>232383</v>
      </c>
      <c r="E652" s="16"/>
      <c r="F652" s="16"/>
      <c r="G652" s="16"/>
      <c r="H652" s="16">
        <f t="shared" si="548"/>
        <v>48707127</v>
      </c>
      <c r="I652" s="16"/>
      <c r="J652" s="436">
        <f t="shared" si="549"/>
        <v>4.7938984474059313E-3</v>
      </c>
      <c r="K652" s="16"/>
      <c r="L652" s="16"/>
      <c r="M652" s="16"/>
      <c r="N652" s="16">
        <f t="shared" si="550"/>
        <v>1041317</v>
      </c>
      <c r="O652" s="16">
        <f t="shared" si="551"/>
        <v>75749.808709175733</v>
      </c>
      <c r="P652" s="41"/>
      <c r="Q652" s="17">
        <f t="shared" si="552"/>
        <v>1041317</v>
      </c>
      <c r="R652" s="16"/>
      <c r="S652" s="60">
        <f t="shared" si="553"/>
        <v>0.52143681603670211</v>
      </c>
      <c r="T652" s="16"/>
      <c r="U652" s="41"/>
      <c r="V652" s="10">
        <f t="shared" si="568"/>
        <v>544</v>
      </c>
      <c r="W652" s="34">
        <v>1634</v>
      </c>
      <c r="X652" s="33">
        <v>4256</v>
      </c>
      <c r="Y652" s="33"/>
      <c r="Z652" s="33">
        <f t="shared" si="554"/>
        <v>6557</v>
      </c>
      <c r="AA652" s="33">
        <f t="shared" si="555"/>
        <v>758635</v>
      </c>
      <c r="AB652" s="33"/>
      <c r="AC652" s="46">
        <f t="shared" si="556"/>
        <v>1.5575441351734829E-2</v>
      </c>
      <c r="AD652" s="33"/>
      <c r="AE652" s="33">
        <f t="shared" si="557"/>
        <v>1179.836702954899</v>
      </c>
      <c r="AF652" s="50"/>
      <c r="AG652" s="33"/>
      <c r="AH652" s="33"/>
      <c r="AI652" s="213"/>
      <c r="AJ652" s="50"/>
      <c r="AL652" s="23">
        <f t="shared" si="55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59"/>
        <v>2.5636501146714232E-3</v>
      </c>
      <c r="AS652" s="25"/>
      <c r="AT652" s="25"/>
      <c r="AU652" s="24"/>
      <c r="AV652" s="298">
        <f t="shared" si="560"/>
        <v>0.83988008572133599</v>
      </c>
      <c r="AW652" s="298"/>
      <c r="AX652" s="24">
        <f t="shared" si="561"/>
        <v>63620.755832037328</v>
      </c>
      <c r="AY652" s="308"/>
      <c r="BA652" s="65">
        <f t="shared" si="562"/>
        <v>1909047</v>
      </c>
      <c r="BB652" s="66"/>
      <c r="BC652" s="66">
        <v>795166534</v>
      </c>
      <c r="BD652" s="66"/>
      <c r="BE652" s="66">
        <f t="shared" si="563"/>
        <v>232383</v>
      </c>
      <c r="BF652" s="66"/>
      <c r="BG652" s="144">
        <f t="shared" si="564"/>
        <v>0.12172722829767942</v>
      </c>
      <c r="BH652" s="66"/>
      <c r="BI652" s="170"/>
      <c r="BJ652" s="66"/>
      <c r="BK652" s="66"/>
      <c r="BL652" s="66"/>
      <c r="BM652" s="144"/>
      <c r="BN652" s="65">
        <f t="shared" si="565"/>
        <v>1236650.9082426128</v>
      </c>
      <c r="BO652" s="66"/>
      <c r="BP652" s="66">
        <f t="shared" si="566"/>
        <v>47800149</v>
      </c>
      <c r="BQ652" s="66"/>
      <c r="BR652" s="435">
        <f t="shared" si="567"/>
        <v>6.0113381230402739E-2</v>
      </c>
      <c r="BS652" s="66"/>
      <c r="BT652" s="75"/>
      <c r="BU652" s="170"/>
      <c r="BV652" s="1"/>
      <c r="BW652" s="61">
        <f t="shared" si="407"/>
        <v>643</v>
      </c>
    </row>
    <row r="653" spans="2:75" x14ac:dyDescent="0.3">
      <c r="B653" s="158">
        <f t="shared" si="547"/>
        <v>44553</v>
      </c>
      <c r="C653" s="61"/>
      <c r="D653" s="17">
        <v>267269</v>
      </c>
      <c r="E653" s="16"/>
      <c r="F653" s="16"/>
      <c r="G653" s="16"/>
      <c r="H653" s="16">
        <f t="shared" si="548"/>
        <v>48974396</v>
      </c>
      <c r="I653" s="16"/>
      <c r="J653" s="436">
        <f t="shared" si="549"/>
        <v>5.4872667813069742E-3</v>
      </c>
      <c r="K653" s="16"/>
      <c r="L653" s="16"/>
      <c r="M653" s="16"/>
      <c r="N653" s="16">
        <f t="shared" si="550"/>
        <v>1152791</v>
      </c>
      <c r="O653" s="16">
        <f t="shared" si="551"/>
        <v>76047.198757763981</v>
      </c>
      <c r="P653" s="41"/>
      <c r="Q653" s="17">
        <f t="shared" si="552"/>
        <v>1152791</v>
      </c>
      <c r="R653" s="16"/>
      <c r="S653" s="60">
        <f t="shared" si="553"/>
        <v>0.58061428898538525</v>
      </c>
      <c r="T653" s="16"/>
      <c r="U653" s="41"/>
      <c r="V653" s="10">
        <f t="shared" si="568"/>
        <v>545</v>
      </c>
      <c r="W653" s="34">
        <v>1297</v>
      </c>
      <c r="X653" s="33">
        <v>4256</v>
      </c>
      <c r="Y653" s="33"/>
      <c r="Z653" s="33">
        <f t="shared" si="554"/>
        <v>6201</v>
      </c>
      <c r="AA653" s="33">
        <f t="shared" si="555"/>
        <v>759932</v>
      </c>
      <c r="AB653" s="33"/>
      <c r="AC653" s="46">
        <f t="shared" si="556"/>
        <v>1.5516924394534646E-2</v>
      </c>
      <c r="AD653" s="33"/>
      <c r="AE653" s="33">
        <f t="shared" si="557"/>
        <v>1180.0186335403728</v>
      </c>
      <c r="AF653" s="50"/>
      <c r="AG653" s="33"/>
      <c r="AH653" s="33"/>
      <c r="AI653" s="213"/>
      <c r="AJ653" s="50"/>
      <c r="AL653" s="23">
        <f t="shared" si="55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59"/>
        <v>1.3896254305927236E-3</v>
      </c>
      <c r="AS653" s="25"/>
      <c r="AT653" s="25"/>
      <c r="AU653" s="24"/>
      <c r="AV653" s="298">
        <f t="shared" si="560"/>
        <v>0.83645733987204252</v>
      </c>
      <c r="AW653" s="298"/>
      <c r="AX653" s="24">
        <f t="shared" si="561"/>
        <v>63610.237577639753</v>
      </c>
      <c r="AY653" s="308"/>
      <c r="BA653" s="65">
        <f t="shared" si="562"/>
        <v>2191415</v>
      </c>
      <c r="BB653" s="66"/>
      <c r="BC653" s="66">
        <v>797357949</v>
      </c>
      <c r="BD653" s="66"/>
      <c r="BE653" s="66">
        <f t="shared" si="563"/>
        <v>267269</v>
      </c>
      <c r="BF653" s="66"/>
      <c r="BG653" s="144">
        <f t="shared" si="564"/>
        <v>0.12196183744293071</v>
      </c>
      <c r="BH653" s="66"/>
      <c r="BI653" s="170"/>
      <c r="BJ653" s="66"/>
      <c r="BK653" s="66"/>
      <c r="BL653" s="66"/>
      <c r="BM653" s="144"/>
      <c r="BN653" s="65">
        <f t="shared" si="565"/>
        <v>1238133.4611801242</v>
      </c>
      <c r="BO653" s="66"/>
      <c r="BP653" s="66">
        <f t="shared" si="566"/>
        <v>48067418</v>
      </c>
      <c r="BQ653" s="66"/>
      <c r="BR653" s="435">
        <f t="shared" si="567"/>
        <v>6.0283362146553332E-2</v>
      </c>
      <c r="BS653" s="66"/>
      <c r="BT653" s="75"/>
      <c r="BU653" s="170"/>
      <c r="BV653" s="1"/>
      <c r="BW653" s="61">
        <f t="shared" si="407"/>
        <v>644</v>
      </c>
    </row>
    <row r="654" spans="2:75" x14ac:dyDescent="0.3">
      <c r="B654" s="158">
        <f t="shared" si="547"/>
        <v>44554</v>
      </c>
      <c r="C654" s="61"/>
      <c r="D654" s="17">
        <v>216342</v>
      </c>
      <c r="E654" s="16"/>
      <c r="F654" s="16"/>
      <c r="G654" s="16"/>
      <c r="H654" s="16">
        <f t="shared" si="548"/>
        <v>49190738</v>
      </c>
      <c r="I654" s="16"/>
      <c r="J654" s="436">
        <f t="shared" si="549"/>
        <v>4.4174511105762281E-3</v>
      </c>
      <c r="K654" s="16"/>
      <c r="L654" s="16"/>
      <c r="M654" s="16"/>
      <c r="N654" s="16">
        <f t="shared" si="550"/>
        <v>1205426</v>
      </c>
      <c r="O654" s="16">
        <f t="shared" si="551"/>
        <v>76264.710077519383</v>
      </c>
      <c r="P654" s="41"/>
      <c r="Q654" s="17">
        <f t="shared" si="552"/>
        <v>1205426</v>
      </c>
      <c r="R654" s="16"/>
      <c r="S654" s="60">
        <f t="shared" si="553"/>
        <v>0.5940592357302773</v>
      </c>
      <c r="T654" s="16"/>
      <c r="U654" s="41"/>
      <c r="V654" s="10">
        <f t="shared" si="568"/>
        <v>546</v>
      </c>
      <c r="W654" s="34">
        <v>747</v>
      </c>
      <c r="X654" s="33">
        <v>4256</v>
      </c>
      <c r="Y654" s="33"/>
      <c r="Z654" s="33">
        <f t="shared" si="554"/>
        <v>6461</v>
      </c>
      <c r="AA654" s="33">
        <f t="shared" si="555"/>
        <v>760679</v>
      </c>
      <c r="AB654" s="33"/>
      <c r="AC654" s="46">
        <f t="shared" si="556"/>
        <v>1.5463866388831165E-2</v>
      </c>
      <c r="AD654" s="33"/>
      <c r="AE654" s="33">
        <f t="shared" si="557"/>
        <v>1179.3472868217054</v>
      </c>
      <c r="AF654" s="50"/>
      <c r="AG654" s="33"/>
      <c r="AH654" s="33"/>
      <c r="AI654" s="213"/>
      <c r="AJ654" s="50"/>
      <c r="AL654" s="23">
        <f t="shared" si="55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59"/>
        <v>7.141951665901664E-4</v>
      </c>
      <c r="AS654" s="25"/>
      <c r="AT654" s="25"/>
      <c r="AU654" s="24"/>
      <c r="AV654" s="298">
        <f t="shared" si="560"/>
        <v>0.83337334764117588</v>
      </c>
      <c r="AW654" s="298"/>
      <c r="AX654" s="24">
        <f t="shared" si="561"/>
        <v>63556.976744186046</v>
      </c>
      <c r="AY654" s="308"/>
      <c r="BA654" s="65">
        <f t="shared" si="562"/>
        <v>1103948</v>
      </c>
      <c r="BB654" s="66"/>
      <c r="BC654" s="66">
        <v>798461897</v>
      </c>
      <c r="BD654" s="66"/>
      <c r="BE654" s="66">
        <f t="shared" si="563"/>
        <v>216342</v>
      </c>
      <c r="BF654" s="66"/>
      <c r="BG654" s="144">
        <f t="shared" si="564"/>
        <v>0.19597118704866534</v>
      </c>
      <c r="BH654" s="66"/>
      <c r="BI654" s="170"/>
      <c r="BJ654" s="66"/>
      <c r="BK654" s="66"/>
      <c r="BL654" s="66"/>
      <c r="BM654" s="144"/>
      <c r="BN654" s="65">
        <f t="shared" si="565"/>
        <v>1237925.4217054264</v>
      </c>
      <c r="BO654" s="66"/>
      <c r="BP654" s="66">
        <f t="shared" si="566"/>
        <v>48283760</v>
      </c>
      <c r="BQ654" s="66"/>
      <c r="BR654" s="435">
        <f t="shared" si="567"/>
        <v>6.0470963212412375E-2</v>
      </c>
      <c r="BS654" s="66"/>
      <c r="BT654" s="75"/>
      <c r="BU654" s="170"/>
      <c r="BV654" s="1"/>
      <c r="BW654" s="61">
        <f t="shared" si="407"/>
        <v>645</v>
      </c>
    </row>
    <row r="655" spans="2:75" x14ac:dyDescent="0.3">
      <c r="B655" s="158">
        <f t="shared" si="547"/>
        <v>44555</v>
      </c>
      <c r="C655" s="61"/>
      <c r="D655" s="17">
        <v>121247</v>
      </c>
      <c r="E655" s="16"/>
      <c r="F655" s="16"/>
      <c r="G655" s="16"/>
      <c r="H655" s="16">
        <f t="shared" si="548"/>
        <v>49311985</v>
      </c>
      <c r="I655" s="16"/>
      <c r="J655" s="436">
        <f t="shared" si="549"/>
        <v>2.4648339286960893E-3</v>
      </c>
      <c r="K655" s="16"/>
      <c r="L655" s="16"/>
      <c r="M655" s="16"/>
      <c r="N655" s="16">
        <f t="shared" si="550"/>
        <v>1240749</v>
      </c>
      <c r="O655" s="16">
        <f t="shared" si="551"/>
        <v>76334.34210526316</v>
      </c>
      <c r="P655" s="41"/>
      <c r="Q655" s="17">
        <f t="shared" si="552"/>
        <v>1240749</v>
      </c>
      <c r="R655" s="16"/>
      <c r="S655" s="60">
        <f t="shared" si="553"/>
        <v>0.58115811084108882</v>
      </c>
      <c r="T655" s="16"/>
      <c r="U655" s="41"/>
      <c r="V655" s="10">
        <f t="shared" si="568"/>
        <v>547</v>
      </c>
      <c r="W655" s="34">
        <v>131</v>
      </c>
      <c r="X655" s="33">
        <v>4256</v>
      </c>
      <c r="Y655" s="33"/>
      <c r="Z655" s="33">
        <f t="shared" si="554"/>
        <v>6483</v>
      </c>
      <c r="AA655" s="33">
        <f t="shared" si="555"/>
        <v>760810</v>
      </c>
      <c r="AB655" s="33"/>
      <c r="AC655" s="46">
        <f t="shared" si="556"/>
        <v>1.5428500799552077E-2</v>
      </c>
      <c r="AD655" s="33"/>
      <c r="AE655" s="33">
        <f t="shared" si="557"/>
        <v>1177.7244582043343</v>
      </c>
      <c r="AF655" s="50"/>
      <c r="AG655" s="33"/>
      <c r="AH655" s="33"/>
      <c r="AI655" s="213"/>
      <c r="AJ655" s="50"/>
      <c r="AL655" s="23">
        <f t="shared" si="55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59"/>
        <v>1.6914567286875599E-4</v>
      </c>
      <c r="AS655" s="25"/>
      <c r="AT655" s="25"/>
      <c r="AU655" s="24"/>
      <c r="AV655" s="298">
        <f t="shared" si="560"/>
        <v>0.83146488627460446</v>
      </c>
      <c r="AW655" s="298"/>
      <c r="AX655" s="24">
        <f t="shared" si="561"/>
        <v>63469.325077399379</v>
      </c>
      <c r="AY655" s="308"/>
      <c r="BA655" s="65">
        <f t="shared" si="562"/>
        <v>455597</v>
      </c>
      <c r="BB655" s="66"/>
      <c r="BC655" s="66">
        <v>798917494</v>
      </c>
      <c r="BD655" s="66"/>
      <c r="BE655" s="66">
        <f t="shared" si="563"/>
        <v>121247</v>
      </c>
      <c r="BF655" s="66"/>
      <c r="BG655" s="144">
        <f t="shared" si="564"/>
        <v>0.26612774008608486</v>
      </c>
      <c r="BH655" s="66"/>
      <c r="BI655" s="170"/>
      <c r="BJ655" s="66"/>
      <c r="BK655" s="66"/>
      <c r="BL655" s="66"/>
      <c r="BM655" s="144"/>
      <c r="BN655" s="65">
        <f t="shared" si="565"/>
        <v>1236714.3869969039</v>
      </c>
      <c r="BO655" s="66"/>
      <c r="BP655" s="66">
        <f t="shared" si="566"/>
        <v>48405007</v>
      </c>
      <c r="BQ655" s="66"/>
      <c r="BR655" s="435">
        <f t="shared" si="567"/>
        <v>6.0588242670275037E-2</v>
      </c>
      <c r="BS655" s="66"/>
      <c r="BT655" s="75"/>
      <c r="BU655" s="170"/>
      <c r="BV655" s="1"/>
      <c r="BW655" s="61">
        <f t="shared" si="407"/>
        <v>646</v>
      </c>
    </row>
    <row r="656" spans="2:75" x14ac:dyDescent="0.3">
      <c r="B656" s="347">
        <f t="shared" si="547"/>
        <v>44556</v>
      </c>
      <c r="C656" s="61"/>
      <c r="D656" s="17">
        <v>96384</v>
      </c>
      <c r="E656" s="16"/>
      <c r="F656" s="16"/>
      <c r="G656" s="16"/>
      <c r="H656" s="16">
        <f t="shared" si="548"/>
        <v>49408369</v>
      </c>
      <c r="I656" s="16"/>
      <c r="J656" s="436">
        <f t="shared" si="549"/>
        <v>1.9545755458840281E-3</v>
      </c>
      <c r="K656" s="16"/>
      <c r="L656" s="16"/>
      <c r="M656" s="16"/>
      <c r="N656" s="16">
        <f t="shared" si="550"/>
        <v>1270382</v>
      </c>
      <c r="O656" s="16">
        <f t="shared" si="551"/>
        <v>76365.33075734158</v>
      </c>
      <c r="P656" s="41"/>
      <c r="Q656" s="17">
        <f t="shared" si="552"/>
        <v>1270382</v>
      </c>
      <c r="R656" s="16"/>
      <c r="S656" s="60">
        <f t="shared" si="553"/>
        <v>0.56320846192086393</v>
      </c>
      <c r="T656" s="16"/>
      <c r="U656" s="41"/>
      <c r="V656" s="10">
        <f t="shared" si="568"/>
        <v>548</v>
      </c>
      <c r="W656" s="34">
        <v>52</v>
      </c>
      <c r="X656" s="33">
        <v>4256</v>
      </c>
      <c r="Y656" s="33"/>
      <c r="Z656" s="33">
        <f t="shared" si="554"/>
        <v>5912</v>
      </c>
      <c r="AA656" s="33">
        <f t="shared" si="555"/>
        <v>760862</v>
      </c>
      <c r="AB656" s="33"/>
      <c r="AC656" s="46">
        <f t="shared" si="556"/>
        <v>1.5399455909989661E-2</v>
      </c>
      <c r="AD656" s="33"/>
      <c r="AE656" s="33">
        <f t="shared" si="557"/>
        <v>1175.9845440494591</v>
      </c>
      <c r="AF656" s="50"/>
      <c r="AG656" s="33"/>
      <c r="AH656" s="33"/>
      <c r="AI656" s="213"/>
      <c r="AJ656" s="50"/>
      <c r="AL656" s="23">
        <f t="shared" si="55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59"/>
        <v>7.2763752383345811E-4</v>
      </c>
      <c r="AS656" s="25"/>
      <c r="AT656" s="25"/>
      <c r="AU656" s="24"/>
      <c r="AV656" s="298">
        <f t="shared" si="560"/>
        <v>0.83044672047361046</v>
      </c>
      <c r="AW656" s="298"/>
      <c r="AX656" s="24">
        <f t="shared" si="561"/>
        <v>63417.338485316846</v>
      </c>
      <c r="AY656" s="308"/>
      <c r="BA656" s="65">
        <f t="shared" si="562"/>
        <v>631315</v>
      </c>
      <c r="BB656" s="66"/>
      <c r="BC656" s="66">
        <v>799548809</v>
      </c>
      <c r="BD656" s="66"/>
      <c r="BE656" s="66">
        <f t="shared" si="563"/>
        <v>96384</v>
      </c>
      <c r="BF656" s="66"/>
      <c r="BG656" s="144">
        <f t="shared" si="564"/>
        <v>0.15267180409145989</v>
      </c>
      <c r="BH656" s="66"/>
      <c r="BI656" s="170"/>
      <c r="BJ656" s="66"/>
      <c r="BK656" s="66"/>
      <c r="BL656" s="66"/>
      <c r="BM656" s="144"/>
      <c r="BN656" s="65">
        <f t="shared" si="565"/>
        <v>1235778.6846986089</v>
      </c>
      <c r="BO656" s="66"/>
      <c r="BP656" s="66">
        <f t="shared" si="566"/>
        <v>48501391</v>
      </c>
      <c r="BQ656" s="66"/>
      <c r="BR656" s="435">
        <f t="shared" si="567"/>
        <v>6.0660950843840232E-2</v>
      </c>
      <c r="BS656" s="66"/>
      <c r="BT656" s="75"/>
      <c r="BU656" s="170"/>
      <c r="BV656" s="1"/>
      <c r="BW656" s="61">
        <f t="shared" si="407"/>
        <v>647</v>
      </c>
    </row>
    <row r="657" spans="2:85" x14ac:dyDescent="0.3">
      <c r="B657" s="158">
        <f t="shared" si="547"/>
        <v>44557</v>
      </c>
      <c r="C657" s="61"/>
      <c r="D657" s="17">
        <v>229016</v>
      </c>
      <c r="E657" s="16"/>
      <c r="F657" s="16"/>
      <c r="G657" s="16"/>
      <c r="H657" s="16">
        <f t="shared" si="548"/>
        <v>49637385</v>
      </c>
      <c r="I657" s="16"/>
      <c r="J657" s="436">
        <f t="shared" si="549"/>
        <v>4.6351661598058418E-3</v>
      </c>
      <c r="K657" s="16"/>
      <c r="L657" s="16"/>
      <c r="M657" s="16"/>
      <c r="N657" s="16">
        <f t="shared" si="550"/>
        <v>1355868</v>
      </c>
      <c r="O657" s="16">
        <f t="shared" si="551"/>
        <v>76600.902777777781</v>
      </c>
      <c r="P657" s="41"/>
      <c r="Q657" s="17">
        <f t="shared" si="552"/>
        <v>1355868</v>
      </c>
      <c r="R657" s="16"/>
      <c r="S657" s="60">
        <f t="shared" si="553"/>
        <v>0.5750101932595546</v>
      </c>
      <c r="T657" s="16"/>
      <c r="U657" s="41"/>
      <c r="V657" s="10">
        <f t="shared" si="568"/>
        <v>549</v>
      </c>
      <c r="W657" s="34">
        <v>823</v>
      </c>
      <c r="X657" s="33">
        <v>4256</v>
      </c>
      <c r="Y657" s="33"/>
      <c r="Z657" s="33">
        <f t="shared" si="554"/>
        <v>4684</v>
      </c>
      <c r="AA657" s="33">
        <f t="shared" si="555"/>
        <v>761685</v>
      </c>
      <c r="AB657" s="33"/>
      <c r="AC657" s="46">
        <f t="shared" si="556"/>
        <v>1.5344986445196499E-2</v>
      </c>
      <c r="AD657" s="33"/>
      <c r="AE657" s="33">
        <f t="shared" si="557"/>
        <v>1175.4398148148148</v>
      </c>
      <c r="AF657" s="50"/>
      <c r="AG657" s="33"/>
      <c r="AH657" s="33"/>
      <c r="AI657" s="213"/>
      <c r="AJ657" s="50"/>
      <c r="AL657" s="23">
        <f t="shared" si="55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59"/>
        <v>4.208523415139249E-3</v>
      </c>
      <c r="AS657" s="25"/>
      <c r="AT657" s="25"/>
      <c r="AU657" s="24"/>
      <c r="AV657" s="298">
        <f t="shared" si="560"/>
        <v>0.83009405108669609</v>
      </c>
      <c r="AW657" s="298"/>
      <c r="AX657" s="24">
        <f t="shared" si="561"/>
        <v>63585.953703703701</v>
      </c>
      <c r="AY657" s="308"/>
      <c r="BA657" s="65">
        <f t="shared" si="562"/>
        <v>3999941</v>
      </c>
      <c r="BB657" s="66"/>
      <c r="BC657" s="66">
        <v>803548750</v>
      </c>
      <c r="BD657" s="66"/>
      <c r="BE657" s="66">
        <f t="shared" si="563"/>
        <v>229016</v>
      </c>
      <c r="BF657" s="66"/>
      <c r="BG657" s="144">
        <f t="shared" si="564"/>
        <v>5.7254844508956508E-2</v>
      </c>
      <c r="BH657" s="66"/>
      <c r="BI657" s="170"/>
      <c r="BJ657" s="66"/>
      <c r="BK657" s="66"/>
      <c r="BL657" s="66"/>
      <c r="BM657" s="144"/>
      <c r="BN657" s="65">
        <f t="shared" si="565"/>
        <v>1240044.3672839506</v>
      </c>
      <c r="BO657" s="66"/>
      <c r="BP657" s="66">
        <f t="shared" si="566"/>
        <v>48730407</v>
      </c>
      <c r="BQ657" s="66"/>
      <c r="BR657" s="435">
        <f t="shared" si="567"/>
        <v>6.0643995774991875E-2</v>
      </c>
      <c r="BS657" s="66"/>
      <c r="BT657" s="75"/>
      <c r="BU657" s="170"/>
      <c r="BV657" s="1"/>
      <c r="BW657" s="61">
        <f t="shared" si="407"/>
        <v>648</v>
      </c>
    </row>
    <row r="658" spans="2:85" x14ac:dyDescent="0.3">
      <c r="B658" s="158">
        <f t="shared" si="547"/>
        <v>44558</v>
      </c>
      <c r="C658" s="61"/>
      <c r="D658" s="17">
        <v>314433</v>
      </c>
      <c r="E658" s="16"/>
      <c r="F658" s="16"/>
      <c r="G658" s="16"/>
      <c r="H658" s="16">
        <f t="shared" si="548"/>
        <v>49951818</v>
      </c>
      <c r="I658" s="16"/>
      <c r="J658" s="436">
        <f t="shared" si="549"/>
        <v>6.334600422645149E-3</v>
      </c>
      <c r="K658" s="16"/>
      <c r="L658" s="16"/>
      <c r="M658" s="16"/>
      <c r="N658" s="16">
        <f t="shared" si="550"/>
        <v>1477074</v>
      </c>
      <c r="O658" s="16">
        <f t="shared" si="551"/>
        <v>76967.362095531586</v>
      </c>
      <c r="P658" s="41"/>
      <c r="Q658" s="17">
        <f t="shared" si="552"/>
        <v>1477074</v>
      </c>
      <c r="R658" s="16"/>
      <c r="S658" s="60">
        <f t="shared" si="553"/>
        <v>0.56217504790994199</v>
      </c>
      <c r="T658" s="16"/>
      <c r="U658" s="41"/>
      <c r="V658" s="10">
        <f t="shared" si="568"/>
        <v>550</v>
      </c>
      <c r="W658" s="34">
        <v>1812</v>
      </c>
      <c r="X658" s="33">
        <v>4256</v>
      </c>
      <c r="Y658" s="33"/>
      <c r="Z658" s="33">
        <f t="shared" si="554"/>
        <v>4862</v>
      </c>
      <c r="AA658" s="33">
        <f t="shared" si="555"/>
        <v>763497</v>
      </c>
      <c r="AB658" s="33"/>
      <c r="AC658" s="46">
        <f t="shared" si="556"/>
        <v>1.5284668918356486E-2</v>
      </c>
      <c r="AD658" s="33"/>
      <c r="AE658" s="33">
        <f t="shared" si="557"/>
        <v>1176.4206471494608</v>
      </c>
      <c r="AF658" s="50"/>
      <c r="AG658" s="33"/>
      <c r="AH658" s="33"/>
      <c r="AI658" s="213"/>
      <c r="AJ658" s="50"/>
      <c r="AL658" s="23">
        <f t="shared" si="55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59"/>
        <v>2.9466287224996163E-3</v>
      </c>
      <c r="AS658" s="25"/>
      <c r="AT658" s="25"/>
      <c r="AU658" s="24"/>
      <c r="AV658" s="298">
        <f t="shared" si="560"/>
        <v>0.82729941881194391</v>
      </c>
      <c r="AW658" s="298"/>
      <c r="AX658" s="24">
        <f t="shared" si="561"/>
        <v>63675.053929121728</v>
      </c>
      <c r="AY658" s="308"/>
      <c r="BA658" s="65">
        <f t="shared" si="562"/>
        <v>3069846</v>
      </c>
      <c r="BB658" s="66"/>
      <c r="BC658" s="66">
        <v>806618596</v>
      </c>
      <c r="BD658" s="66"/>
      <c r="BE658" s="66">
        <f t="shared" si="563"/>
        <v>314433</v>
      </c>
      <c r="BF658" s="66"/>
      <c r="BG658" s="144">
        <f t="shared" si="564"/>
        <v>0.10242631063577783</v>
      </c>
      <c r="BH658" s="66"/>
      <c r="BI658" s="170"/>
      <c r="BJ658" s="66"/>
      <c r="BK658" s="66"/>
      <c r="BL658" s="66"/>
      <c r="BM658" s="144"/>
      <c r="BN658" s="65">
        <f t="shared" si="565"/>
        <v>1242863.7842835132</v>
      </c>
      <c r="BO658" s="66"/>
      <c r="BP658" s="66">
        <f t="shared" si="566"/>
        <v>49044840</v>
      </c>
      <c r="BQ658" s="66"/>
      <c r="BR658" s="435">
        <f t="shared" si="567"/>
        <v>6.0803011786750329E-2</v>
      </c>
      <c r="BS658" s="66"/>
      <c r="BT658" s="75"/>
      <c r="BU658" s="170"/>
      <c r="BV658" s="1"/>
      <c r="BW658" s="61">
        <f t="shared" si="407"/>
        <v>649</v>
      </c>
    </row>
    <row r="659" spans="2:85" x14ac:dyDescent="0.3">
      <c r="B659" s="158">
        <f t="shared" si="547"/>
        <v>44559</v>
      </c>
      <c r="C659" s="61"/>
      <c r="D659" s="17">
        <v>475831</v>
      </c>
      <c r="E659" s="16"/>
      <c r="F659" s="16"/>
      <c r="G659" s="16"/>
      <c r="H659" s="16">
        <f t="shared" si="548"/>
        <v>50427649</v>
      </c>
      <c r="I659" s="16"/>
      <c r="J659" s="436">
        <f t="shared" si="549"/>
        <v>9.5257994413736856E-3</v>
      </c>
      <c r="K659" s="16"/>
      <c r="L659" s="16"/>
      <c r="M659" s="16"/>
      <c r="N659" s="16">
        <f t="shared" si="550"/>
        <v>1720522</v>
      </c>
      <c r="O659" s="16">
        <f t="shared" si="551"/>
        <v>77580.99846153846</v>
      </c>
      <c r="P659" s="41"/>
      <c r="Q659" s="17">
        <f t="shared" si="552"/>
        <v>1720522</v>
      </c>
      <c r="R659" s="16"/>
      <c r="S659" s="60">
        <f t="shared" si="553"/>
        <v>0.65225574920989482</v>
      </c>
      <c r="T659" s="16"/>
      <c r="U659" s="41"/>
      <c r="V659" s="10">
        <f t="shared" si="568"/>
        <v>551</v>
      </c>
      <c r="W659" s="34">
        <v>1791</v>
      </c>
      <c r="X659" s="33">
        <v>4256</v>
      </c>
      <c r="Y659" s="33"/>
      <c r="Z659" s="33">
        <f t="shared" si="554"/>
        <v>5356</v>
      </c>
      <c r="AA659" s="33">
        <f t="shared" si="555"/>
        <v>765288</v>
      </c>
      <c r="AB659" s="33"/>
      <c r="AC659" s="46">
        <f t="shared" si="556"/>
        <v>1.5175960314945478E-2</v>
      </c>
      <c r="AD659" s="33"/>
      <c r="AE659" s="33">
        <f t="shared" si="557"/>
        <v>1177.3661538461538</v>
      </c>
      <c r="AF659" s="50"/>
      <c r="AG659" s="33"/>
      <c r="AH659" s="33"/>
      <c r="AI659" s="213"/>
      <c r="AJ659" s="50"/>
      <c r="AL659" s="23">
        <f t="shared" si="55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59"/>
        <v>2.012844006948802E-3</v>
      </c>
      <c r="AS659" s="25"/>
      <c r="AT659" s="25"/>
      <c r="AU659" s="24"/>
      <c r="AV659" s="298">
        <f t="shared" si="560"/>
        <v>0.82114260373312264</v>
      </c>
      <c r="AW659" s="298"/>
      <c r="AX659" s="24">
        <f t="shared" si="561"/>
        <v>63705.063076923077</v>
      </c>
      <c r="AY659" s="308"/>
      <c r="BA659" s="65">
        <f t="shared" si="562"/>
        <v>2389885</v>
      </c>
      <c r="BB659" s="66"/>
      <c r="BC659" s="66">
        <v>809008481</v>
      </c>
      <c r="BD659" s="66"/>
      <c r="BE659" s="66">
        <f t="shared" si="563"/>
        <v>475831</v>
      </c>
      <c r="BF659" s="66"/>
      <c r="BG659" s="144">
        <f t="shared" si="564"/>
        <v>0.19910204884335439</v>
      </c>
      <c r="BH659" s="66"/>
      <c r="BI659" s="170"/>
      <c r="BJ659" s="66"/>
      <c r="BK659" s="66"/>
      <c r="BL659" s="66"/>
      <c r="BM659" s="144"/>
      <c r="BN659" s="65">
        <f t="shared" si="565"/>
        <v>1244628.4323076922</v>
      </c>
      <c r="BO659" s="66"/>
      <c r="BP659" s="66">
        <f t="shared" si="566"/>
        <v>49520671</v>
      </c>
      <c r="BQ659" s="66"/>
      <c r="BR659" s="435">
        <f t="shared" si="567"/>
        <v>6.1211559783388721E-2</v>
      </c>
      <c r="BS659" s="66"/>
      <c r="BT659" s="75"/>
      <c r="BU659" s="170"/>
      <c r="BV659" s="1"/>
      <c r="BW659" s="61">
        <f t="shared" si="407"/>
        <v>650</v>
      </c>
    </row>
    <row r="660" spans="2:85" x14ac:dyDescent="0.3">
      <c r="B660" s="158">
        <f t="shared" si="547"/>
        <v>44560</v>
      </c>
      <c r="C660" s="61"/>
      <c r="D660" s="17">
        <v>572029</v>
      </c>
      <c r="E660" s="16"/>
      <c r="F660" s="16"/>
      <c r="G660" s="16"/>
      <c r="H660" s="16">
        <f t="shared" si="548"/>
        <v>50999678</v>
      </c>
      <c r="I660" s="16"/>
      <c r="J660" s="436">
        <f t="shared" si="549"/>
        <v>1.1343558768722294E-2</v>
      </c>
      <c r="K660" s="16"/>
      <c r="L660" s="16"/>
      <c r="M660" s="16"/>
      <c r="N660" s="16">
        <f t="shared" si="550"/>
        <v>2025282</v>
      </c>
      <c r="O660" s="16">
        <f t="shared" si="551"/>
        <v>78340.519201228875</v>
      </c>
      <c r="P660" s="41"/>
      <c r="Q660" s="17">
        <f t="shared" si="552"/>
        <v>2025282</v>
      </c>
      <c r="R660" s="16"/>
      <c r="S660" s="60">
        <f t="shared" si="553"/>
        <v>0.7568509816610296</v>
      </c>
      <c r="T660" s="16"/>
      <c r="U660" s="41"/>
      <c r="V660" s="10">
        <f t="shared" si="568"/>
        <v>552</v>
      </c>
      <c r="W660" s="34">
        <v>1362</v>
      </c>
      <c r="X660" s="33">
        <v>4256</v>
      </c>
      <c r="Y660" s="33"/>
      <c r="Z660" s="33">
        <f t="shared" si="554"/>
        <v>5971</v>
      </c>
      <c r="AA660" s="33">
        <f t="shared" si="555"/>
        <v>766650</v>
      </c>
      <c r="AB660" s="33"/>
      <c r="AC660" s="46">
        <f t="shared" si="556"/>
        <v>1.5032447851925654E-2</v>
      </c>
      <c r="AD660" s="33"/>
      <c r="AE660" s="33">
        <f t="shared" si="557"/>
        <v>1177.6497695852534</v>
      </c>
      <c r="AF660" s="50"/>
      <c r="AG660" s="33"/>
      <c r="AH660" s="33"/>
      <c r="AI660" s="213"/>
      <c r="AJ660" s="50"/>
      <c r="AL660" s="23">
        <f t="shared" si="55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59"/>
        <v>1.4337466861407055E-3</v>
      </c>
      <c r="AS660" s="25"/>
      <c r="AT660" s="25"/>
      <c r="AU660" s="24"/>
      <c r="AV660" s="298">
        <f t="shared" si="560"/>
        <v>0.8130965062171569</v>
      </c>
      <c r="AW660" s="298"/>
      <c r="AX660" s="24">
        <f t="shared" si="561"/>
        <v>63698.4024577573</v>
      </c>
      <c r="AY660" s="308"/>
      <c r="BA660" s="65">
        <f t="shared" si="562"/>
        <v>2314597</v>
      </c>
      <c r="BB660" s="66"/>
      <c r="BC660" s="66">
        <v>811323078</v>
      </c>
      <c r="BD660" s="66"/>
      <c r="BE660" s="66">
        <f t="shared" si="563"/>
        <v>572029</v>
      </c>
      <c r="BF660" s="66"/>
      <c r="BG660" s="144">
        <f t="shared" si="564"/>
        <v>0.24713978286500846</v>
      </c>
      <c r="BH660" s="66"/>
      <c r="BI660" s="170"/>
      <c r="BJ660" s="66"/>
      <c r="BK660" s="66"/>
      <c r="BL660" s="66"/>
      <c r="BM660" s="144"/>
      <c r="BN660" s="65">
        <f t="shared" si="565"/>
        <v>1246272.0092165899</v>
      </c>
      <c r="BO660" s="66"/>
      <c r="BP660" s="66">
        <f t="shared" si="566"/>
        <v>50092700</v>
      </c>
      <c r="BQ660" s="66"/>
      <c r="BR660" s="435">
        <f t="shared" si="567"/>
        <v>6.1741988313070026E-2</v>
      </c>
      <c r="BS660" s="66"/>
      <c r="BT660" s="75"/>
      <c r="BU660" s="170"/>
      <c r="BV660" s="1"/>
      <c r="BW660" s="61">
        <f t="shared" si="407"/>
        <v>651</v>
      </c>
    </row>
    <row r="661" spans="2:85" x14ac:dyDescent="0.3">
      <c r="B661" s="158">
        <f t="shared" si="547"/>
        <v>44561</v>
      </c>
      <c r="C661" s="61"/>
      <c r="D661" s="17">
        <v>443677</v>
      </c>
      <c r="E661" s="16"/>
      <c r="F661" s="16"/>
      <c r="G661" s="16"/>
      <c r="H661" s="16">
        <f t="shared" si="548"/>
        <v>51443355</v>
      </c>
      <c r="I661" s="16"/>
      <c r="J661" s="436">
        <f t="shared" si="549"/>
        <v>8.6996039465190352E-3</v>
      </c>
      <c r="K661" s="16"/>
      <c r="L661" s="16"/>
      <c r="M661" s="16"/>
      <c r="N661" s="16">
        <f t="shared" si="550"/>
        <v>2252617</v>
      </c>
      <c r="O661" s="16">
        <f t="shared" si="551"/>
        <v>78900.851226993866</v>
      </c>
      <c r="P661" s="41"/>
      <c r="Q661" s="17">
        <f t="shared" si="552"/>
        <v>2252617</v>
      </c>
      <c r="R661" s="16"/>
      <c r="S661" s="60">
        <f t="shared" si="553"/>
        <v>0.86873105441561738</v>
      </c>
      <c r="T661" s="16"/>
      <c r="U661" s="41"/>
      <c r="V661" s="10">
        <f t="shared" si="568"/>
        <v>553</v>
      </c>
      <c r="W661" s="34">
        <v>716</v>
      </c>
      <c r="X661" s="33">
        <v>4256</v>
      </c>
      <c r="Y661" s="33"/>
      <c r="Z661" s="33">
        <f t="shared" si="554"/>
        <v>6556</v>
      </c>
      <c r="AA661" s="33">
        <f t="shared" si="555"/>
        <v>767366</v>
      </c>
      <c r="AB661" s="33"/>
      <c r="AC661" s="46">
        <f t="shared" si="556"/>
        <v>1.4916717620769486E-2</v>
      </c>
      <c r="AD661" s="33"/>
      <c r="AE661" s="33">
        <f t="shared" si="557"/>
        <v>1176.9417177914111</v>
      </c>
      <c r="AF661" s="50"/>
      <c r="AG661" s="33"/>
      <c r="AH661" s="33"/>
      <c r="AI661" s="213"/>
      <c r="AJ661" s="50"/>
      <c r="AL661" s="23">
        <f t="shared" si="55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59"/>
        <v>8.4593632724875244E-4</v>
      </c>
      <c r="AS661" s="25"/>
      <c r="AT661" s="25"/>
      <c r="AU661" s="24"/>
      <c r="AV661" s="298">
        <f t="shared" si="560"/>
        <v>0.80676579122804104</v>
      </c>
      <c r="AW661" s="298"/>
      <c r="AX661" s="24">
        <f t="shared" si="561"/>
        <v>63654.50766871166</v>
      </c>
      <c r="AY661" s="308"/>
      <c r="BA661" s="65">
        <f t="shared" si="562"/>
        <v>1421158</v>
      </c>
      <c r="BB661" s="66"/>
      <c r="BC661" s="66">
        <v>812744236</v>
      </c>
      <c r="BD661" s="66"/>
      <c r="BE661" s="66">
        <f t="shared" si="563"/>
        <v>443677</v>
      </c>
      <c r="BF661" s="66"/>
      <c r="BG661" s="144">
        <f t="shared" si="564"/>
        <v>0.31219399954121918</v>
      </c>
      <c r="BH661" s="66"/>
      <c r="BI661" s="170"/>
      <c r="BJ661" s="66"/>
      <c r="BK661" s="66"/>
      <c r="BL661" s="66"/>
      <c r="BM661" s="144"/>
      <c r="BN661" s="65">
        <f t="shared" si="565"/>
        <v>1246540.2392638037</v>
      </c>
      <c r="BO661" s="66"/>
      <c r="BP661" s="66">
        <f t="shared" si="566"/>
        <v>50536377</v>
      </c>
      <c r="BQ661" s="66"/>
      <c r="BR661" s="435">
        <f t="shared" si="567"/>
        <v>6.2179926674989054E-2</v>
      </c>
      <c r="BS661" s="66"/>
      <c r="BT661" s="75"/>
      <c r="BU661" s="170"/>
      <c r="BV661" s="1"/>
      <c r="BW661" s="61">
        <f t="shared" si="407"/>
        <v>652</v>
      </c>
    </row>
    <row r="662" spans="2:85" x14ac:dyDescent="0.3">
      <c r="B662" s="158">
        <f t="shared" si="547"/>
        <v>44562</v>
      </c>
      <c r="C662" s="61"/>
      <c r="D662" s="17">
        <v>161398</v>
      </c>
      <c r="E662" s="16"/>
      <c r="F662" s="16"/>
      <c r="G662" s="16"/>
      <c r="H662" s="16">
        <f t="shared" si="548"/>
        <v>51604753</v>
      </c>
      <c r="I662" s="16"/>
      <c r="J662" s="436">
        <f t="shared" si="549"/>
        <v>3.1373925748038791E-3</v>
      </c>
      <c r="K662" s="16"/>
      <c r="L662" s="16"/>
      <c r="M662" s="16"/>
      <c r="N662" s="16">
        <f t="shared" si="550"/>
        <v>2292768</v>
      </c>
      <c r="O662" s="16">
        <f t="shared" si="551"/>
        <v>79027.186830015315</v>
      </c>
      <c r="P662" s="41"/>
      <c r="Q662" s="17">
        <f t="shared" si="552"/>
        <v>2292768</v>
      </c>
      <c r="R662" s="16"/>
      <c r="S662" s="60">
        <f t="shared" si="553"/>
        <v>0.84789026628270503</v>
      </c>
      <c r="T662" s="16"/>
      <c r="U662" s="41"/>
      <c r="V662" s="10">
        <f t="shared" si="568"/>
        <v>554</v>
      </c>
      <c r="W662" s="34">
        <v>257</v>
      </c>
      <c r="X662" s="33">
        <v>4256</v>
      </c>
      <c r="Y662" s="33"/>
      <c r="Z662" s="33">
        <f t="shared" si="554"/>
        <v>6761</v>
      </c>
      <c r="AA662" s="33">
        <f t="shared" si="555"/>
        <v>767623</v>
      </c>
      <c r="AB662" s="33"/>
      <c r="AC662" s="46">
        <f t="shared" si="556"/>
        <v>1.4875044552582201E-2</v>
      </c>
      <c r="AD662" s="33"/>
      <c r="AE662" s="33">
        <f t="shared" si="557"/>
        <v>1175.5329249617153</v>
      </c>
      <c r="AF662" s="50"/>
      <c r="AG662" s="33"/>
      <c r="AH662" s="33"/>
      <c r="AI662" s="213"/>
      <c r="AJ662" s="50"/>
      <c r="AL662" s="23">
        <f t="shared" si="55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59"/>
        <v>3.790834142296006E-4</v>
      </c>
      <c r="AS662" s="25"/>
      <c r="AT662" s="25"/>
      <c r="AU662" s="24"/>
      <c r="AV662" s="298">
        <f t="shared" si="560"/>
        <v>0.80454744158934355</v>
      </c>
      <c r="AW662" s="298"/>
      <c r="AX662" s="24">
        <f t="shared" si="561"/>
        <v>63581.12098009188</v>
      </c>
      <c r="AY662" s="308"/>
      <c r="BA662" s="65">
        <f t="shared" si="562"/>
        <v>475983</v>
      </c>
      <c r="BB662" s="66"/>
      <c r="BC662" s="66">
        <v>813220219</v>
      </c>
      <c r="BD662" s="66"/>
      <c r="BE662" s="66">
        <f t="shared" si="563"/>
        <v>161398</v>
      </c>
      <c r="BF662" s="66"/>
      <c r="BG662" s="144">
        <f t="shared" si="564"/>
        <v>0.33908353869781066</v>
      </c>
      <c r="BH662" s="66"/>
      <c r="BI662" s="170"/>
      <c r="BJ662" s="66"/>
      <c r="BK662" s="66"/>
      <c r="BL662" s="66"/>
      <c r="BM662" s="144"/>
      <c r="BN662" s="65">
        <f t="shared" si="565"/>
        <v>1245360.2128637061</v>
      </c>
      <c r="BO662" s="66"/>
      <c r="BP662" s="66">
        <f t="shared" si="566"/>
        <v>50697775</v>
      </c>
      <c r="BQ662" s="66"/>
      <c r="BR662" s="435">
        <f t="shared" si="567"/>
        <v>6.2342000131701103E-2</v>
      </c>
      <c r="BS662" s="66"/>
      <c r="BT662" s="75"/>
      <c r="BU662" s="170"/>
      <c r="BV662" s="1"/>
      <c r="BW662" s="61">
        <f t="shared" si="407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47"/>
        <v>44563</v>
      </c>
      <c r="C663" s="61"/>
      <c r="D663" s="17">
        <v>185122</v>
      </c>
      <c r="E663" s="16"/>
      <c r="F663" s="16"/>
      <c r="G663" s="16"/>
      <c r="H663" s="16">
        <f t="shared" si="548"/>
        <v>51789875</v>
      </c>
      <c r="I663" s="16"/>
      <c r="J663" s="436">
        <f t="shared" si="549"/>
        <v>3.587305223609926E-3</v>
      </c>
      <c r="K663" s="16"/>
      <c r="L663" s="16"/>
      <c r="M663" s="16"/>
      <c r="N663" s="16">
        <f t="shared" si="550"/>
        <v>2381506</v>
      </c>
      <c r="O663" s="16">
        <f t="shared" si="551"/>
        <v>79189.411314984711</v>
      </c>
      <c r="P663" s="41"/>
      <c r="Q663" s="17">
        <f t="shared" si="552"/>
        <v>2381506</v>
      </c>
      <c r="R663" s="16"/>
      <c r="S663" s="60">
        <f t="shared" si="553"/>
        <v>0.87463770739824709</v>
      </c>
      <c r="T663" s="16"/>
      <c r="U663" s="41"/>
      <c r="V663" s="10">
        <f t="shared" si="568"/>
        <v>555</v>
      </c>
      <c r="W663" s="34">
        <v>161</v>
      </c>
      <c r="X663" s="33">
        <v>4256</v>
      </c>
      <c r="Y663" s="33"/>
      <c r="Z663" s="33">
        <f t="shared" si="554"/>
        <v>6099</v>
      </c>
      <c r="AA663" s="33">
        <f t="shared" si="555"/>
        <v>767784</v>
      </c>
      <c r="AB663" s="33"/>
      <c r="AC663" s="46">
        <f t="shared" si="556"/>
        <v>1.4824982682425861E-2</v>
      </c>
      <c r="AD663" s="33"/>
      <c r="AE663" s="33">
        <f t="shared" si="557"/>
        <v>1173.9816513761468</v>
      </c>
      <c r="AF663" s="50"/>
      <c r="AG663" s="33"/>
      <c r="AH663" s="33"/>
      <c r="AI663" s="213"/>
      <c r="AJ663" s="50"/>
      <c r="AL663" s="23">
        <f t="shared" si="55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59"/>
        <v>5.922183263391774E-4</v>
      </c>
      <c r="AS663" s="25"/>
      <c r="AT663" s="25"/>
      <c r="AU663" s="24"/>
      <c r="AV663" s="298">
        <f t="shared" si="560"/>
        <v>0.80214636548166995</v>
      </c>
      <c r="AW663" s="298"/>
      <c r="AX663" s="24">
        <f t="shared" si="561"/>
        <v>63521.498470948012</v>
      </c>
      <c r="AY663" s="308"/>
      <c r="BA663" s="65">
        <f t="shared" si="562"/>
        <v>605355</v>
      </c>
      <c r="BB663" s="66"/>
      <c r="BC663" s="66">
        <v>813825574</v>
      </c>
      <c r="BD663" s="66"/>
      <c r="BE663" s="66">
        <f t="shared" si="563"/>
        <v>185122</v>
      </c>
      <c r="BF663" s="66"/>
      <c r="BG663" s="144">
        <f t="shared" si="564"/>
        <v>0.30580733619116057</v>
      </c>
      <c r="BH663" s="66"/>
      <c r="BI663" s="170"/>
      <c r="BJ663" s="66"/>
      <c r="BK663" s="66"/>
      <c r="BL663" s="66"/>
      <c r="BM663" s="144"/>
      <c r="BN663" s="65">
        <f t="shared" si="565"/>
        <v>1244381.6116207952</v>
      </c>
      <c r="BO663" s="66"/>
      <c r="BP663" s="66">
        <f t="shared" si="566"/>
        <v>50882897</v>
      </c>
      <c r="BQ663" s="66"/>
      <c r="BR663" s="435">
        <f t="shared" si="567"/>
        <v>6.2523099083637304E-2</v>
      </c>
      <c r="BS663" s="66"/>
      <c r="BT663" s="75"/>
      <c r="BU663" s="170"/>
      <c r="BV663" s="1"/>
      <c r="BW663" s="61">
        <f t="shared" si="407"/>
        <v>654</v>
      </c>
      <c r="CA663" s="56">
        <f t="shared" ref="CA663:CA691" si="569">+BA663</f>
        <v>605355</v>
      </c>
      <c r="CC663" s="56">
        <f t="shared" ref="CC663:CC691" si="570">+BE663</f>
        <v>185122</v>
      </c>
      <c r="CG663" s="59">
        <f t="shared" ref="CG663:CG693" si="571">+CC663/CA663</f>
        <v>0.30580733619116057</v>
      </c>
    </row>
    <row r="664" spans="2:85" x14ac:dyDescent="0.3">
      <c r="B664" s="158">
        <f t="shared" si="547"/>
        <v>44564</v>
      </c>
      <c r="C664" s="61"/>
      <c r="D664" s="17">
        <v>515250</v>
      </c>
      <c r="E664" s="16"/>
      <c r="F664" s="16"/>
      <c r="G664" s="16"/>
      <c r="H664" s="16">
        <f t="shared" si="548"/>
        <v>52305125</v>
      </c>
      <c r="I664" s="16"/>
      <c r="J664" s="436">
        <f t="shared" si="549"/>
        <v>9.9488558333071866E-3</v>
      </c>
      <c r="K664" s="16"/>
      <c r="L664" s="16"/>
      <c r="M664" s="16"/>
      <c r="N664" s="16">
        <f t="shared" si="550"/>
        <v>2667740</v>
      </c>
      <c r="O664" s="16">
        <f t="shared" si="551"/>
        <v>79855.152671755728</v>
      </c>
      <c r="P664" s="41"/>
      <c r="Q664" s="17">
        <f t="shared" si="552"/>
        <v>2667740</v>
      </c>
      <c r="R664" s="16"/>
      <c r="S664" s="60">
        <f t="shared" si="553"/>
        <v>0.96755141355943208</v>
      </c>
      <c r="T664" s="16"/>
      <c r="U664" s="41"/>
      <c r="V664" s="10">
        <f t="shared" si="568"/>
        <v>556</v>
      </c>
      <c r="W664" s="34">
        <v>884</v>
      </c>
      <c r="X664" s="33">
        <v>4256</v>
      </c>
      <c r="Y664" s="33"/>
      <c r="Z664" s="33">
        <f t="shared" si="554"/>
        <v>5171</v>
      </c>
      <c r="AA664" s="33">
        <f t="shared" si="555"/>
        <v>768668</v>
      </c>
      <c r="AB664" s="33"/>
      <c r="AC664" s="46">
        <f t="shared" si="556"/>
        <v>1.469584481444218E-2</v>
      </c>
      <c r="AD664" s="33"/>
      <c r="AE664" s="33">
        <f t="shared" si="557"/>
        <v>1173.53893129771</v>
      </c>
      <c r="AF664" s="50"/>
      <c r="AG664" s="33"/>
      <c r="AH664" s="33"/>
      <c r="AI664" s="213"/>
      <c r="AJ664" s="50"/>
      <c r="AL664" s="23">
        <f t="shared" si="55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59"/>
        <v>4.6619339066501118E-3</v>
      </c>
      <c r="AS664" s="25"/>
      <c r="AT664" s="25"/>
      <c r="AU664" s="24"/>
      <c r="AV664" s="298">
        <f t="shared" si="560"/>
        <v>0.797947256602484</v>
      </c>
      <c r="AW664" s="298"/>
      <c r="AX664" s="24">
        <f t="shared" si="561"/>
        <v>63720.2</v>
      </c>
      <c r="AY664" s="308"/>
      <c r="BA664" s="65">
        <f t="shared" si="562"/>
        <v>5604866</v>
      </c>
      <c r="BB664" s="66"/>
      <c r="BC664" s="66">
        <v>819430440</v>
      </c>
      <c r="BD664" s="66"/>
      <c r="BE664" s="66">
        <f t="shared" si="563"/>
        <v>515250</v>
      </c>
      <c r="BF664" s="66"/>
      <c r="BG664" s="144">
        <f t="shared" si="564"/>
        <v>9.1929048794386875E-2</v>
      </c>
      <c r="BH664" s="66"/>
      <c r="BI664" s="170"/>
      <c r="BJ664" s="66"/>
      <c r="BK664" s="66"/>
      <c r="BL664" s="66"/>
      <c r="BM664" s="144"/>
      <c r="BN664" s="65">
        <f t="shared" si="565"/>
        <v>1251038.8396946564</v>
      </c>
      <c r="BO664" s="66"/>
      <c r="BP664" s="66">
        <f t="shared" si="566"/>
        <v>51398147</v>
      </c>
      <c r="BQ664" s="66"/>
      <c r="BR664" s="435">
        <f t="shared" si="567"/>
        <v>6.272423440847523E-2</v>
      </c>
      <c r="BS664" s="66"/>
      <c r="BT664" s="75"/>
      <c r="BU664" s="170"/>
      <c r="BV664" s="1"/>
      <c r="BW664" s="61">
        <f t="shared" si="407"/>
        <v>655</v>
      </c>
      <c r="CA664" s="56">
        <f t="shared" si="569"/>
        <v>5604866</v>
      </c>
      <c r="CC664" s="56">
        <f t="shared" si="570"/>
        <v>515250</v>
      </c>
      <c r="CG664" s="59">
        <f t="shared" si="571"/>
        <v>9.1929048794386875E-2</v>
      </c>
    </row>
    <row r="665" spans="2:85" x14ac:dyDescent="0.3">
      <c r="B665" s="158">
        <f t="shared" si="547"/>
        <v>44565</v>
      </c>
      <c r="C665" s="61"/>
      <c r="D665" s="17">
        <v>595810</v>
      </c>
      <c r="E665" s="16"/>
      <c r="F665" s="16"/>
      <c r="G665" s="16"/>
      <c r="H665" s="16">
        <f t="shared" si="548"/>
        <v>52900935</v>
      </c>
      <c r="I665" s="16"/>
      <c r="J665" s="436">
        <f t="shared" si="549"/>
        <v>1.1391044376626573E-2</v>
      </c>
      <c r="K665" s="16"/>
      <c r="L665" s="16"/>
      <c r="M665" s="16"/>
      <c r="N665" s="16">
        <f t="shared" si="550"/>
        <v>2949117</v>
      </c>
      <c r="O665" s="16">
        <f t="shared" si="551"/>
        <v>80641.669207317071</v>
      </c>
      <c r="P665" s="41"/>
      <c r="Q665" s="17">
        <f t="shared" si="552"/>
        <v>2949117</v>
      </c>
      <c r="R665" s="16"/>
      <c r="S665" s="60">
        <f t="shared" si="553"/>
        <v>0.99659394180657168</v>
      </c>
      <c r="T665" s="16"/>
      <c r="U665" s="41"/>
      <c r="V665" s="10">
        <f t="shared" si="568"/>
        <v>557</v>
      </c>
      <c r="W665" s="34">
        <v>2016</v>
      </c>
      <c r="X665" s="33">
        <v>4256</v>
      </c>
      <c r="Y665" s="33"/>
      <c r="Z665" s="33">
        <f t="shared" si="554"/>
        <v>5396</v>
      </c>
      <c r="AA665" s="33">
        <f t="shared" si="555"/>
        <v>770684</v>
      </c>
      <c r="AB665" s="33"/>
      <c r="AC665" s="46">
        <f t="shared" si="556"/>
        <v>1.4568438157094955E-2</v>
      </c>
      <c r="AD665" s="33"/>
      <c r="AE665" s="33">
        <f t="shared" si="557"/>
        <v>1174.8231707317073</v>
      </c>
      <c r="AF665" s="50"/>
      <c r="AG665" s="33"/>
      <c r="AH665" s="33"/>
      <c r="AI665" s="213"/>
      <c r="AJ665" s="50"/>
      <c r="AL665" s="23">
        <f t="shared" si="55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59"/>
        <v>4.0505568104986468E-3</v>
      </c>
      <c r="AS665" s="25"/>
      <c r="AT665" s="25"/>
      <c r="AU665" s="24"/>
      <c r="AV665" s="298">
        <f t="shared" si="560"/>
        <v>0.7921559042387436</v>
      </c>
      <c r="AW665" s="298"/>
      <c r="AX665" s="24">
        <f t="shared" si="561"/>
        <v>63880.774390243903</v>
      </c>
      <c r="AY665" s="308"/>
      <c r="BA665" s="65">
        <f t="shared" si="562"/>
        <v>4175370</v>
      </c>
      <c r="BB665" s="66"/>
      <c r="BC665" s="66">
        <v>823605810</v>
      </c>
      <c r="BD665" s="66"/>
      <c r="BE665" s="66">
        <f t="shared" si="563"/>
        <v>595810</v>
      </c>
      <c r="BF665" s="66"/>
      <c r="BG665" s="144">
        <f t="shared" si="564"/>
        <v>0.14269633589358549</v>
      </c>
      <c r="BH665" s="66"/>
      <c r="BI665" s="170"/>
      <c r="BJ665" s="66"/>
      <c r="BK665" s="66"/>
      <c r="BL665" s="66"/>
      <c r="BM665" s="144"/>
      <c r="BN665" s="65">
        <f t="shared" si="565"/>
        <v>1255496.6615853659</v>
      </c>
      <c r="BO665" s="66"/>
      <c r="BP665" s="66">
        <f t="shared" si="566"/>
        <v>51993957</v>
      </c>
      <c r="BQ665" s="66"/>
      <c r="BR665" s="435">
        <f t="shared" si="567"/>
        <v>6.3129662720567747E-2</v>
      </c>
      <c r="BS665" s="66"/>
      <c r="BT665" s="75"/>
      <c r="BU665" s="170"/>
      <c r="BV665" s="1"/>
      <c r="BW665" s="61">
        <f t="shared" si="407"/>
        <v>656</v>
      </c>
      <c r="CA665" s="56">
        <f t="shared" si="569"/>
        <v>4175370</v>
      </c>
      <c r="CC665" s="56">
        <f t="shared" si="570"/>
        <v>595810</v>
      </c>
      <c r="CG665" s="59">
        <f t="shared" si="571"/>
        <v>0.14269633589358549</v>
      </c>
    </row>
    <row r="666" spans="2:85" x14ac:dyDescent="0.3">
      <c r="B666" s="158">
        <f t="shared" si="547"/>
        <v>44566</v>
      </c>
      <c r="C666" s="61"/>
      <c r="D666" s="17">
        <v>704661</v>
      </c>
      <c r="E666" s="16"/>
      <c r="F666" s="16"/>
      <c r="G666" s="16"/>
      <c r="H666" s="16">
        <f t="shared" si="548"/>
        <v>53605596</v>
      </c>
      <c r="I666" s="16"/>
      <c r="J666" s="436">
        <f t="shared" si="549"/>
        <v>1.3320388382549382E-2</v>
      </c>
      <c r="K666" s="16"/>
      <c r="L666" s="16"/>
      <c r="M666" s="16"/>
      <c r="N666" s="16">
        <f t="shared" si="550"/>
        <v>3177947</v>
      </c>
      <c r="O666" s="16">
        <f t="shared" si="551"/>
        <v>81591.470319634696</v>
      </c>
      <c r="P666" s="41"/>
      <c r="Q666" s="17">
        <f t="shared" si="552"/>
        <v>3177947</v>
      </c>
      <c r="R666" s="16"/>
      <c r="S666" s="60">
        <f t="shared" si="553"/>
        <v>0.84708303642731686</v>
      </c>
      <c r="T666" s="16"/>
      <c r="U666" s="41"/>
      <c r="V666" s="10">
        <f t="shared" si="568"/>
        <v>558</v>
      </c>
      <c r="W666" s="34">
        <v>1802</v>
      </c>
      <c r="X666" s="33">
        <v>4256</v>
      </c>
      <c r="Y666" s="33"/>
      <c r="Z666" s="33">
        <f t="shared" si="554"/>
        <v>5836</v>
      </c>
      <c r="AA666" s="33">
        <f t="shared" si="555"/>
        <v>772486</v>
      </c>
      <c r="AB666" s="33"/>
      <c r="AC666" s="46">
        <f t="shared" si="556"/>
        <v>1.4410547734605917E-2</v>
      </c>
      <c r="AD666" s="33"/>
      <c r="AE666" s="33">
        <f t="shared" si="557"/>
        <v>1175.7777777777778</v>
      </c>
      <c r="AF666" s="50"/>
      <c r="AG666" s="33"/>
      <c r="AH666" s="33"/>
      <c r="AI666" s="213"/>
      <c r="AJ666" s="50"/>
      <c r="AL666" s="23">
        <f t="shared" si="55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59"/>
        <v>2.245704101781835E-3</v>
      </c>
      <c r="AS666" s="25"/>
      <c r="AT666" s="25"/>
      <c r="AU666" s="24"/>
      <c r="AV666" s="298">
        <f t="shared" si="560"/>
        <v>0.78349834968722298</v>
      </c>
      <c r="AW666" s="298"/>
      <c r="AX666" s="24">
        <f t="shared" si="561"/>
        <v>63926.782343987827</v>
      </c>
      <c r="AY666" s="308"/>
      <c r="BA666" s="65">
        <f t="shared" si="562"/>
        <v>2980208</v>
      </c>
      <c r="BB666" s="66"/>
      <c r="BC666" s="66">
        <v>826586018</v>
      </c>
      <c r="BD666" s="66"/>
      <c r="BE666" s="66">
        <f t="shared" si="563"/>
        <v>704661</v>
      </c>
      <c r="BF666" s="66"/>
      <c r="BG666" s="144">
        <f t="shared" si="564"/>
        <v>0.2364469191412143</v>
      </c>
      <c r="BH666" s="66"/>
      <c r="BI666" s="170"/>
      <c r="BJ666" s="66"/>
      <c r="BK666" s="66"/>
      <c r="BL666" s="66"/>
      <c r="BM666" s="144"/>
      <c r="BN666" s="65">
        <f t="shared" si="565"/>
        <v>1258121.7929984778</v>
      </c>
      <c r="BO666" s="66"/>
      <c r="BP666" s="66">
        <f t="shared" si="566"/>
        <v>52698618</v>
      </c>
      <c r="BQ666" s="66"/>
      <c r="BR666" s="435">
        <f t="shared" si="567"/>
        <v>6.3754548047533027E-2</v>
      </c>
      <c r="BS666" s="66"/>
      <c r="BT666" s="75"/>
      <c r="BU666" s="170"/>
      <c r="BV666" s="1"/>
      <c r="BW666" s="61">
        <f t="shared" si="407"/>
        <v>657</v>
      </c>
      <c r="CA666" s="56">
        <f t="shared" si="569"/>
        <v>2980208</v>
      </c>
      <c r="CC666" s="56">
        <f t="shared" si="570"/>
        <v>704661</v>
      </c>
      <c r="CG666" s="59">
        <f t="shared" si="571"/>
        <v>0.2364469191412143</v>
      </c>
    </row>
    <row r="667" spans="2:85" x14ac:dyDescent="0.3">
      <c r="B667" s="158">
        <f t="shared" si="547"/>
        <v>44567</v>
      </c>
      <c r="C667" s="61"/>
      <c r="D667" s="17">
        <v>751512</v>
      </c>
      <c r="E667" s="16"/>
      <c r="F667" s="16"/>
      <c r="G667" s="16"/>
      <c r="H667" s="16">
        <f t="shared" si="548"/>
        <v>54357108</v>
      </c>
      <c r="I667" s="16"/>
      <c r="J667" s="436">
        <f t="shared" si="549"/>
        <v>1.401928261370324E-2</v>
      </c>
      <c r="K667" s="16"/>
      <c r="L667" s="16"/>
      <c r="M667" s="16"/>
      <c r="N667" s="16">
        <f t="shared" si="550"/>
        <v>3357430</v>
      </c>
      <c r="O667" s="16">
        <f t="shared" si="551"/>
        <v>82609.586626139819</v>
      </c>
      <c r="P667" s="41"/>
      <c r="Q667" s="17">
        <f t="shared" si="552"/>
        <v>3357430</v>
      </c>
      <c r="R667" s="16"/>
      <c r="S667" s="60">
        <f t="shared" si="553"/>
        <v>0.65775926512949801</v>
      </c>
      <c r="T667" s="16"/>
      <c r="U667" s="41"/>
      <c r="V667" s="10">
        <f t="shared" si="568"/>
        <v>559</v>
      </c>
      <c r="W667" s="34">
        <v>2143</v>
      </c>
      <c r="X667" s="33">
        <v>4256</v>
      </c>
      <c r="Y667" s="33"/>
      <c r="Z667" s="33">
        <f t="shared" si="554"/>
        <v>7263</v>
      </c>
      <c r="AA667" s="33">
        <f t="shared" si="555"/>
        <v>774629</v>
      </c>
      <c r="AB667" s="33"/>
      <c r="AC667" s="46">
        <f t="shared" si="556"/>
        <v>1.4250739756059134E-2</v>
      </c>
      <c r="AD667" s="33"/>
      <c r="AE667" s="33">
        <f t="shared" si="557"/>
        <v>1177.2477203647416</v>
      </c>
      <c r="AF667" s="50"/>
      <c r="AG667" s="33"/>
      <c r="AH667" s="33"/>
      <c r="AI667" s="213"/>
      <c r="AJ667" s="50"/>
      <c r="AL667" s="23">
        <f t="shared" si="55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59"/>
        <v>2.126243360221654E-3</v>
      </c>
      <c r="AS667" s="25"/>
      <c r="AT667" s="25"/>
      <c r="AU667" s="24"/>
      <c r="AV667" s="298">
        <f t="shared" si="560"/>
        <v>0.77430900113376155</v>
      </c>
      <c r="AW667" s="298"/>
      <c r="AX667" s="24">
        <f t="shared" si="561"/>
        <v>63965.346504559267</v>
      </c>
      <c r="AY667" s="308"/>
      <c r="BA667" s="65">
        <f t="shared" si="562"/>
        <v>2851377</v>
      </c>
      <c r="BB667" s="66"/>
      <c r="BC667" s="66">
        <v>829437395</v>
      </c>
      <c r="BD667" s="66"/>
      <c r="BE667" s="66">
        <f t="shared" si="563"/>
        <v>751512</v>
      </c>
      <c r="BF667" s="66"/>
      <c r="BG667" s="144">
        <f t="shared" si="564"/>
        <v>0.26356107943635654</v>
      </c>
      <c r="BH667" s="66"/>
      <c r="BI667" s="170"/>
      <c r="BJ667" s="66"/>
      <c r="BK667" s="66"/>
      <c r="BL667" s="66"/>
      <c r="BM667" s="144"/>
      <c r="BN667" s="65">
        <f t="shared" si="565"/>
        <v>1260543.1534954407</v>
      </c>
      <c r="BO667" s="66"/>
      <c r="BP667" s="66">
        <f t="shared" si="566"/>
        <v>53450130</v>
      </c>
      <c r="BQ667" s="66"/>
      <c r="BR667" s="435">
        <f t="shared" si="567"/>
        <v>6.4441427794559469E-2</v>
      </c>
      <c r="BS667" s="66"/>
      <c r="BT667" s="75"/>
      <c r="BU667" s="170"/>
      <c r="BV667" s="1"/>
      <c r="BW667" s="61">
        <f t="shared" si="407"/>
        <v>658</v>
      </c>
      <c r="CA667" s="56">
        <f t="shared" si="569"/>
        <v>2851377</v>
      </c>
      <c r="CC667" s="56">
        <f t="shared" si="570"/>
        <v>751512</v>
      </c>
      <c r="CG667" s="59">
        <f t="shared" si="571"/>
        <v>0.26356107943635654</v>
      </c>
    </row>
    <row r="668" spans="2:85" x14ac:dyDescent="0.3">
      <c r="B668" s="158">
        <f t="shared" si="547"/>
        <v>44568</v>
      </c>
      <c r="C668" s="61"/>
      <c r="D668" s="17">
        <v>849181</v>
      </c>
      <c r="E668" s="16"/>
      <c r="F668" s="16"/>
      <c r="G668" s="16"/>
      <c r="H668" s="16">
        <f t="shared" si="548"/>
        <v>55206289</v>
      </c>
      <c r="I668" s="16"/>
      <c r="J668" s="436">
        <f t="shared" si="549"/>
        <v>1.5622262317561118E-2</v>
      </c>
      <c r="K668" s="16"/>
      <c r="L668" s="16"/>
      <c r="M668" s="16"/>
      <c r="N668" s="16">
        <f t="shared" si="550"/>
        <v>3762934</v>
      </c>
      <c r="O668" s="16">
        <f t="shared" si="551"/>
        <v>83772.820940819423</v>
      </c>
      <c r="P668" s="41"/>
      <c r="Q668" s="17">
        <f t="shared" si="552"/>
        <v>3762934</v>
      </c>
      <c r="R668" s="16"/>
      <c r="S668" s="60">
        <f t="shared" si="553"/>
        <v>0.67047216637360008</v>
      </c>
      <c r="T668" s="16"/>
      <c r="U668" s="41"/>
      <c r="V668" s="10">
        <f t="shared" si="568"/>
        <v>560</v>
      </c>
      <c r="W668" s="34">
        <v>2025</v>
      </c>
      <c r="X668" s="33">
        <v>4256</v>
      </c>
      <c r="Y668" s="33"/>
      <c r="Z668" s="33">
        <f t="shared" si="554"/>
        <v>9031</v>
      </c>
      <c r="AA668" s="33">
        <f t="shared" si="555"/>
        <v>776654</v>
      </c>
      <c r="AB668" s="33"/>
      <c r="AC668" s="46">
        <f t="shared" si="556"/>
        <v>1.4068216032416161E-2</v>
      </c>
      <c r="AD668" s="33"/>
      <c r="AE668" s="33">
        <f t="shared" si="557"/>
        <v>1178.5341426403643</v>
      </c>
      <c r="AF668" s="50"/>
      <c r="AG668" s="33"/>
      <c r="AH668" s="33"/>
      <c r="AI668" s="213"/>
      <c r="AJ668" s="50"/>
      <c r="AL668" s="23">
        <f t="shared" si="55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59"/>
        <v>1.9732616430467504E-3</v>
      </c>
      <c r="AS668" s="25"/>
      <c r="AT668" s="25"/>
      <c r="AU668" s="24"/>
      <c r="AV668" s="298">
        <f t="shared" si="560"/>
        <v>0.76390302199084603</v>
      </c>
      <c r="AW668" s="298"/>
      <c r="AX668" s="24">
        <f t="shared" si="561"/>
        <v>63994.311077389983</v>
      </c>
      <c r="AY668" s="308"/>
      <c r="BA668" s="65">
        <f t="shared" si="562"/>
        <v>3142131</v>
      </c>
      <c r="BB668" s="66"/>
      <c r="BC668" s="66">
        <v>832579526</v>
      </c>
      <c r="BD668" s="66"/>
      <c r="BE668" s="66">
        <f t="shared" si="563"/>
        <v>849181</v>
      </c>
      <c r="BF668" s="66"/>
      <c r="BG668" s="144">
        <f t="shared" si="564"/>
        <v>0.27025639605732543</v>
      </c>
      <c r="BH668" s="66"/>
      <c r="BI668" s="170"/>
      <c r="BJ668" s="66"/>
      <c r="BK668" s="66"/>
      <c r="BL668" s="66"/>
      <c r="BM668" s="144"/>
      <c r="BN668" s="65">
        <f t="shared" si="565"/>
        <v>1263398.3702579667</v>
      </c>
      <c r="BO668" s="66"/>
      <c r="BP668" s="66">
        <f t="shared" si="566"/>
        <v>54299311</v>
      </c>
      <c r="BQ668" s="66"/>
      <c r="BR668" s="435">
        <f t="shared" si="567"/>
        <v>6.5218167519531342E-2</v>
      </c>
      <c r="BS668" s="66"/>
      <c r="BT668" s="75"/>
      <c r="BU668" s="170"/>
      <c r="BV668" s="1"/>
      <c r="BW668" s="61">
        <f t="shared" si="407"/>
        <v>659</v>
      </c>
      <c r="CA668" s="56">
        <f t="shared" si="569"/>
        <v>3142131</v>
      </c>
      <c r="CC668" s="56">
        <f t="shared" si="570"/>
        <v>849181</v>
      </c>
      <c r="CG668" s="59">
        <f t="shared" si="571"/>
        <v>0.27025639605732543</v>
      </c>
    </row>
    <row r="669" spans="2:85" x14ac:dyDescent="0.3">
      <c r="B669" s="158">
        <f t="shared" si="547"/>
        <v>44569</v>
      </c>
      <c r="C669" s="61"/>
      <c r="D669" s="17">
        <v>468081</v>
      </c>
      <c r="E669" s="16"/>
      <c r="F669" s="16"/>
      <c r="G669" s="16"/>
      <c r="H669" s="16">
        <f t="shared" si="548"/>
        <v>55674370</v>
      </c>
      <c r="I669" s="16"/>
      <c r="J669" s="436">
        <f t="shared" si="549"/>
        <v>8.4787622656541904E-3</v>
      </c>
      <c r="K669" s="16"/>
      <c r="L669" s="16"/>
      <c r="M669" s="16"/>
      <c r="N669" s="16">
        <f t="shared" si="550"/>
        <v>4069617</v>
      </c>
      <c r="O669" s="16">
        <f t="shared" si="551"/>
        <v>84355.106060606064</v>
      </c>
      <c r="P669" s="41"/>
      <c r="Q669" s="17">
        <f t="shared" si="552"/>
        <v>4069617</v>
      </c>
      <c r="R669" s="16"/>
      <c r="S669" s="60">
        <f t="shared" si="553"/>
        <v>0.77497984968387557</v>
      </c>
      <c r="T669" s="16"/>
      <c r="U669" s="41"/>
      <c r="V669" s="10">
        <f t="shared" si="568"/>
        <v>561</v>
      </c>
      <c r="W669" s="34">
        <v>669</v>
      </c>
      <c r="X669" s="33">
        <v>4256</v>
      </c>
      <c r="Y669" s="33"/>
      <c r="Z669" s="33">
        <f t="shared" si="554"/>
        <v>9539</v>
      </c>
      <c r="AA669" s="33">
        <f t="shared" si="555"/>
        <v>777323</v>
      </c>
      <c r="AB669" s="33"/>
      <c r="AC669" s="46">
        <f t="shared" si="556"/>
        <v>1.3961954127186352E-2</v>
      </c>
      <c r="AD669" s="33"/>
      <c r="AE669" s="33">
        <f t="shared" si="557"/>
        <v>1177.7621212121212</v>
      </c>
      <c r="AF669" s="50"/>
      <c r="AG669" s="33"/>
      <c r="AH669" s="33"/>
      <c r="AI669" s="213"/>
      <c r="AJ669" s="50"/>
      <c r="AL669" s="23">
        <f t="shared" si="55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59"/>
        <v>1.1600519023753321E-3</v>
      </c>
      <c r="AS669" s="25"/>
      <c r="AT669" s="25"/>
      <c r="AU669" s="24"/>
      <c r="AV669" s="298">
        <f t="shared" si="560"/>
        <v>0.75835924142473454</v>
      </c>
      <c r="AW669" s="298"/>
      <c r="AX669" s="24">
        <f t="shared" si="561"/>
        <v>63971.474242424243</v>
      </c>
      <c r="AY669" s="308"/>
      <c r="BA669" s="65">
        <f t="shared" si="562"/>
        <v>1033652</v>
      </c>
      <c r="BB669" s="66"/>
      <c r="BC669" s="66">
        <v>833613178</v>
      </c>
      <c r="BD669" s="66"/>
      <c r="BE669" s="66">
        <f t="shared" si="563"/>
        <v>468081</v>
      </c>
      <c r="BF669" s="66"/>
      <c r="BG669" s="144">
        <f t="shared" si="564"/>
        <v>0.45284196228517914</v>
      </c>
      <c r="BH669" s="66"/>
      <c r="BI669" s="170"/>
      <c r="BJ669" s="66"/>
      <c r="BK669" s="66"/>
      <c r="BL669" s="66"/>
      <c r="BM669" s="144"/>
      <c r="BN669" s="65">
        <f t="shared" si="565"/>
        <v>1263050.2696969698</v>
      </c>
      <c r="BO669" s="66"/>
      <c r="BP669" s="66">
        <f t="shared" si="566"/>
        <v>54767392</v>
      </c>
      <c r="BQ669" s="66"/>
      <c r="BR669" s="435">
        <f t="shared" si="567"/>
        <v>6.569880784682125E-2</v>
      </c>
      <c r="BS669" s="66"/>
      <c r="BT669" s="75"/>
      <c r="BU669" s="170"/>
      <c r="BV669" s="1"/>
      <c r="BW669" s="61">
        <f t="shared" si="407"/>
        <v>660</v>
      </c>
      <c r="CA669" s="56">
        <f t="shared" si="569"/>
        <v>1033652</v>
      </c>
      <c r="CC669" s="56">
        <f t="shared" si="570"/>
        <v>468081</v>
      </c>
      <c r="CG669" s="59">
        <f t="shared" si="571"/>
        <v>0.45284196228517914</v>
      </c>
    </row>
    <row r="670" spans="2:85" x14ac:dyDescent="0.3">
      <c r="B670" s="347">
        <f t="shared" si="547"/>
        <v>44570</v>
      </c>
      <c r="C670" s="61"/>
      <c r="D670" s="17">
        <v>552547</v>
      </c>
      <c r="E670" s="16"/>
      <c r="F670" s="16"/>
      <c r="G670" s="16"/>
      <c r="H670" s="16">
        <f t="shared" si="548"/>
        <v>56226917</v>
      </c>
      <c r="I670" s="16"/>
      <c r="J670" s="436">
        <f t="shared" si="549"/>
        <v>9.9246206108843261E-3</v>
      </c>
      <c r="K670" s="16"/>
      <c r="L670" s="16"/>
      <c r="M670" s="16"/>
      <c r="N670" s="16">
        <f t="shared" si="550"/>
        <v>4437042</v>
      </c>
      <c r="O670" s="16">
        <f t="shared" si="551"/>
        <v>85063.414523449319</v>
      </c>
      <c r="P670" s="41"/>
      <c r="Q670" s="17">
        <f t="shared" si="552"/>
        <v>4437042</v>
      </c>
      <c r="R670" s="16"/>
      <c r="S670" s="60">
        <f t="shared" si="553"/>
        <v>0.86312442630839481</v>
      </c>
      <c r="T670" s="16"/>
      <c r="U670" s="41"/>
      <c r="V670" s="10">
        <f t="shared" si="568"/>
        <v>562</v>
      </c>
      <c r="W670" s="34">
        <v>464</v>
      </c>
      <c r="X670" s="33">
        <v>4256</v>
      </c>
      <c r="Y670" s="33"/>
      <c r="Z670" s="33">
        <f t="shared" si="554"/>
        <v>9119</v>
      </c>
      <c r="AA670" s="33">
        <f t="shared" si="555"/>
        <v>777787</v>
      </c>
      <c r="AB670" s="33"/>
      <c r="AC670" s="46">
        <f t="shared" si="556"/>
        <v>1.3833001016221466E-2</v>
      </c>
      <c r="AD670" s="33"/>
      <c r="AE670" s="33">
        <f t="shared" si="557"/>
        <v>1176.6822995461423</v>
      </c>
      <c r="AF670" s="50"/>
      <c r="AG670" s="33"/>
      <c r="AH670" s="33"/>
      <c r="AI670" s="213"/>
      <c r="AJ670" s="50"/>
      <c r="AL670" s="23">
        <f t="shared" si="55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59"/>
        <v>9.031487590361357E-4</v>
      </c>
      <c r="AS670" s="25"/>
      <c r="AT670" s="25"/>
      <c r="AU670" s="24"/>
      <c r="AV670" s="298">
        <f t="shared" si="560"/>
        <v>0.75158495707669692</v>
      </c>
      <c r="AW670" s="298"/>
      <c r="AX670" s="24">
        <f t="shared" si="561"/>
        <v>63932.38275340393</v>
      </c>
      <c r="AY670" s="308"/>
      <c r="BA670" s="65">
        <f t="shared" si="562"/>
        <v>1980996</v>
      </c>
      <c r="BB670" s="66"/>
      <c r="BC670" s="66">
        <v>835594174</v>
      </c>
      <c r="BD670" s="66"/>
      <c r="BE670" s="66">
        <f t="shared" si="563"/>
        <v>552547</v>
      </c>
      <c r="BF670" s="66"/>
      <c r="BG670" s="144">
        <f t="shared" si="564"/>
        <v>0.27892383427326456</v>
      </c>
      <c r="BH670" s="66"/>
      <c r="BI670" s="170"/>
      <c r="BJ670" s="66"/>
      <c r="BK670" s="66"/>
      <c r="BL670" s="66"/>
      <c r="BM670" s="144"/>
      <c r="BN670" s="65">
        <f t="shared" si="565"/>
        <v>1264136.4205748865</v>
      </c>
      <c r="BO670" s="66"/>
      <c r="BP670" s="66">
        <f t="shared" si="566"/>
        <v>55319939</v>
      </c>
      <c r="BQ670" s="66"/>
      <c r="BR670" s="435">
        <f t="shared" si="567"/>
        <v>6.6204313913754018E-2</v>
      </c>
      <c r="BS670" s="66"/>
      <c r="BT670" s="75"/>
      <c r="BU670" s="170"/>
      <c r="BV670" s="1"/>
      <c r="BW670" s="61">
        <f t="shared" si="407"/>
        <v>661</v>
      </c>
      <c r="CA670" s="56">
        <f t="shared" si="569"/>
        <v>1980996</v>
      </c>
      <c r="CC670" s="56">
        <f t="shared" si="570"/>
        <v>552547</v>
      </c>
      <c r="CG670" s="59">
        <f t="shared" si="571"/>
        <v>0.27892383427326456</v>
      </c>
    </row>
    <row r="671" spans="2:85" x14ac:dyDescent="0.3">
      <c r="B671" s="158">
        <f t="shared" si="547"/>
        <v>44571</v>
      </c>
      <c r="C671" s="61"/>
      <c r="D671" s="17">
        <v>692000</v>
      </c>
      <c r="E671" s="16"/>
      <c r="F671" s="16"/>
      <c r="G671" s="16"/>
      <c r="H671" s="16">
        <f t="shared" si="548"/>
        <v>56918917</v>
      </c>
      <c r="I671" s="16"/>
      <c r="J671" s="436">
        <f t="shared" si="549"/>
        <v>1.230727268934201E-2</v>
      </c>
      <c r="K671" s="16"/>
      <c r="L671" s="16"/>
      <c r="M671" s="16"/>
      <c r="N671" s="16">
        <f t="shared" si="550"/>
        <v>4613792</v>
      </c>
      <c r="O671" s="16">
        <f t="shared" si="551"/>
        <v>85980.237160120843</v>
      </c>
      <c r="P671" s="41"/>
      <c r="Q671" s="17">
        <f t="shared" si="552"/>
        <v>4613792</v>
      </c>
      <c r="R671" s="16"/>
      <c r="S671" s="60">
        <f t="shared" si="553"/>
        <v>0.72947588595590274</v>
      </c>
      <c r="T671" s="16"/>
      <c r="U671" s="41"/>
      <c r="V671" s="10">
        <f t="shared" si="568"/>
        <v>563</v>
      </c>
      <c r="W671" s="34">
        <v>1145</v>
      </c>
      <c r="X671" s="33">
        <v>4256</v>
      </c>
      <c r="Y671" s="33"/>
      <c r="Z671" s="33">
        <f t="shared" si="554"/>
        <v>8248</v>
      </c>
      <c r="AA671" s="33">
        <f t="shared" si="555"/>
        <v>778932</v>
      </c>
      <c r="AB671" s="33"/>
      <c r="AC671" s="46">
        <f t="shared" si="556"/>
        <v>1.3684940632303317E-2</v>
      </c>
      <c r="AD671" s="33"/>
      <c r="AE671" s="33">
        <f t="shared" si="557"/>
        <v>1176.6344410876134</v>
      </c>
      <c r="AF671" s="50"/>
      <c r="AG671" s="33"/>
      <c r="AH671" s="33"/>
      <c r="AI671" s="213"/>
      <c r="AJ671" s="50"/>
      <c r="AL671" s="23">
        <f t="shared" si="55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59"/>
        <v>5.8228359411022024E-3</v>
      </c>
      <c r="AS671" s="25"/>
      <c r="AT671" s="25"/>
      <c r="AU671" s="24"/>
      <c r="AV671" s="298">
        <f t="shared" si="560"/>
        <v>0.74677060352360536</v>
      </c>
      <c r="AW671" s="298"/>
      <c r="AX671" s="24">
        <f t="shared" si="561"/>
        <v>64207.513595166165</v>
      </c>
      <c r="AY671" s="308"/>
      <c r="BA671" s="65">
        <f t="shared" si="562"/>
        <v>6064001</v>
      </c>
      <c r="BB671" s="66"/>
      <c r="BC671" s="66">
        <v>841658175</v>
      </c>
      <c r="BD671" s="66"/>
      <c r="BE671" s="66">
        <f t="shared" si="563"/>
        <v>692000</v>
      </c>
      <c r="BF671" s="66"/>
      <c r="BG671" s="144">
        <f t="shared" si="564"/>
        <v>0.11411607616819325</v>
      </c>
      <c r="BH671" s="66"/>
      <c r="BI671" s="170"/>
      <c r="BJ671" s="66"/>
      <c r="BK671" s="66"/>
      <c r="BL671" s="66"/>
      <c r="BM671" s="144"/>
      <c r="BN671" s="65">
        <f t="shared" si="565"/>
        <v>1271386.9712990937</v>
      </c>
      <c r="BO671" s="66"/>
      <c r="BP671" s="66">
        <f t="shared" si="566"/>
        <v>56011939</v>
      </c>
      <c r="BQ671" s="66"/>
      <c r="BR671" s="435">
        <f t="shared" si="567"/>
        <v>6.654950984109434E-2</v>
      </c>
      <c r="BS671" s="66"/>
      <c r="BT671" s="75"/>
      <c r="BU671" s="170"/>
      <c r="BV671" s="1"/>
      <c r="BW671" s="61">
        <f t="shared" si="407"/>
        <v>662</v>
      </c>
      <c r="CA671" s="56">
        <f t="shared" si="569"/>
        <v>6064001</v>
      </c>
      <c r="CC671" s="56">
        <f t="shared" si="570"/>
        <v>692000</v>
      </c>
      <c r="CG671" s="59">
        <f t="shared" si="571"/>
        <v>0.11411607616819325</v>
      </c>
    </row>
    <row r="672" spans="2:85" x14ac:dyDescent="0.3">
      <c r="B672" s="158">
        <f t="shared" si="547"/>
        <v>44572</v>
      </c>
      <c r="C672" s="61"/>
      <c r="D672" s="17">
        <v>672872</v>
      </c>
      <c r="E672" s="16"/>
      <c r="F672" s="16"/>
      <c r="G672" s="16"/>
      <c r="H672" s="16">
        <f t="shared" si="548"/>
        <v>57591789</v>
      </c>
      <c r="I672" s="16"/>
      <c r="J672" s="436">
        <f t="shared" si="549"/>
        <v>1.1821588242798085E-2</v>
      </c>
      <c r="K672" s="16"/>
      <c r="L672" s="16"/>
      <c r="M672" s="16"/>
      <c r="N672" s="16">
        <f t="shared" si="550"/>
        <v>4690854</v>
      </c>
      <c r="O672" s="16">
        <f t="shared" si="551"/>
        <v>86865.443438914022</v>
      </c>
      <c r="P672" s="41"/>
      <c r="Q672" s="17">
        <f t="shared" si="552"/>
        <v>4690854</v>
      </c>
      <c r="R672" s="16"/>
      <c r="S672" s="60">
        <f t="shared" si="553"/>
        <v>0.59059610045990041</v>
      </c>
      <c r="T672" s="16"/>
      <c r="U672" s="41"/>
      <c r="V672" s="10">
        <f t="shared" si="568"/>
        <v>564</v>
      </c>
      <c r="W672" s="34">
        <v>2173</v>
      </c>
      <c r="X672" s="33">
        <v>4256</v>
      </c>
      <c r="Y672" s="33"/>
      <c r="Z672" s="33">
        <f t="shared" si="554"/>
        <v>8619</v>
      </c>
      <c r="AA672" s="33">
        <f t="shared" si="555"/>
        <v>781105</v>
      </c>
      <c r="AB672" s="33"/>
      <c r="AC672" s="46">
        <f t="shared" si="556"/>
        <v>1.3562784097573354E-2</v>
      </c>
      <c r="AD672" s="33"/>
      <c r="AE672" s="33">
        <f t="shared" si="557"/>
        <v>1178.1372549019609</v>
      </c>
      <c r="AF672" s="50"/>
      <c r="AG672" s="33"/>
      <c r="AH672" s="33"/>
      <c r="AI672" s="213"/>
      <c r="AJ672" s="50"/>
      <c r="AL672" s="23">
        <f t="shared" si="55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59"/>
        <v>3.2108410574154694E-3</v>
      </c>
      <c r="AS672" s="25"/>
      <c r="AT672" s="25"/>
      <c r="AU672" s="24"/>
      <c r="AV672" s="298">
        <f t="shared" si="560"/>
        <v>0.74041547832452292</v>
      </c>
      <c r="AW672" s="298"/>
      <c r="AX672" s="24">
        <f t="shared" si="561"/>
        <v>64316.518853695321</v>
      </c>
      <c r="AY672" s="308"/>
      <c r="BA672" s="65">
        <f t="shared" si="562"/>
        <v>3056100</v>
      </c>
      <c r="BB672" s="66"/>
      <c r="BC672" s="66">
        <v>844714275</v>
      </c>
      <c r="BD672" s="66"/>
      <c r="BE672" s="66">
        <f t="shared" si="563"/>
        <v>672872</v>
      </c>
      <c r="BF672" s="66"/>
      <c r="BG672" s="144">
        <f t="shared" si="564"/>
        <v>0.22017342364451425</v>
      </c>
      <c r="BH672" s="66"/>
      <c r="BI672" s="170"/>
      <c r="BJ672" s="66"/>
      <c r="BK672" s="66"/>
      <c r="BL672" s="66"/>
      <c r="BM672" s="144"/>
      <c r="BN672" s="65">
        <f t="shared" si="565"/>
        <v>1274078.8461538462</v>
      </c>
      <c r="BO672" s="66"/>
      <c r="BP672" s="66">
        <f t="shared" si="566"/>
        <v>56684811</v>
      </c>
      <c r="BQ672" s="66"/>
      <c r="BR672" s="435">
        <f t="shared" si="567"/>
        <v>6.7105307294587871E-2</v>
      </c>
      <c r="BS672" s="66"/>
      <c r="BT672" s="75"/>
      <c r="BU672" s="170"/>
      <c r="BV672" s="1"/>
      <c r="BW672" s="61">
        <f t="shared" si="407"/>
        <v>663</v>
      </c>
      <c r="CA672" s="56">
        <f t="shared" si="569"/>
        <v>3056100</v>
      </c>
      <c r="CC672" s="56">
        <f t="shared" si="570"/>
        <v>672872</v>
      </c>
      <c r="CG672" s="59">
        <f t="shared" si="571"/>
        <v>0.22017342364451425</v>
      </c>
    </row>
    <row r="673" spans="2:85" x14ac:dyDescent="0.3">
      <c r="B673" s="158">
        <f t="shared" si="547"/>
        <v>44573</v>
      </c>
      <c r="C673" s="61"/>
      <c r="D673" s="17">
        <v>872475</v>
      </c>
      <c r="E673" s="16"/>
      <c r="F673" s="16"/>
      <c r="G673" s="16"/>
      <c r="H673" s="16">
        <f t="shared" si="548"/>
        <v>58464264</v>
      </c>
      <c r="I673" s="16"/>
      <c r="J673" s="436">
        <f t="shared" si="549"/>
        <v>1.5149294980227129E-2</v>
      </c>
      <c r="K673" s="16"/>
      <c r="L673" s="16"/>
      <c r="M673" s="16"/>
      <c r="N673" s="16">
        <f t="shared" si="550"/>
        <v>4858668</v>
      </c>
      <c r="O673" s="16">
        <f t="shared" si="551"/>
        <v>88048.590361445778</v>
      </c>
      <c r="P673" s="41"/>
      <c r="Q673" s="17">
        <f t="shared" si="552"/>
        <v>4858668</v>
      </c>
      <c r="R673" s="16"/>
      <c r="S673" s="60">
        <f t="shared" si="553"/>
        <v>0.52887005352826844</v>
      </c>
      <c r="T673" s="16"/>
      <c r="U673" s="41"/>
      <c r="V673" s="10">
        <f t="shared" si="568"/>
        <v>565</v>
      </c>
      <c r="W673" s="34">
        <v>2372</v>
      </c>
      <c r="X673" s="33">
        <v>4256</v>
      </c>
      <c r="Y673" s="33"/>
      <c r="Z673" s="33">
        <f t="shared" si="554"/>
        <v>8848</v>
      </c>
      <c r="AA673" s="33">
        <f t="shared" si="555"/>
        <v>783477</v>
      </c>
      <c r="AB673" s="33"/>
      <c r="AC673" s="46">
        <f t="shared" si="556"/>
        <v>1.3400955496506379E-2</v>
      </c>
      <c r="AD673" s="33"/>
      <c r="AE673" s="33">
        <f t="shared" si="557"/>
        <v>1179.9352409638554</v>
      </c>
      <c r="AF673" s="50"/>
      <c r="AG673" s="33"/>
      <c r="AH673" s="33"/>
      <c r="AI673" s="213"/>
      <c r="AJ673" s="50"/>
      <c r="AL673" s="23">
        <f t="shared" si="55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59"/>
        <v>3.8281170339412086E-3</v>
      </c>
      <c r="AS673" s="25"/>
      <c r="AT673" s="25"/>
      <c r="AU673" s="24"/>
      <c r="AV673" s="298">
        <f t="shared" si="560"/>
        <v>0.73215819496162649</v>
      </c>
      <c r="AW673" s="298"/>
      <c r="AX673" s="24">
        <f t="shared" si="561"/>
        <v>64465.49698795181</v>
      </c>
      <c r="AY673" s="308"/>
      <c r="BA673" s="65">
        <f t="shared" si="562"/>
        <v>4380467</v>
      </c>
      <c r="BB673" s="66"/>
      <c r="BC673" s="66">
        <v>849094742</v>
      </c>
      <c r="BD673" s="66"/>
      <c r="BE673" s="66">
        <f t="shared" si="563"/>
        <v>872475</v>
      </c>
      <c r="BF673" s="66"/>
      <c r="BG673" s="144">
        <f t="shared" si="564"/>
        <v>0.19917396935075643</v>
      </c>
      <c r="BH673" s="66"/>
      <c r="BI673" s="170"/>
      <c r="BJ673" s="66"/>
      <c r="BK673" s="66"/>
      <c r="BL673" s="66"/>
      <c r="BM673" s="144"/>
      <c r="BN673" s="65">
        <f t="shared" si="565"/>
        <v>1278757.1415662651</v>
      </c>
      <c r="BO673" s="66"/>
      <c r="BP673" s="66">
        <f t="shared" si="566"/>
        <v>57557286</v>
      </c>
      <c r="BQ673" s="66"/>
      <c r="BR673" s="435">
        <f t="shared" si="567"/>
        <v>6.7786647535264088E-2</v>
      </c>
      <c r="BS673" s="66"/>
      <c r="BT673" s="75"/>
      <c r="BU673" s="170"/>
      <c r="BV673" s="1"/>
      <c r="BW673" s="61">
        <f t="shared" si="407"/>
        <v>664</v>
      </c>
      <c r="CA673" s="56">
        <f t="shared" si="569"/>
        <v>4380467</v>
      </c>
      <c r="CC673" s="56">
        <f t="shared" si="570"/>
        <v>872475</v>
      </c>
      <c r="CG673" s="59">
        <f t="shared" si="571"/>
        <v>0.19917396935075643</v>
      </c>
    </row>
    <row r="674" spans="2:85" x14ac:dyDescent="0.3">
      <c r="B674" s="158">
        <f t="shared" si="547"/>
        <v>44574</v>
      </c>
      <c r="C674" s="61"/>
      <c r="D674" s="17">
        <v>806493</v>
      </c>
      <c r="E674" s="16"/>
      <c r="F674" s="16"/>
      <c r="G674" s="16"/>
      <c r="H674" s="16">
        <f t="shared" si="548"/>
        <v>59270757</v>
      </c>
      <c r="I674" s="16"/>
      <c r="J674" s="436">
        <f t="shared" si="549"/>
        <v>1.3794631879741101E-2</v>
      </c>
      <c r="K674" s="16"/>
      <c r="L674" s="16"/>
      <c r="M674" s="16"/>
      <c r="N674" s="16">
        <f t="shared" si="550"/>
        <v>4913649</v>
      </c>
      <c r="O674" s="16">
        <f t="shared" si="551"/>
        <v>89128.957894736843</v>
      </c>
      <c r="P674" s="41"/>
      <c r="Q674" s="17">
        <f t="shared" si="552"/>
        <v>4913649</v>
      </c>
      <c r="R674" s="16"/>
      <c r="S674" s="60">
        <f t="shared" si="553"/>
        <v>0.4635149504233893</v>
      </c>
      <c r="T674" s="16"/>
      <c r="U674" s="41"/>
      <c r="V674" s="10">
        <f t="shared" si="568"/>
        <v>566</v>
      </c>
      <c r="W674" s="34">
        <v>1969</v>
      </c>
      <c r="X674" s="33">
        <v>4256</v>
      </c>
      <c r="Y674" s="33"/>
      <c r="Z674" s="33">
        <f t="shared" si="554"/>
        <v>8792</v>
      </c>
      <c r="AA674" s="33">
        <f t="shared" si="555"/>
        <v>785446</v>
      </c>
      <c r="AB674" s="33"/>
      <c r="AC674" s="46">
        <f t="shared" si="556"/>
        <v>1.3251830071952683E-2</v>
      </c>
      <c r="AD674" s="33"/>
      <c r="AE674" s="33">
        <f t="shared" si="557"/>
        <v>1181.1218045112782</v>
      </c>
      <c r="AF674" s="50"/>
      <c r="AG674" s="33"/>
      <c r="AH674" s="33"/>
      <c r="AI674" s="213"/>
      <c r="AJ674" s="50"/>
      <c r="AL674" s="23">
        <f t="shared" si="55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59"/>
        <v>2.4856856976588531E-3</v>
      </c>
      <c r="AS674" s="25"/>
      <c r="AT674" s="25"/>
      <c r="AU674" s="24"/>
      <c r="AV674" s="298">
        <f t="shared" si="560"/>
        <v>0.7239909218638797</v>
      </c>
      <c r="AW674" s="298"/>
      <c r="AX674" s="24">
        <f t="shared" si="561"/>
        <v>64528.556390977443</v>
      </c>
      <c r="AY674" s="308"/>
      <c r="BA674" s="65">
        <f t="shared" si="562"/>
        <v>3807857</v>
      </c>
      <c r="BB674" s="66"/>
      <c r="BC674" s="66">
        <v>852902599</v>
      </c>
      <c r="BD674" s="66"/>
      <c r="BE674" s="66">
        <f t="shared" si="563"/>
        <v>806493</v>
      </c>
      <c r="BF674" s="66"/>
      <c r="BG674" s="144">
        <f t="shared" si="564"/>
        <v>0.21179708166561928</v>
      </c>
      <c r="BH674" s="66"/>
      <c r="BI674" s="170"/>
      <c r="BJ674" s="66"/>
      <c r="BK674" s="66"/>
      <c r="BL674" s="66"/>
      <c r="BM674" s="144"/>
      <c r="BN674" s="65">
        <f t="shared" si="565"/>
        <v>1282560.2992481203</v>
      </c>
      <c r="BO674" s="66"/>
      <c r="BP674" s="66">
        <f t="shared" si="566"/>
        <v>58363779</v>
      </c>
      <c r="BQ674" s="66"/>
      <c r="BR674" s="435">
        <f t="shared" si="567"/>
        <v>6.8429594502853658E-2</v>
      </c>
      <c r="BS674" s="66"/>
      <c r="BT674" s="75"/>
      <c r="BU674" s="170"/>
      <c r="BV674" s="1"/>
      <c r="BW674" s="61">
        <f t="shared" si="407"/>
        <v>665</v>
      </c>
      <c r="CA674" s="56">
        <f t="shared" si="569"/>
        <v>3807857</v>
      </c>
      <c r="CC674" s="56">
        <f t="shared" si="570"/>
        <v>806493</v>
      </c>
      <c r="CG674" s="59">
        <f t="shared" si="571"/>
        <v>0.21179708166561928</v>
      </c>
    </row>
    <row r="675" spans="2:85" x14ac:dyDescent="0.3">
      <c r="B675" s="158">
        <f t="shared" si="547"/>
        <v>44575</v>
      </c>
      <c r="C675" s="61"/>
      <c r="D675" s="17">
        <v>827132</v>
      </c>
      <c r="E675" s="16"/>
      <c r="F675" s="16"/>
      <c r="G675" s="16"/>
      <c r="H675" s="16">
        <f t="shared" si="548"/>
        <v>60097889</v>
      </c>
      <c r="I675" s="16"/>
      <c r="J675" s="436">
        <f t="shared" si="549"/>
        <v>1.3955144861740166E-2</v>
      </c>
      <c r="K675" s="16"/>
      <c r="L675" s="16"/>
      <c r="M675" s="16"/>
      <c r="N675" s="16">
        <f t="shared" si="550"/>
        <v>4891600</v>
      </c>
      <c r="O675" s="16">
        <f t="shared" si="551"/>
        <v>90237.070570570577</v>
      </c>
      <c r="P675" s="41"/>
      <c r="Q675" s="17">
        <f t="shared" si="552"/>
        <v>4891600</v>
      </c>
      <c r="R675" s="16"/>
      <c r="S675" s="60">
        <f t="shared" si="553"/>
        <v>0.29994307633352058</v>
      </c>
      <c r="T675" s="16"/>
      <c r="U675" s="41"/>
      <c r="V675" s="10">
        <f t="shared" si="568"/>
        <v>567</v>
      </c>
      <c r="W675" s="34">
        <v>2303</v>
      </c>
      <c r="X675" s="33">
        <v>4256</v>
      </c>
      <c r="Y675" s="33"/>
      <c r="Z675" s="33">
        <f t="shared" si="554"/>
        <v>10426</v>
      </c>
      <c r="AA675" s="33">
        <f t="shared" si="555"/>
        <v>787749</v>
      </c>
      <c r="AB675" s="33"/>
      <c r="AC675" s="46">
        <f t="shared" si="556"/>
        <v>1.3107764900028351E-2</v>
      </c>
      <c r="AD675" s="33"/>
      <c r="AE675" s="33">
        <f t="shared" si="557"/>
        <v>1182.8063063063064</v>
      </c>
      <c r="AF675" s="50"/>
      <c r="AG675" s="33"/>
      <c r="AH675" s="33"/>
      <c r="AI675" s="213"/>
      <c r="AJ675" s="50"/>
      <c r="AL675" s="23">
        <f t="shared" si="55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59"/>
        <v>2.5269222765278015E-3</v>
      </c>
      <c r="AS675" s="25"/>
      <c r="AT675" s="25"/>
      <c r="AU675" s="24"/>
      <c r="AV675" s="298">
        <f t="shared" si="560"/>
        <v>0.71583086720400446</v>
      </c>
      <c r="AW675" s="298"/>
      <c r="AX675" s="24">
        <f t="shared" si="561"/>
        <v>64594.480480480481</v>
      </c>
      <c r="AY675" s="308"/>
      <c r="BA675" s="65">
        <f t="shared" si="562"/>
        <v>3520847</v>
      </c>
      <c r="BB675" s="66"/>
      <c r="BC675" s="66">
        <v>856423446</v>
      </c>
      <c r="BD675" s="66"/>
      <c r="BE675" s="66">
        <f t="shared" si="563"/>
        <v>827132</v>
      </c>
      <c r="BF675" s="66"/>
      <c r="BG675" s="144">
        <f t="shared" si="564"/>
        <v>0.23492415319381957</v>
      </c>
      <c r="BH675" s="66"/>
      <c r="BI675" s="170"/>
      <c r="BJ675" s="66"/>
      <c r="BK675" s="66"/>
      <c r="BL675" s="66"/>
      <c r="BM675" s="144"/>
      <c r="BN675" s="65">
        <f t="shared" si="565"/>
        <v>1285921.0900900902</v>
      </c>
      <c r="BO675" s="66"/>
      <c r="BP675" s="66">
        <f t="shared" si="566"/>
        <v>59190911</v>
      </c>
      <c r="BQ675" s="66"/>
      <c r="BR675" s="435">
        <f t="shared" si="567"/>
        <v>6.911407117175071E-2</v>
      </c>
      <c r="BS675" s="66"/>
      <c r="BT675" s="75"/>
      <c r="BU675" s="170"/>
      <c r="BV675" s="1"/>
      <c r="BW675" s="61">
        <f t="shared" si="407"/>
        <v>666</v>
      </c>
      <c r="CA675" s="56">
        <f t="shared" si="569"/>
        <v>3520847</v>
      </c>
      <c r="CC675" s="56">
        <f t="shared" si="570"/>
        <v>827132</v>
      </c>
      <c r="CG675" s="59">
        <f t="shared" si="571"/>
        <v>0.23492415319381957</v>
      </c>
    </row>
    <row r="676" spans="2:85" x14ac:dyDescent="0.3">
      <c r="B676" s="158">
        <f t="shared" si="547"/>
        <v>44576</v>
      </c>
      <c r="C676" s="61"/>
      <c r="D676" s="17">
        <v>404141</v>
      </c>
      <c r="E676" s="16"/>
      <c r="F676" s="16"/>
      <c r="G676" s="16"/>
      <c r="H676" s="16">
        <f t="shared" si="548"/>
        <v>60502030</v>
      </c>
      <c r="I676" s="16"/>
      <c r="J676" s="436">
        <f t="shared" si="549"/>
        <v>6.7247120776571705E-3</v>
      </c>
      <c r="K676" s="16"/>
      <c r="L676" s="16"/>
      <c r="M676" s="16"/>
      <c r="N676" s="16">
        <f t="shared" si="550"/>
        <v>4827660</v>
      </c>
      <c r="O676" s="16">
        <f t="shared" si="551"/>
        <v>90707.691154422791</v>
      </c>
      <c r="P676" s="41"/>
      <c r="Q676" s="17">
        <f t="shared" si="552"/>
        <v>4827660</v>
      </c>
      <c r="R676" s="16"/>
      <c r="S676" s="60">
        <f t="shared" si="553"/>
        <v>0.18626887984790708</v>
      </c>
      <c r="T676" s="16"/>
      <c r="U676" s="41"/>
      <c r="V676" s="10">
        <f t="shared" si="568"/>
        <v>568</v>
      </c>
      <c r="W676" s="34">
        <v>886</v>
      </c>
      <c r="X676" s="33">
        <v>4256</v>
      </c>
      <c r="Y676" s="33"/>
      <c r="Z676" s="33">
        <f t="shared" si="554"/>
        <v>10848</v>
      </c>
      <c r="AA676" s="33">
        <f t="shared" si="555"/>
        <v>788635</v>
      </c>
      <c r="AB676" s="33"/>
      <c r="AC676" s="46">
        <f t="shared" si="556"/>
        <v>1.3034851888440767E-2</v>
      </c>
      <c r="AD676" s="33"/>
      <c r="AE676" s="33">
        <f t="shared" si="557"/>
        <v>1182.3613193403298</v>
      </c>
      <c r="AF676" s="50"/>
      <c r="AG676" s="33"/>
      <c r="AH676" s="33"/>
      <c r="AI676" s="213"/>
      <c r="AJ676" s="50"/>
      <c r="AL676" s="23">
        <f t="shared" si="55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59"/>
        <v>9.1039212435614712E-4</v>
      </c>
      <c r="AS676" s="25"/>
      <c r="AT676" s="25"/>
      <c r="AU676" s="24"/>
      <c r="AV676" s="298">
        <f t="shared" si="560"/>
        <v>0.71169659927113194</v>
      </c>
      <c r="AW676" s="298"/>
      <c r="AX676" s="24">
        <f t="shared" si="561"/>
        <v>64556.35532233883</v>
      </c>
      <c r="AY676" s="308"/>
      <c r="BA676" s="65">
        <f t="shared" si="562"/>
        <v>1302722</v>
      </c>
      <c r="BB676" s="66"/>
      <c r="BC676" s="66">
        <v>857726168</v>
      </c>
      <c r="BD676" s="66"/>
      <c r="BE676" s="66">
        <f t="shared" si="563"/>
        <v>404141</v>
      </c>
      <c r="BF676" s="66"/>
      <c r="BG676" s="144">
        <f t="shared" si="564"/>
        <v>0.31022812234690134</v>
      </c>
      <c r="BH676" s="66"/>
      <c r="BI676" s="170"/>
      <c r="BJ676" s="66"/>
      <c r="BK676" s="66"/>
      <c r="BL676" s="66"/>
      <c r="BM676" s="144"/>
      <c r="BN676" s="65">
        <f t="shared" si="565"/>
        <v>1285946.2788605697</v>
      </c>
      <c r="BO676" s="66"/>
      <c r="BP676" s="66">
        <f t="shared" si="566"/>
        <v>59595052</v>
      </c>
      <c r="BQ676" s="66"/>
      <c r="BR676" s="435">
        <f t="shared" si="567"/>
        <v>6.9480277299875964E-2</v>
      </c>
      <c r="BS676" s="66"/>
      <c r="BT676" s="75"/>
      <c r="BU676" s="170"/>
      <c r="BV676" s="1"/>
      <c r="BW676" s="61">
        <f t="shared" si="407"/>
        <v>667</v>
      </c>
      <c r="CA676" s="56">
        <f t="shared" si="569"/>
        <v>1302722</v>
      </c>
      <c r="CC676" s="56">
        <f t="shared" si="570"/>
        <v>404141</v>
      </c>
      <c r="CG676" s="59">
        <f t="shared" si="571"/>
        <v>0.31022812234690134</v>
      </c>
    </row>
    <row r="677" spans="2:85" x14ac:dyDescent="0.3">
      <c r="B677" s="347">
        <f t="shared" si="547"/>
        <v>44577</v>
      </c>
      <c r="C677" s="61"/>
      <c r="D677" s="17">
        <v>287973</v>
      </c>
      <c r="E677" s="16"/>
      <c r="F677" s="16"/>
      <c r="G677" s="16"/>
      <c r="H677" s="16">
        <f t="shared" si="548"/>
        <v>60790003</v>
      </c>
      <c r="I677" s="16"/>
      <c r="J677" s="436">
        <f t="shared" si="549"/>
        <v>4.7597245910591763E-3</v>
      </c>
      <c r="K677" s="16"/>
      <c r="L677" s="16"/>
      <c r="M677" s="16"/>
      <c r="N677" s="16">
        <f t="shared" si="550"/>
        <v>4563086</v>
      </c>
      <c r="O677" s="16">
        <f t="shared" si="551"/>
        <v>91002.998502994014</v>
      </c>
      <c r="P677" s="41"/>
      <c r="Q677" s="17">
        <f t="shared" si="552"/>
        <v>4563086</v>
      </c>
      <c r="R677" s="16"/>
      <c r="S677" s="60">
        <f t="shared" si="553"/>
        <v>2.8407213634669224E-2</v>
      </c>
      <c r="T677" s="16"/>
      <c r="U677" s="41"/>
      <c r="V677" s="10">
        <f t="shared" si="568"/>
        <v>569</v>
      </c>
      <c r="W677" s="34">
        <v>346</v>
      </c>
      <c r="X677" s="33">
        <v>4256</v>
      </c>
      <c r="Y677" s="33"/>
      <c r="Z677" s="33">
        <f t="shared" si="554"/>
        <v>10049</v>
      </c>
      <c r="AA677" s="33">
        <f t="shared" si="555"/>
        <v>788981</v>
      </c>
      <c r="AB677" s="33"/>
      <c r="AC677" s="46">
        <f t="shared" si="556"/>
        <v>1.2978795214074919E-2</v>
      </c>
      <c r="AD677" s="33"/>
      <c r="AE677" s="33">
        <f t="shared" si="557"/>
        <v>1181.1092814371257</v>
      </c>
      <c r="AF677" s="50"/>
      <c r="AG677" s="33"/>
      <c r="AH677" s="33"/>
      <c r="AI677" s="213"/>
      <c r="AJ677" s="50"/>
      <c r="AL677" s="23">
        <f t="shared" si="55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59"/>
        <v>7.3283018133523444E-4</v>
      </c>
      <c r="AS677" s="25"/>
      <c r="AT677" s="25"/>
      <c r="AU677" s="24"/>
      <c r="AV677" s="298">
        <f t="shared" si="560"/>
        <v>0.70884424861765516</v>
      </c>
      <c r="AW677" s="298"/>
      <c r="AX677" s="24">
        <f t="shared" si="561"/>
        <v>64506.952095808381</v>
      </c>
      <c r="AY677" s="308"/>
      <c r="BA677" s="65">
        <f t="shared" si="562"/>
        <v>980751</v>
      </c>
      <c r="BB677" s="66"/>
      <c r="BC677" s="66">
        <v>858706919</v>
      </c>
      <c r="BD677" s="66"/>
      <c r="BE677" s="66">
        <f t="shared" si="563"/>
        <v>287973</v>
      </c>
      <c r="BF677" s="66"/>
      <c r="BG677" s="144">
        <f t="shared" si="564"/>
        <v>0.2936249873821184</v>
      </c>
      <c r="BH677" s="66"/>
      <c r="BI677" s="170"/>
      <c r="BJ677" s="66"/>
      <c r="BK677" s="66"/>
      <c r="BL677" s="66"/>
      <c r="BM677" s="144"/>
      <c r="BN677" s="65">
        <f t="shared" si="565"/>
        <v>1285489.3997005988</v>
      </c>
      <c r="BO677" s="66"/>
      <c r="BP677" s="66">
        <f t="shared" si="566"/>
        <v>59883025</v>
      </c>
      <c r="BQ677" s="66"/>
      <c r="BR677" s="435">
        <f t="shared" si="567"/>
        <v>6.973627867088375E-2</v>
      </c>
      <c r="BS677" s="66"/>
      <c r="BT677" s="75"/>
      <c r="BU677" s="170"/>
      <c r="BV677" s="1"/>
      <c r="BW677" s="61">
        <f t="shared" si="407"/>
        <v>668</v>
      </c>
      <c r="CA677" s="56">
        <f t="shared" si="569"/>
        <v>980751</v>
      </c>
      <c r="CC677" s="56">
        <f t="shared" si="570"/>
        <v>287973</v>
      </c>
      <c r="CG677" s="59">
        <f t="shared" si="571"/>
        <v>0.2936249873821184</v>
      </c>
    </row>
    <row r="678" spans="2:85" x14ac:dyDescent="0.3">
      <c r="B678" s="158">
        <f t="shared" si="547"/>
        <v>44578</v>
      </c>
      <c r="C678" s="61"/>
      <c r="D678" s="17">
        <v>573918</v>
      </c>
      <c r="E678" s="16"/>
      <c r="F678" s="16"/>
      <c r="G678" s="16"/>
      <c r="H678" s="16">
        <f t="shared" ref="H678" si="572">+H677+D678</f>
        <v>61363921</v>
      </c>
      <c r="I678" s="16"/>
      <c r="J678" s="436">
        <f t="shared" ref="J678" si="573">+D678/H677</f>
        <v>9.4409931185560226E-3</v>
      </c>
      <c r="K678" s="16"/>
      <c r="L678" s="16"/>
      <c r="M678" s="16"/>
      <c r="N678" s="16">
        <f t="shared" ref="N678" si="574">SUM(D672:D678)</f>
        <v>4445004</v>
      </c>
      <c r="O678" s="16">
        <f t="shared" ref="O678" si="575">+H678/BW678</f>
        <v>91724.844544095671</v>
      </c>
      <c r="P678" s="41"/>
      <c r="Q678" s="17">
        <f t="shared" ref="Q678" si="576">SUM(D672:D678)</f>
        <v>4445004</v>
      </c>
      <c r="R678" s="16"/>
      <c r="S678" s="60">
        <f t="shared" ref="S678" si="577">+(Q678-Q671)/Q671</f>
        <v>-3.6583357030399291E-2</v>
      </c>
      <c r="T678" s="16"/>
      <c r="U678" s="41"/>
      <c r="V678" s="10">
        <f t="shared" si="568"/>
        <v>570</v>
      </c>
      <c r="W678" s="34">
        <v>730</v>
      </c>
      <c r="X678" s="33">
        <v>4256</v>
      </c>
      <c r="Y678" s="33"/>
      <c r="Z678" s="33">
        <f t="shared" ref="Z678" si="578">SUM(W673:W678)</f>
        <v>8606</v>
      </c>
      <c r="AA678" s="33">
        <f t="shared" ref="AA678" si="579">+AA677+W678</f>
        <v>789711</v>
      </c>
      <c r="AB678" s="33"/>
      <c r="AC678" s="46">
        <f t="shared" ref="AC678" si="580">+AA678/H678</f>
        <v>1.2869304749936042E-2</v>
      </c>
      <c r="AD678" s="33"/>
      <c r="AE678" s="33">
        <f t="shared" ref="AE678" si="581">+AA678/BW678</f>
        <v>1180.4349775784754</v>
      </c>
      <c r="AF678" s="50"/>
      <c r="AG678" s="33"/>
      <c r="AH678" s="33"/>
      <c r="AI678" s="213"/>
      <c r="AJ678" s="50"/>
      <c r="AL678" s="23">
        <f t="shared" ref="AL678" si="58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83">+AL678/AP677</f>
        <v>3.225085241241695E-3</v>
      </c>
      <c r="AS678" s="25"/>
      <c r="AT678" s="25"/>
      <c r="AU678" s="24"/>
      <c r="AV678" s="298">
        <f t="shared" ref="AV678" si="584">+AP678/H678</f>
        <v>0.70447934707431747</v>
      </c>
      <c r="AW678" s="298"/>
      <c r="AX678" s="24">
        <f t="shared" ref="AX678" si="585">+AP678/BW678</f>
        <v>64618.258594917788</v>
      </c>
      <c r="AY678" s="308"/>
      <c r="BA678" s="65">
        <f t="shared" ref="BA678" si="586">+BC678-BC677</f>
        <v>4780319</v>
      </c>
      <c r="BB678" s="66"/>
      <c r="BC678" s="66">
        <v>863487238</v>
      </c>
      <c r="BD678" s="66"/>
      <c r="BE678" s="66">
        <f t="shared" ref="BE678" si="587">+D678</f>
        <v>573918</v>
      </c>
      <c r="BF678" s="66"/>
      <c r="BG678" s="144">
        <f t="shared" ref="BG678" si="58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89">+BC678/BW678</f>
        <v>1290713.360239163</v>
      </c>
      <c r="BO678" s="66"/>
      <c r="BP678" s="66">
        <f t="shared" ref="BP678" si="590">+BP677+BE678</f>
        <v>60456943</v>
      </c>
      <c r="BQ678" s="66"/>
      <c r="BR678" s="435">
        <f t="shared" ref="BR678" si="591">+BP678/BC678</f>
        <v>7.0014865697412887E-2</v>
      </c>
      <c r="BS678" s="66"/>
      <c r="BT678" s="75"/>
      <c r="BU678" s="170"/>
      <c r="BV678" s="1"/>
      <c r="BW678" s="61">
        <f t="shared" si="407"/>
        <v>669</v>
      </c>
      <c r="CA678" s="56">
        <f t="shared" si="569"/>
        <v>4780319</v>
      </c>
      <c r="CC678" s="56">
        <f t="shared" si="570"/>
        <v>573918</v>
      </c>
      <c r="CG678" s="59">
        <f t="shared" si="571"/>
        <v>0.12005851492337645</v>
      </c>
    </row>
    <row r="679" spans="2:85" x14ac:dyDescent="0.3">
      <c r="B679" s="158">
        <f t="shared" si="547"/>
        <v>44579</v>
      </c>
      <c r="C679" s="61"/>
      <c r="D679" s="17">
        <v>546904</v>
      </c>
      <c r="E679" s="16"/>
      <c r="F679" s="16"/>
      <c r="G679" s="16"/>
      <c r="H679" s="16">
        <f t="shared" ref="H679" si="592">+H678+D679</f>
        <v>61910825</v>
      </c>
      <c r="I679" s="16"/>
      <c r="J679" s="436">
        <f t="shared" ref="J679" si="593">+D679/H678</f>
        <v>8.9124682889804262E-3</v>
      </c>
      <c r="K679" s="16"/>
      <c r="L679" s="16"/>
      <c r="M679" s="16"/>
      <c r="N679" s="16">
        <f t="shared" ref="N679" si="594">SUM(D673:D679)</f>
        <v>4319036</v>
      </c>
      <c r="O679" s="16">
        <f t="shared" ref="O679" si="595">+H679/BW679</f>
        <v>92404.216417910444</v>
      </c>
      <c r="P679" s="41"/>
      <c r="Q679" s="17">
        <f t="shared" ref="Q679" si="596">SUM(D673:D679)</f>
        <v>4319036</v>
      </c>
      <c r="R679" s="16"/>
      <c r="S679" s="60">
        <f t="shared" ref="S679" si="597">+(Q679-Q672)/Q672</f>
        <v>-7.9264458028324908E-2</v>
      </c>
      <c r="T679" s="16"/>
      <c r="U679" s="41"/>
      <c r="V679" s="10">
        <f t="shared" si="568"/>
        <v>571</v>
      </c>
      <c r="W679" s="34">
        <v>1720</v>
      </c>
      <c r="X679" s="33">
        <v>4256</v>
      </c>
      <c r="Y679" s="33"/>
      <c r="Z679" s="33">
        <f t="shared" ref="Z679" si="598">SUM(W674:W679)</f>
        <v>7954</v>
      </c>
      <c r="AA679" s="33">
        <f t="shared" ref="AA679" si="599">+AA678+W679</f>
        <v>791431</v>
      </c>
      <c r="AB679" s="33"/>
      <c r="AC679" s="46">
        <f t="shared" ref="AC679" si="600">+AA679/H679</f>
        <v>1.2783402579435825E-2</v>
      </c>
      <c r="AD679" s="33"/>
      <c r="AE679" s="33">
        <f t="shared" ref="AE679" si="601">+AA679/BW679</f>
        <v>1181.2402985074627</v>
      </c>
      <c r="AF679" s="50"/>
      <c r="AG679" s="33"/>
      <c r="AH679" s="33"/>
      <c r="AI679" s="213"/>
      <c r="AJ679" s="50"/>
      <c r="AL679" s="23">
        <f t="shared" ref="AL679" si="60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603">+AL679/AP678</f>
        <v>6.9048729672933707E-3</v>
      </c>
      <c r="AS679" s="25"/>
      <c r="AT679" s="25"/>
      <c r="AU679" s="24"/>
      <c r="AV679" s="298">
        <f t="shared" ref="AV679" si="604">+AP679/H679</f>
        <v>0.70307753127179295</v>
      </c>
      <c r="AW679" s="298"/>
      <c r="AX679" s="24">
        <f t="shared" ref="AX679" si="605">+AP679/BW679</f>
        <v>64967.328358208957</v>
      </c>
      <c r="AY679" s="308"/>
      <c r="BA679" s="65">
        <f t="shared" ref="BA679" si="606">+BC679-BC678</f>
        <v>4370237</v>
      </c>
      <c r="BB679" s="66"/>
      <c r="BC679" s="66">
        <v>867857475</v>
      </c>
      <c r="BD679" s="66"/>
      <c r="BE679" s="66">
        <f t="shared" ref="BE679" si="607">+D679</f>
        <v>546904</v>
      </c>
      <c r="BF679" s="66"/>
      <c r="BG679" s="144">
        <f t="shared" ref="BG679" si="60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609">+BC679/BW679</f>
        <v>1295309.6641791044</v>
      </c>
      <c r="BO679" s="66"/>
      <c r="BP679" s="66">
        <f t="shared" ref="BP679" si="610">+BP678+BE679</f>
        <v>61003847</v>
      </c>
      <c r="BQ679" s="66"/>
      <c r="BR679" s="435">
        <f t="shared" ref="BR679" si="611">+BP679/BC679</f>
        <v>7.0292471698765971E-2</v>
      </c>
      <c r="BS679" s="66"/>
      <c r="BT679" s="75"/>
      <c r="BU679" s="170"/>
      <c r="BV679" s="1"/>
      <c r="BW679" s="61">
        <f t="shared" si="407"/>
        <v>670</v>
      </c>
      <c r="CA679" s="56">
        <f t="shared" si="569"/>
        <v>4370237</v>
      </c>
      <c r="CC679" s="56">
        <f t="shared" si="570"/>
        <v>546904</v>
      </c>
      <c r="CG679" s="59">
        <f t="shared" si="571"/>
        <v>0.12514286982605291</v>
      </c>
    </row>
    <row r="680" spans="2:85" x14ac:dyDescent="0.3">
      <c r="B680" s="158">
        <f t="shared" si="547"/>
        <v>44580</v>
      </c>
      <c r="C680" s="61"/>
      <c r="D680" s="17">
        <v>710928</v>
      </c>
      <c r="E680" s="16"/>
      <c r="F680" s="16"/>
      <c r="G680" s="16"/>
      <c r="H680" s="16">
        <f t="shared" ref="H680" si="612">+H679+D680</f>
        <v>62621753</v>
      </c>
      <c r="I680" s="16"/>
      <c r="J680" s="436">
        <f t="shared" ref="J680" si="613">+D680/H679</f>
        <v>1.1483096857455865E-2</v>
      </c>
      <c r="K680" s="16"/>
      <c r="L680" s="16"/>
      <c r="M680" s="16"/>
      <c r="N680" s="16">
        <f t="shared" ref="N680" si="614">SUM(D674:D680)</f>
        <v>4157489</v>
      </c>
      <c r="O680" s="16">
        <f t="shared" ref="O680" si="615">+H680/BW680</f>
        <v>93326.010432190757</v>
      </c>
      <c r="P680" s="41"/>
      <c r="Q680" s="17">
        <f t="shared" ref="Q680" si="616">SUM(D674:D680)</f>
        <v>4157489</v>
      </c>
      <c r="R680" s="16"/>
      <c r="S680" s="60">
        <f t="shared" ref="S680" si="617">+(Q680-Q673)/Q673</f>
        <v>-0.14431506742177075</v>
      </c>
      <c r="T680" s="16"/>
      <c r="U680" s="41"/>
      <c r="V680" s="10">
        <f t="shared" si="568"/>
        <v>572</v>
      </c>
      <c r="W680" s="34">
        <v>2374</v>
      </c>
      <c r="X680" s="33">
        <v>4256</v>
      </c>
      <c r="Y680" s="33"/>
      <c r="Z680" s="33">
        <f t="shared" ref="Z680" si="618">SUM(W675:W680)</f>
        <v>8359</v>
      </c>
      <c r="AA680" s="33">
        <f t="shared" ref="AA680" si="619">+AA679+W680</f>
        <v>793805</v>
      </c>
      <c r="AB680" s="33"/>
      <c r="AC680" s="46">
        <f t="shared" ref="AC680" si="620">+AA680/H680</f>
        <v>1.2676186180862742E-2</v>
      </c>
      <c r="AD680" s="33"/>
      <c r="AE680" s="33">
        <f t="shared" ref="AE680" si="621">+AA680/BW680</f>
        <v>1183.0178837555886</v>
      </c>
      <c r="AF680" s="50"/>
      <c r="AG680" s="33"/>
      <c r="AH680" s="33"/>
      <c r="AI680" s="213"/>
      <c r="AJ680" s="50"/>
      <c r="AL680" s="23">
        <f t="shared" ref="AL680" si="62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23">+AL680/AP679</f>
        <v>8.3662488447120726E-3</v>
      </c>
      <c r="AS680" s="25"/>
      <c r="AT680" s="25"/>
      <c r="AU680" s="24"/>
      <c r="AV680" s="298">
        <f t="shared" ref="AV680" si="624">+AP680/H680</f>
        <v>0.70091102368213809</v>
      </c>
      <c r="AW680" s="298"/>
      <c r="AX680" s="24">
        <f t="shared" ref="AX680" si="625">+AP680/BW680</f>
        <v>65413.229508196724</v>
      </c>
      <c r="AY680" s="308"/>
      <c r="BA680" s="65">
        <f t="shared" ref="BA680" si="626">+BC680-BC679</f>
        <v>3795478</v>
      </c>
      <c r="BB680" s="66"/>
      <c r="BC680" s="66">
        <v>871652953</v>
      </c>
      <c r="BD680" s="66"/>
      <c r="BE680" s="66">
        <f t="shared" ref="BE680" si="627">+D680</f>
        <v>710928</v>
      </c>
      <c r="BF680" s="66"/>
      <c r="BG680" s="144">
        <f t="shared" ref="BG680" si="62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29">+BC680/BW680</f>
        <v>1299035.697466468</v>
      </c>
      <c r="BO680" s="66"/>
      <c r="BP680" s="66">
        <f t="shared" ref="BP680" si="630">+BP679+BE680</f>
        <v>61714775</v>
      </c>
      <c r="BQ680" s="66"/>
      <c r="BR680" s="435">
        <f t="shared" ref="BR680" si="631">+BP680/BC680</f>
        <v>7.0802003007726863E-2</v>
      </c>
      <c r="BS680" s="66"/>
      <c r="BT680" s="75"/>
      <c r="BU680" s="170"/>
      <c r="BV680" s="1"/>
      <c r="BW680" s="61">
        <f t="shared" si="407"/>
        <v>671</v>
      </c>
      <c r="CA680" s="56">
        <f t="shared" si="569"/>
        <v>3795478</v>
      </c>
      <c r="CC680" s="56">
        <f t="shared" si="570"/>
        <v>710928</v>
      </c>
      <c r="CG680" s="59">
        <f t="shared" si="571"/>
        <v>0.18730921375384074</v>
      </c>
    </row>
    <row r="681" spans="2:85" x14ac:dyDescent="0.3">
      <c r="B681" s="158">
        <f t="shared" si="547"/>
        <v>44581</v>
      </c>
      <c r="C681" s="61"/>
      <c r="D681" s="17">
        <v>692320</v>
      </c>
      <c r="E681" s="16"/>
      <c r="F681" s="16"/>
      <c r="G681" s="16"/>
      <c r="H681" s="16">
        <f t="shared" ref="H681" si="632">+H680+D681</f>
        <v>63314073</v>
      </c>
      <c r="I681" s="16"/>
      <c r="J681" s="436">
        <f t="shared" ref="J681" si="633">+D681/H680</f>
        <v>1.1055583193271514E-2</v>
      </c>
      <c r="K681" s="16"/>
      <c r="L681" s="16"/>
      <c r="M681" s="16"/>
      <c r="N681" s="16">
        <f t="shared" ref="N681" si="634">SUM(D675:D681)</f>
        <v>4043316</v>
      </c>
      <c r="O681" s="16">
        <f t="shared" ref="O681" si="635">+H681/BW681</f>
        <v>94217.37053571429</v>
      </c>
      <c r="P681" s="41"/>
      <c r="Q681" s="17">
        <f t="shared" ref="Q681" si="636">SUM(D675:D681)</f>
        <v>4043316</v>
      </c>
      <c r="R681" s="16"/>
      <c r="S681" s="60">
        <f t="shared" ref="S681" si="637">+(Q681-Q674)/Q674</f>
        <v>-0.17712559444111697</v>
      </c>
      <c r="T681" s="16"/>
      <c r="U681" s="41"/>
      <c r="V681" s="10">
        <f t="shared" si="568"/>
        <v>573</v>
      </c>
      <c r="W681" s="34">
        <v>2700</v>
      </c>
      <c r="X681" s="33">
        <v>4256</v>
      </c>
      <c r="Y681" s="33"/>
      <c r="Z681" s="33">
        <f t="shared" ref="Z681" si="638">SUM(W676:W681)</f>
        <v>8756</v>
      </c>
      <c r="AA681" s="33">
        <f t="shared" ref="AA681" si="639">+AA680+W681</f>
        <v>796505</v>
      </c>
      <c r="AB681" s="33"/>
      <c r="AC681" s="46">
        <f t="shared" ref="AC681" si="640">+AA681/H681</f>
        <v>1.2580220514323885E-2</v>
      </c>
      <c r="AD681" s="33"/>
      <c r="AE681" s="33">
        <f t="shared" ref="AE681" si="641">+AA681/BW681</f>
        <v>1185.2752976190477</v>
      </c>
      <c r="AF681" s="50"/>
      <c r="AG681" s="33"/>
      <c r="AH681" s="33"/>
      <c r="AI681" s="213"/>
      <c r="AJ681" s="50"/>
      <c r="AL681" s="23">
        <f t="shared" ref="AL681" si="64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43">+AL681/AP680</f>
        <v>3.5432657093638592E-3</v>
      </c>
      <c r="AS681" s="25"/>
      <c r="AT681" s="25"/>
      <c r="AU681" s="24"/>
      <c r="AV681" s="298">
        <f t="shared" ref="AV681" si="644">+AP681/H681</f>
        <v>0.69570313380407545</v>
      </c>
      <c r="AW681" s="298"/>
      <c r="AX681" s="24">
        <f t="shared" ref="AX681" si="645">+AP681/BW681</f>
        <v>65547.319940476184</v>
      </c>
      <c r="AY681" s="308"/>
      <c r="BA681" s="65">
        <f t="shared" ref="BA681" si="646">+BC681-BC680</f>
        <v>3347047</v>
      </c>
      <c r="BB681" s="66"/>
      <c r="BC681" s="66">
        <v>875000000</v>
      </c>
      <c r="BD681" s="66"/>
      <c r="BE681" s="66">
        <f t="shared" ref="BE681" si="647">+D681</f>
        <v>692320</v>
      </c>
      <c r="BF681" s="66"/>
      <c r="BG681" s="144">
        <f t="shared" ref="BG681" si="64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49">+BC681/BW681</f>
        <v>1302083.3333333333</v>
      </c>
      <c r="BO681" s="66"/>
      <c r="BP681" s="66">
        <f t="shared" ref="BP681" si="650">+BP680+BE681</f>
        <v>62407095</v>
      </c>
      <c r="BQ681" s="66"/>
      <c r="BR681" s="435">
        <f t="shared" ref="BR681" si="651">+BP681/BC681</f>
        <v>7.1322394285714283E-2</v>
      </c>
      <c r="BS681" s="66"/>
      <c r="BT681" s="75"/>
      <c r="BU681" s="170"/>
      <c r="BV681" s="1"/>
      <c r="BW681" s="61">
        <f t="shared" si="407"/>
        <v>672</v>
      </c>
      <c r="CA681" s="56">
        <f t="shared" si="569"/>
        <v>3347047</v>
      </c>
      <c r="CC681" s="56">
        <f t="shared" si="570"/>
        <v>692320</v>
      </c>
      <c r="CG681" s="59">
        <f t="shared" si="571"/>
        <v>0.20684501890771179</v>
      </c>
    </row>
    <row r="682" spans="2:85" x14ac:dyDescent="0.3">
      <c r="B682" s="158">
        <f t="shared" si="547"/>
        <v>44582</v>
      </c>
      <c r="C682" s="61"/>
      <c r="D682" s="17">
        <v>800700</v>
      </c>
      <c r="E682" s="16"/>
      <c r="F682" s="16"/>
      <c r="G682" s="16"/>
      <c r="H682" s="16">
        <f t="shared" ref="H682" si="652">+H681+D682</f>
        <v>64114773</v>
      </c>
      <c r="I682" s="16"/>
      <c r="J682" s="436">
        <f t="shared" ref="J682" si="653">+D682/H681</f>
        <v>1.2646477505877721E-2</v>
      </c>
      <c r="K682" s="16"/>
      <c r="L682" s="16"/>
      <c r="M682" s="16"/>
      <c r="N682" s="16">
        <f t="shared" ref="N682" si="654">SUM(D676:D682)</f>
        <v>4016884</v>
      </c>
      <c r="O682" s="16">
        <f t="shared" ref="O682" si="655">+H682/BW682</f>
        <v>95267.121842496286</v>
      </c>
      <c r="P682" s="41"/>
      <c r="Q682" s="17">
        <f t="shared" ref="Q682" si="656">SUM(D676:D682)</f>
        <v>4016884</v>
      </c>
      <c r="R682" s="16"/>
      <c r="S682" s="60">
        <f t="shared" ref="S682" si="657">+(Q682-Q675)/Q675</f>
        <v>-0.17882001799002373</v>
      </c>
      <c r="T682" s="16"/>
      <c r="U682" s="41"/>
      <c r="V682" s="10">
        <f t="shared" si="568"/>
        <v>574</v>
      </c>
      <c r="W682" s="34">
        <v>2917</v>
      </c>
      <c r="X682" s="33">
        <v>4256</v>
      </c>
      <c r="Y682" s="33"/>
      <c r="Z682" s="33">
        <f t="shared" ref="Z682" si="658">SUM(W677:W682)</f>
        <v>10787</v>
      </c>
      <c r="AA682" s="33">
        <f t="shared" ref="AA682" si="659">+AA681+W682</f>
        <v>799422</v>
      </c>
      <c r="AB682" s="33"/>
      <c r="AC682" s="46">
        <f t="shared" ref="AC682" si="660">+AA682/H682</f>
        <v>1.2468608443798124E-2</v>
      </c>
      <c r="AD682" s="33"/>
      <c r="AE682" s="33">
        <f t="shared" ref="AE682" si="661">+AA682/BW682</f>
        <v>1187.848439821694</v>
      </c>
      <c r="AF682" s="50"/>
      <c r="AG682" s="33"/>
      <c r="AH682" s="33"/>
      <c r="AI682" s="213"/>
      <c r="AJ682" s="50"/>
      <c r="AL682" s="23">
        <f t="shared" ref="AL682" si="66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63">+AL682/AP681</f>
        <v>3.9646702892010563E-3</v>
      </c>
      <c r="AS682" s="25"/>
      <c r="AT682" s="25"/>
      <c r="AU682" s="24"/>
      <c r="AV682" s="298">
        <f t="shared" ref="AV682" si="664">+AP682/H682</f>
        <v>0.68973860361324213</v>
      </c>
      <c r="AW682" s="298"/>
      <c r="AX682" s="24">
        <f t="shared" ref="AX682" si="665">+AP682/BW682</f>
        <v>65709.411589895986</v>
      </c>
      <c r="AY682" s="308"/>
      <c r="BA682" s="65">
        <f t="shared" ref="BA682" si="666">+BC682-BC681</f>
        <v>3582375</v>
      </c>
      <c r="BB682" s="66"/>
      <c r="BC682" s="66">
        <v>878582375</v>
      </c>
      <c r="BD682" s="66"/>
      <c r="BE682" s="66">
        <f t="shared" ref="BE682" si="667">+D682</f>
        <v>800700</v>
      </c>
      <c r="BF682" s="66"/>
      <c r="BG682" s="144">
        <f t="shared" ref="BG682" si="66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69">+BC682/BW682</f>
        <v>1305471.5824665676</v>
      </c>
      <c r="BO682" s="66"/>
      <c r="BP682" s="66">
        <f t="shared" ref="BP682" si="670">+BP681+BE682</f>
        <v>63207795</v>
      </c>
      <c r="BQ682" s="66"/>
      <c r="BR682" s="435">
        <f t="shared" ref="BR682" si="671">+BP682/BC682</f>
        <v>7.1942935345134823E-2</v>
      </c>
      <c r="BS682" s="66"/>
      <c r="BT682" s="75"/>
      <c r="BU682" s="170"/>
      <c r="BV682" s="1"/>
      <c r="BW682" s="61">
        <f t="shared" si="407"/>
        <v>673</v>
      </c>
      <c r="CA682" s="56">
        <f t="shared" si="569"/>
        <v>3582375</v>
      </c>
      <c r="CC682" s="56">
        <f t="shared" si="570"/>
        <v>800700</v>
      </c>
      <c r="CG682" s="59">
        <f t="shared" si="571"/>
        <v>0.22351093897205065</v>
      </c>
    </row>
    <row r="683" spans="2:85" x14ac:dyDescent="0.3">
      <c r="B683" s="158">
        <f t="shared" si="547"/>
        <v>44583</v>
      </c>
      <c r="C683" s="61"/>
      <c r="D683" s="17">
        <v>312314</v>
      </c>
      <c r="E683" s="16"/>
      <c r="F683" s="16"/>
      <c r="G683" s="16"/>
      <c r="H683" s="16">
        <f t="shared" ref="H683" si="672">+H682+D683</f>
        <v>64427087</v>
      </c>
      <c r="I683" s="16"/>
      <c r="J683" s="436">
        <f t="shared" ref="J683" si="673">+D683/H682</f>
        <v>4.8711706426847988E-3</v>
      </c>
      <c r="K683" s="16"/>
      <c r="L683" s="16"/>
      <c r="M683" s="16"/>
      <c r="N683" s="16">
        <f t="shared" ref="N683" si="674">SUM(D677:D683)</f>
        <v>3925057</v>
      </c>
      <c r="O683" s="16">
        <f t="shared" ref="O683" si="675">+H683/BW683</f>
        <v>95589.149851632043</v>
      </c>
      <c r="P683" s="41"/>
      <c r="Q683" s="17">
        <f t="shared" ref="Q683" si="676">SUM(D677:D683)</f>
        <v>3925057</v>
      </c>
      <c r="R683" s="16"/>
      <c r="S683" s="60">
        <f t="shared" ref="S683" si="677">+(Q683-Q676)/Q676</f>
        <v>-0.18696490639357369</v>
      </c>
      <c r="T683" s="16"/>
      <c r="U683" s="41"/>
      <c r="V683" s="10">
        <f t="shared" si="568"/>
        <v>575</v>
      </c>
      <c r="W683" s="34">
        <v>841</v>
      </c>
      <c r="X683" s="33">
        <v>4256</v>
      </c>
      <c r="Y683" s="33"/>
      <c r="Z683" s="33">
        <f t="shared" ref="Z683" si="678">SUM(W678:W683)</f>
        <v>11282</v>
      </c>
      <c r="AA683" s="33">
        <f t="shared" ref="AA683" si="679">+AA682+W683</f>
        <v>800263</v>
      </c>
      <c r="AB683" s="33"/>
      <c r="AC683" s="46">
        <f t="shared" ref="AC683" si="680">+AA683/H683</f>
        <v>1.2421219664952413E-2</v>
      </c>
      <c r="AD683" s="33"/>
      <c r="AE683" s="33">
        <f t="shared" ref="AE683" si="681">+AA683/BW683</f>
        <v>1187.3338278931751</v>
      </c>
      <c r="AF683" s="50"/>
      <c r="AG683" s="33"/>
      <c r="AH683" s="33"/>
      <c r="AI683" s="213"/>
      <c r="AJ683" s="50"/>
      <c r="AL683" s="23">
        <f t="shared" ref="AL683" si="68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83">+AL683/AP682</f>
        <v>2.4142949707381552E-3</v>
      </c>
      <c r="AS683" s="25"/>
      <c r="AT683" s="25"/>
      <c r="AU683" s="24"/>
      <c r="AV683" s="298">
        <f t="shared" ref="AV683" si="684">+AP683/H683</f>
        <v>0.68805221629840252</v>
      </c>
      <c r="AW683" s="298"/>
      <c r="AX683" s="24">
        <f t="shared" ref="AX683" si="685">+AP683/BW683</f>
        <v>65770.326409495552</v>
      </c>
      <c r="AY683" s="308"/>
      <c r="BA683" s="65">
        <f t="shared" ref="BA683" si="686">+BC683-BC682</f>
        <v>1015640</v>
      </c>
      <c r="BB683" s="66"/>
      <c r="BC683" s="66">
        <v>879598015</v>
      </c>
      <c r="BD683" s="66"/>
      <c r="BE683" s="66">
        <f t="shared" ref="BE683" si="687">+D683</f>
        <v>312314</v>
      </c>
      <c r="BF683" s="66"/>
      <c r="BG683" s="144">
        <f t="shared" ref="BG683" si="68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89">+BC683/BW683</f>
        <v>1305041.5652818992</v>
      </c>
      <c r="BO683" s="66"/>
      <c r="BP683" s="66">
        <f t="shared" ref="BP683" si="690">+BP682+BE683</f>
        <v>63520109</v>
      </c>
      <c r="BQ683" s="66"/>
      <c r="BR683" s="435">
        <f t="shared" ref="BR683" si="691">+BP683/BC683</f>
        <v>7.2214929907498712E-2</v>
      </c>
      <c r="BS683" s="66"/>
      <c r="BT683" s="75"/>
      <c r="BU683" s="170"/>
      <c r="BV683" s="1"/>
      <c r="BW683" s="61">
        <f t="shared" si="407"/>
        <v>674</v>
      </c>
      <c r="CA683" s="56">
        <f t="shared" si="569"/>
        <v>1015640</v>
      </c>
      <c r="CC683" s="56">
        <f t="shared" si="570"/>
        <v>312314</v>
      </c>
      <c r="CG683" s="59">
        <f t="shared" si="571"/>
        <v>0.30750462762396125</v>
      </c>
    </row>
    <row r="684" spans="2:85" x14ac:dyDescent="0.3">
      <c r="B684" s="347">
        <f t="shared" si="547"/>
        <v>44584</v>
      </c>
      <c r="C684" s="61"/>
      <c r="D684" s="17">
        <v>197374</v>
      </c>
      <c r="E684" s="16"/>
      <c r="F684" s="16"/>
      <c r="G684" s="16"/>
      <c r="H684" s="16">
        <f t="shared" ref="H684" si="692">+H683+D684</f>
        <v>64624461</v>
      </c>
      <c r="I684" s="16"/>
      <c r="J684" s="436">
        <f t="shared" ref="J684" si="693">+D684/H683</f>
        <v>3.0635251288018035E-3</v>
      </c>
      <c r="K684" s="16"/>
      <c r="L684" s="16"/>
      <c r="M684" s="16"/>
      <c r="N684" s="16">
        <f t="shared" ref="N684" si="694">SUM(D678:D684)</f>
        <v>3834458</v>
      </c>
      <c r="O684" s="16">
        <f t="shared" ref="O684" si="695">+H684/BW684</f>
        <v>95739.94222222222</v>
      </c>
      <c r="P684" s="41"/>
      <c r="Q684" s="17">
        <f t="shared" ref="Q684" si="696">SUM(D678:D684)</f>
        <v>3834458</v>
      </c>
      <c r="R684" s="16"/>
      <c r="S684" s="60">
        <f t="shared" ref="S684" si="697">+(Q684-Q677)/Q677</f>
        <v>-0.15967877879137057</v>
      </c>
      <c r="T684" s="16"/>
      <c r="U684" s="41"/>
      <c r="V684" s="10">
        <f t="shared" si="568"/>
        <v>576</v>
      </c>
      <c r="W684" s="34">
        <v>574</v>
      </c>
      <c r="X684" s="33">
        <v>4256</v>
      </c>
      <c r="Y684" s="33"/>
      <c r="Z684" s="33">
        <f t="shared" ref="Z684" si="698">SUM(W679:W684)</f>
        <v>11126</v>
      </c>
      <c r="AA684" s="33">
        <f t="shared" ref="AA684" si="699">+AA683+W684</f>
        <v>800837</v>
      </c>
      <c r="AB684" s="33"/>
      <c r="AC684" s="46">
        <f t="shared" ref="AC684" si="700">+AA684/H684</f>
        <v>1.2392165251482717E-2</v>
      </c>
      <c r="AD684" s="33"/>
      <c r="AE684" s="33">
        <f t="shared" ref="AE684" si="701">+AA684/BW684</f>
        <v>1186.4251851851852</v>
      </c>
      <c r="AF684" s="50"/>
      <c r="AG684" s="33"/>
      <c r="AH684" s="33"/>
      <c r="AI684" s="213"/>
      <c r="AJ684" s="50"/>
      <c r="AL684" s="23">
        <f t="shared" ref="AL684" si="70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703">+AL684/AP683</f>
        <v>8.2268572408254607E-4</v>
      </c>
      <c r="AS684" s="25"/>
      <c r="AT684" s="25"/>
      <c r="AU684" s="24"/>
      <c r="AV684" s="298">
        <f t="shared" ref="AV684" si="704">+AP684/H684</f>
        <v>0.68651511074111704</v>
      </c>
      <c r="AW684" s="298"/>
      <c r="AX684" s="24">
        <f t="shared" ref="AX684" si="705">+AP684/BW684</f>
        <v>65726.917037037041</v>
      </c>
      <c r="AY684" s="308"/>
      <c r="BA684" s="65">
        <f t="shared" ref="BA684" si="706">+BC684-BC683</f>
        <v>870358</v>
      </c>
      <c r="BB684" s="66"/>
      <c r="BC684" s="66">
        <v>880468373</v>
      </c>
      <c r="BD684" s="66"/>
      <c r="BE684" s="66">
        <f t="shared" ref="BE684" si="707">+D684</f>
        <v>197374</v>
      </c>
      <c r="BF684" s="66"/>
      <c r="BG684" s="144">
        <f t="shared" ref="BG684" si="70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709">+BC684/BW684</f>
        <v>1304397.5896296296</v>
      </c>
      <c r="BO684" s="66"/>
      <c r="BP684" s="66">
        <f t="shared" ref="BP684" si="710">+BP683+BE684</f>
        <v>63717483</v>
      </c>
      <c r="BQ684" s="66"/>
      <c r="BR684" s="435">
        <f t="shared" ref="BR684" si="711">+BP684/BC684</f>
        <v>7.2367713541937759E-2</v>
      </c>
      <c r="BS684" s="66"/>
      <c r="BT684" s="75"/>
      <c r="BU684" s="170"/>
      <c r="BV684" s="1"/>
      <c r="BW684" s="61">
        <f t="shared" si="407"/>
        <v>675</v>
      </c>
      <c r="CA684" s="56">
        <f t="shared" si="569"/>
        <v>870358</v>
      </c>
      <c r="CC684" s="56">
        <f t="shared" si="570"/>
        <v>197374</v>
      </c>
      <c r="CG684" s="59">
        <f t="shared" si="571"/>
        <v>0.22677335073613386</v>
      </c>
    </row>
    <row r="685" spans="2:85" x14ac:dyDescent="0.3">
      <c r="B685" s="158">
        <f t="shared" si="547"/>
        <v>44585</v>
      </c>
      <c r="C685" s="61"/>
      <c r="D685" s="17">
        <v>465154</v>
      </c>
      <c r="E685" s="16"/>
      <c r="F685" s="16"/>
      <c r="G685" s="16"/>
      <c r="H685" s="16">
        <f t="shared" ref="H685" si="712">+H684+D685</f>
        <v>65089615</v>
      </c>
      <c r="I685" s="16"/>
      <c r="J685" s="436">
        <f t="shared" ref="J685" si="713">+D685/H684</f>
        <v>7.1978008451010524E-3</v>
      </c>
      <c r="K685" s="16"/>
      <c r="L685" s="16"/>
      <c r="M685" s="16"/>
      <c r="N685" s="16">
        <f t="shared" ref="N685" si="714">SUM(D679:D685)</f>
        <v>3725694</v>
      </c>
      <c r="O685" s="16">
        <f t="shared" ref="O685" si="715">+H685/BW685</f>
        <v>96286.412721893488</v>
      </c>
      <c r="P685" s="41"/>
      <c r="Q685" s="17">
        <f t="shared" ref="Q685" si="716">SUM(D679:D685)</f>
        <v>3725694</v>
      </c>
      <c r="R685" s="16"/>
      <c r="S685" s="60">
        <f t="shared" ref="S685" si="717">+(Q685-Q678)/Q678</f>
        <v>-0.16182437631102245</v>
      </c>
      <c r="T685" s="16"/>
      <c r="U685" s="41"/>
      <c r="V685" s="10">
        <f t="shared" si="568"/>
        <v>577</v>
      </c>
      <c r="W685" s="34">
        <v>1193</v>
      </c>
      <c r="X685" s="33">
        <v>4256</v>
      </c>
      <c r="Y685" s="33"/>
      <c r="Z685" s="33">
        <f t="shared" ref="Z685" si="718">SUM(W680:W685)</f>
        <v>10599</v>
      </c>
      <c r="AA685" s="33">
        <f t="shared" ref="AA685" si="719">+AA684+W685</f>
        <v>802030</v>
      </c>
      <c r="AB685" s="33"/>
      <c r="AC685" s="46">
        <f t="shared" ref="AC685" si="720">+AA685/H685</f>
        <v>1.2321934920032942E-2</v>
      </c>
      <c r="AD685" s="33"/>
      <c r="AE685" s="33">
        <f t="shared" ref="AE685" si="721">+AA685/BW685</f>
        <v>1186.4349112426034</v>
      </c>
      <c r="AF685" s="50"/>
      <c r="AG685" s="33"/>
      <c r="AH685" s="33"/>
      <c r="AI685" s="213"/>
      <c r="AJ685" s="50"/>
      <c r="AL685" s="23">
        <f t="shared" ref="AL685" si="72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23">+AL685/AP684</f>
        <v>1.0442488763101937E-2</v>
      </c>
      <c r="AS685" s="25"/>
      <c r="AT685" s="25"/>
      <c r="AU685" s="24"/>
      <c r="AV685" s="298">
        <f t="shared" ref="AV685" si="724">+AP685/H685</f>
        <v>0.68872671930844886</v>
      </c>
      <c r="AW685" s="298"/>
      <c r="AX685" s="24">
        <f t="shared" ref="AX685" si="725">+AP685/BW685</f>
        <v>66315.025147928987</v>
      </c>
      <c r="AY685" s="308"/>
      <c r="BA685" s="65">
        <f t="shared" ref="BA685" si="726">+BC685-BC684</f>
        <v>6136836</v>
      </c>
      <c r="BB685" s="66"/>
      <c r="BC685" s="66">
        <v>886605209</v>
      </c>
      <c r="BD685" s="66"/>
      <c r="BE685" s="66">
        <f t="shared" ref="BE685" si="727">+D685</f>
        <v>465154</v>
      </c>
      <c r="BF685" s="66"/>
      <c r="BG685" s="144">
        <f t="shared" ref="BG685" si="72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29">+BC685/BW685</f>
        <v>1311546.1671597634</v>
      </c>
      <c r="BO685" s="66"/>
      <c r="BP685" s="66">
        <f t="shared" ref="BP685" si="730">+BP684+BE685</f>
        <v>64182637</v>
      </c>
      <c r="BQ685" s="66"/>
      <c r="BR685" s="435">
        <f t="shared" ref="BR685" si="731">+BP685/BC685</f>
        <v>7.2391450386797812E-2</v>
      </c>
      <c r="BS685" s="66"/>
      <c r="BT685" s="75"/>
      <c r="BU685" s="170"/>
      <c r="BV685" s="1"/>
      <c r="BW685" s="61">
        <f t="shared" si="407"/>
        <v>676</v>
      </c>
      <c r="CA685" s="56">
        <f t="shared" si="569"/>
        <v>6136836</v>
      </c>
      <c r="CC685" s="56">
        <f t="shared" si="570"/>
        <v>465154</v>
      </c>
      <c r="CG685" s="59">
        <f t="shared" si="571"/>
        <v>7.5797039386419976E-2</v>
      </c>
    </row>
    <row r="686" spans="2:85" x14ac:dyDescent="0.3">
      <c r="B686" s="158">
        <f t="shared" si="547"/>
        <v>44586</v>
      </c>
      <c r="C686" s="61"/>
      <c r="D686" s="17">
        <v>443072</v>
      </c>
      <c r="E686" s="16"/>
      <c r="F686" s="16"/>
      <c r="G686" s="16"/>
      <c r="H686" s="16">
        <f t="shared" ref="H686" si="732">+H685+D686</f>
        <v>65532687</v>
      </c>
      <c r="I686" s="16"/>
      <c r="J686" s="436">
        <f t="shared" ref="J686" si="733">+D686/H685</f>
        <v>6.807107401080802E-3</v>
      </c>
      <c r="K686" s="16"/>
      <c r="L686" s="16"/>
      <c r="M686" s="16"/>
      <c r="N686" s="16">
        <f t="shared" ref="N686" si="734">SUM(D680:D686)</f>
        <v>3621862</v>
      </c>
      <c r="O686" s="16">
        <f t="shared" ref="O686" si="735">+H686/BW686</f>
        <v>96798.651403249634</v>
      </c>
      <c r="P686" s="41"/>
      <c r="Q686" s="17">
        <f t="shared" ref="Q686" si="736">SUM(D680:D686)</f>
        <v>3621862</v>
      </c>
      <c r="R686" s="16"/>
      <c r="S686" s="60">
        <f t="shared" ref="S686" si="737">+(Q686-Q679)/Q679</f>
        <v>-0.16141889069690551</v>
      </c>
      <c r="T686" s="16"/>
      <c r="U686" s="41"/>
      <c r="V686" s="10">
        <f t="shared" si="568"/>
        <v>578</v>
      </c>
      <c r="W686" s="34">
        <v>2611</v>
      </c>
      <c r="X686" s="33">
        <v>4256</v>
      </c>
      <c r="Y686" s="33"/>
      <c r="Z686" s="33">
        <f t="shared" ref="Z686" si="738">SUM(W681:W686)</f>
        <v>10836</v>
      </c>
      <c r="AA686" s="33">
        <f t="shared" ref="AA686" si="739">+AA685+W686</f>
        <v>804641</v>
      </c>
      <c r="AB686" s="33"/>
      <c r="AC686" s="46">
        <f t="shared" ref="AC686" si="740">+AA686/H686</f>
        <v>1.227846799567367E-2</v>
      </c>
      <c r="AD686" s="33"/>
      <c r="AE686" s="33">
        <f t="shared" ref="AE686" si="741">+AA686/BW686</f>
        <v>1188.5391432791728</v>
      </c>
      <c r="AF686" s="50"/>
      <c r="AG686" s="33"/>
      <c r="AH686" s="33"/>
      <c r="AI686" s="213"/>
      <c r="AJ686" s="50"/>
      <c r="AL686" s="23">
        <f t="shared" ref="AL686" si="74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43">+AL686/AP685</f>
        <v>6.4918530225898411E-3</v>
      </c>
      <c r="AS686" s="25"/>
      <c r="AT686" s="25"/>
      <c r="AU686" s="24"/>
      <c r="AV686" s="298">
        <f t="shared" ref="AV686" si="744">+AP686/H686</f>
        <v>0.68851106318897015</v>
      </c>
      <c r="AW686" s="298"/>
      <c r="AX686" s="24">
        <f t="shared" ref="AX686" si="745">+AP686/BW686</f>
        <v>66646.942392909899</v>
      </c>
      <c r="AY686" s="308"/>
      <c r="BA686" s="65">
        <f t="shared" ref="BA686" si="746">+BC686-BC685</f>
        <v>2277258</v>
      </c>
      <c r="BB686" s="66"/>
      <c r="BC686" s="66">
        <v>888882467</v>
      </c>
      <c r="BD686" s="66"/>
      <c r="BE686" s="66">
        <f t="shared" ref="BE686" si="747">+D686</f>
        <v>443072</v>
      </c>
      <c r="BF686" s="66"/>
      <c r="BG686" s="144">
        <f t="shared" ref="BG686" si="74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49">+BC686/BW686</f>
        <v>1312972.6248153618</v>
      </c>
      <c r="BO686" s="66"/>
      <c r="BP686" s="66">
        <f t="shared" ref="BP686" si="750">+BP685+BE686</f>
        <v>64625709</v>
      </c>
      <c r="BQ686" s="66"/>
      <c r="BR686" s="435">
        <f t="shared" ref="BR686" si="751">+BP686/BC686</f>
        <v>7.270444788737182E-2</v>
      </c>
      <c r="BS686" s="66"/>
      <c r="BT686" s="75"/>
      <c r="BU686" s="170"/>
      <c r="BV686" s="1"/>
      <c r="BW686" s="61">
        <f t="shared" si="407"/>
        <v>677</v>
      </c>
      <c r="CA686" s="56">
        <f t="shared" si="569"/>
        <v>2277258</v>
      </c>
      <c r="CC686" s="56">
        <f t="shared" si="570"/>
        <v>443072</v>
      </c>
      <c r="CG686" s="59">
        <f t="shared" si="571"/>
        <v>0.19456381314721477</v>
      </c>
    </row>
    <row r="687" spans="2:85" x14ac:dyDescent="0.3">
      <c r="B687" s="158">
        <f t="shared" si="547"/>
        <v>44587</v>
      </c>
      <c r="C687" s="61"/>
      <c r="D687" s="17">
        <v>533313</v>
      </c>
      <c r="E687" s="16"/>
      <c r="F687" s="16"/>
      <c r="G687" s="16"/>
      <c r="H687" s="16">
        <f t="shared" ref="H687" si="752">+H686+D687</f>
        <v>66066000</v>
      </c>
      <c r="I687" s="16"/>
      <c r="J687" s="436">
        <f t="shared" ref="J687" si="753">+D687/H686</f>
        <v>8.138121972627187E-3</v>
      </c>
      <c r="K687" s="16"/>
      <c r="L687" s="16"/>
      <c r="M687" s="16"/>
      <c r="N687" s="16">
        <f t="shared" ref="N687" si="754">SUM(D681:D687)</f>
        <v>3444247</v>
      </c>
      <c r="O687" s="16">
        <f t="shared" ref="O687" si="755">+H687/BW687</f>
        <v>97442.47787610619</v>
      </c>
      <c r="P687" s="41"/>
      <c r="Q687" s="17">
        <f t="shared" ref="Q687" si="756">SUM(D681:D687)</f>
        <v>3444247</v>
      </c>
      <c r="R687" s="16"/>
      <c r="S687" s="60">
        <f t="shared" ref="S687" si="757">+(Q687-Q680)/Q680</f>
        <v>-0.17155595601094795</v>
      </c>
      <c r="T687" s="16"/>
      <c r="U687" s="41"/>
      <c r="V687" s="10">
        <f t="shared" si="568"/>
        <v>579</v>
      </c>
      <c r="W687" s="34">
        <v>3143</v>
      </c>
      <c r="X687" s="33">
        <v>4256</v>
      </c>
      <c r="Y687" s="33"/>
      <c r="Z687" s="33">
        <f t="shared" ref="Z687" si="758">SUM(W682:W687)</f>
        <v>11279</v>
      </c>
      <c r="AA687" s="33">
        <f t="shared" ref="AA687" si="759">+AA686+W687</f>
        <v>807784</v>
      </c>
      <c r="AB687" s="33"/>
      <c r="AC687" s="46">
        <f t="shared" ref="AC687" si="760">+AA687/H687</f>
        <v>1.2226924590560954E-2</v>
      </c>
      <c r="AD687" s="33"/>
      <c r="AE687" s="33">
        <f t="shared" ref="AE687" si="761">+AA687/BW687</f>
        <v>1191.4218289085545</v>
      </c>
      <c r="AF687" s="50"/>
      <c r="AG687" s="33"/>
      <c r="AH687" s="33"/>
      <c r="AI687" s="213"/>
      <c r="AJ687" s="50"/>
      <c r="AL687" s="23">
        <f t="shared" ref="AL687" si="76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63">+AL687/AP686</f>
        <v>6.6785933859013239E-3</v>
      </c>
      <c r="AS687" s="25"/>
      <c r="AT687" s="25"/>
      <c r="AU687" s="24"/>
      <c r="AV687" s="298">
        <f t="shared" ref="AV687" si="764">+AP687/H687</f>
        <v>0.68751427360518269</v>
      </c>
      <c r="AW687" s="298"/>
      <c r="AX687" s="24">
        <f t="shared" ref="AX687" si="765">+AP687/BW687</f>
        <v>66993.094395280234</v>
      </c>
      <c r="AY687" s="308"/>
      <c r="BA687" s="65">
        <f t="shared" ref="BA687" si="766">+BC687-BC686</f>
        <v>2763890</v>
      </c>
      <c r="BB687" s="66"/>
      <c r="BC687" s="66">
        <v>891646357</v>
      </c>
      <c r="BD687" s="66"/>
      <c r="BE687" s="66">
        <f t="shared" ref="BE687" si="767">+D687</f>
        <v>533313</v>
      </c>
      <c r="BF687" s="66"/>
      <c r="BG687" s="144">
        <f t="shared" ref="BG687" si="76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69">+BC687/BW687</f>
        <v>1315112.6209439528</v>
      </c>
      <c r="BO687" s="66"/>
      <c r="BP687" s="66">
        <f t="shared" ref="BP687" si="770">+BP686+BE687</f>
        <v>65159022</v>
      </c>
      <c r="BQ687" s="66"/>
      <c r="BR687" s="435">
        <f t="shared" ref="BR687" si="771">+BP687/BC687</f>
        <v>7.307720318538799E-2</v>
      </c>
      <c r="BS687" s="66"/>
      <c r="BT687" s="75"/>
      <c r="BU687" s="170"/>
      <c r="BV687" s="1"/>
      <c r="BW687" s="61">
        <f t="shared" si="407"/>
        <v>678</v>
      </c>
      <c r="CA687" s="56">
        <f t="shared" si="569"/>
        <v>2763890</v>
      </c>
      <c r="CC687" s="56">
        <f t="shared" si="570"/>
        <v>533313</v>
      </c>
      <c r="CG687" s="59">
        <f t="shared" si="571"/>
        <v>0.19295738976587345</v>
      </c>
    </row>
    <row r="688" spans="2:85" x14ac:dyDescent="0.3">
      <c r="B688" s="158">
        <f t="shared" si="547"/>
        <v>44588</v>
      </c>
      <c r="C688" s="61"/>
      <c r="D688" s="17">
        <v>497351</v>
      </c>
      <c r="E688" s="16"/>
      <c r="F688" s="16"/>
      <c r="G688" s="16"/>
      <c r="H688" s="16">
        <f t="shared" ref="H688" si="772">+H687+D688</f>
        <v>66563351</v>
      </c>
      <c r="I688" s="16"/>
      <c r="J688" s="436">
        <f t="shared" ref="J688" si="773">+D688/H687</f>
        <v>7.5280931190022096E-3</v>
      </c>
      <c r="K688" s="16"/>
      <c r="L688" s="16"/>
      <c r="M688" s="16"/>
      <c r="N688" s="16">
        <f t="shared" ref="N688" si="774">SUM(D682:D688)</f>
        <v>3249278</v>
      </c>
      <c r="O688" s="16">
        <f t="shared" ref="O688" si="775">+H688/BW688</f>
        <v>98031.444771723123</v>
      </c>
      <c r="P688" s="41"/>
      <c r="Q688" s="17">
        <f t="shared" ref="Q688" si="776">SUM(D682:D688)</f>
        <v>3249278</v>
      </c>
      <c r="R688" s="16"/>
      <c r="S688" s="60">
        <f t="shared" ref="S688" si="777">+(Q688-Q681)/Q681</f>
        <v>-0.19638286990183304</v>
      </c>
      <c r="T688" s="16"/>
      <c r="U688" s="41"/>
      <c r="V688" s="10">
        <f t="shared" si="568"/>
        <v>580</v>
      </c>
      <c r="W688" s="34">
        <v>2689</v>
      </c>
      <c r="X688" s="33">
        <v>4256</v>
      </c>
      <c r="Y688" s="33"/>
      <c r="Z688" s="33">
        <f t="shared" ref="Z688" si="778">SUM(W683:W688)</f>
        <v>11051</v>
      </c>
      <c r="AA688" s="33">
        <f t="shared" ref="AA688" si="779">+AA687+W688</f>
        <v>810473</v>
      </c>
      <c r="AB688" s="33"/>
      <c r="AC688" s="46">
        <f t="shared" ref="AC688" si="780">+AA688/H688</f>
        <v>1.217596451837288E-2</v>
      </c>
      <c r="AD688" s="33"/>
      <c r="AE688" s="33">
        <f t="shared" ref="AE688" si="781">+AA688/BW688</f>
        <v>1193.6273932253314</v>
      </c>
      <c r="AF688" s="50"/>
      <c r="AG688" s="33"/>
      <c r="AH688" s="33"/>
      <c r="AI688" s="213"/>
      <c r="AJ688" s="50"/>
      <c r="AL688" s="23">
        <f t="shared" ref="AL688" si="78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83">+AL688/AP687</f>
        <v>4.2467724076170575E-3</v>
      </c>
      <c r="AS688" s="25"/>
      <c r="AT688" s="25"/>
      <c r="AU688" s="24"/>
      <c r="AV688" s="298">
        <f t="shared" ref="AV688" si="784">+AP688/H688</f>
        <v>0.68527517492320966</v>
      </c>
      <c r="AW688" s="298"/>
      <c r="AX688" s="24">
        <f t="shared" ref="AX688" si="785">+AP688/BW688</f>
        <v>67178.515463917531</v>
      </c>
      <c r="AY688" s="308"/>
      <c r="BA688" s="65">
        <f t="shared" ref="BA688" si="786">+BC688-BC687</f>
        <v>2673321</v>
      </c>
      <c r="BB688" s="66"/>
      <c r="BC688" s="66">
        <v>894319678</v>
      </c>
      <c r="BD688" s="66"/>
      <c r="BE688" s="66">
        <f t="shared" ref="BE688" si="787">+D688</f>
        <v>497351</v>
      </c>
      <c r="BF688" s="66"/>
      <c r="BG688" s="144">
        <f t="shared" ref="BG688" si="78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89">+BC688/BW688</f>
        <v>1317112.9278350514</v>
      </c>
      <c r="BO688" s="66"/>
      <c r="BP688" s="66">
        <f t="shared" ref="BP688" si="790">+BP687+BE688</f>
        <v>65656373</v>
      </c>
      <c r="BQ688" s="66"/>
      <c r="BR688" s="435">
        <f t="shared" ref="BR688" si="791">+BP688/BC688</f>
        <v>7.3414881294829343E-2</v>
      </c>
      <c r="BS688" s="66"/>
      <c r="BT688" s="75"/>
      <c r="BU688" s="170"/>
      <c r="BV688" s="1"/>
      <c r="BW688" s="61">
        <f t="shared" si="407"/>
        <v>679</v>
      </c>
      <c r="CA688" s="56">
        <f t="shared" si="569"/>
        <v>2673321</v>
      </c>
      <c r="CC688" s="56">
        <f t="shared" si="570"/>
        <v>497351</v>
      </c>
      <c r="CG688" s="59">
        <f t="shared" si="571"/>
        <v>0.18604237949726202</v>
      </c>
    </row>
    <row r="689" spans="2:85" x14ac:dyDescent="0.3">
      <c r="B689" s="158">
        <f t="shared" si="547"/>
        <v>44589</v>
      </c>
      <c r="C689" s="61"/>
      <c r="D689" s="17">
        <v>522300</v>
      </c>
      <c r="E689" s="16"/>
      <c r="F689" s="16"/>
      <c r="G689" s="16"/>
      <c r="H689" s="16">
        <f t="shared" ref="H689" si="792">+H688+D689</f>
        <v>67085651</v>
      </c>
      <c r="I689" s="16"/>
      <c r="J689" s="436">
        <f t="shared" ref="J689" si="793">+D689/H688</f>
        <v>7.8466602440132559E-3</v>
      </c>
      <c r="K689" s="16"/>
      <c r="L689" s="16"/>
      <c r="M689" s="16"/>
      <c r="N689" s="16">
        <f t="shared" ref="N689" si="794">SUM(D683:D689)</f>
        <v>2970878</v>
      </c>
      <c r="O689" s="16">
        <f t="shared" ref="O689" si="795">+H689/BW689</f>
        <v>98655.36911764706</v>
      </c>
      <c r="P689" s="41"/>
      <c r="Q689" s="17">
        <f t="shared" ref="Q689" si="796">SUM(D683:D689)</f>
        <v>2970878</v>
      </c>
      <c r="R689" s="16"/>
      <c r="S689" s="60">
        <f t="shared" ref="S689" si="797">+(Q689-Q682)/Q682</f>
        <v>-0.26040234171561838</v>
      </c>
      <c r="T689" s="16"/>
      <c r="U689" s="41"/>
      <c r="V689" s="10">
        <f t="shared" si="568"/>
        <v>581</v>
      </c>
      <c r="W689" s="34">
        <v>2732</v>
      </c>
      <c r="X689" s="33">
        <v>4256</v>
      </c>
      <c r="Y689" s="33"/>
      <c r="Z689" s="33">
        <f t="shared" ref="Z689" si="798">SUM(W684:W689)</f>
        <v>12942</v>
      </c>
      <c r="AA689" s="33">
        <f t="shared" ref="AA689" si="799">+AA688+W689</f>
        <v>813205</v>
      </c>
      <c r="AB689" s="33"/>
      <c r="AC689" s="46">
        <f t="shared" ref="AC689" si="800">+AA689/H689</f>
        <v>1.2121891758939627E-2</v>
      </c>
      <c r="AD689" s="33"/>
      <c r="AE689" s="33">
        <f t="shared" ref="AE689" si="801">+AA689/BW689</f>
        <v>1195.8897058823529</v>
      </c>
      <c r="AF689" s="50"/>
      <c r="AG689" s="33"/>
      <c r="AH689" s="33"/>
      <c r="AI689" s="213"/>
      <c r="AJ689" s="50"/>
      <c r="AL689" s="23">
        <f t="shared" ref="AL689" si="80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803">+AL689/AP688</f>
        <v>4.2130728905280662E-3</v>
      </c>
      <c r="AS689" s="25"/>
      <c r="AT689" s="25"/>
      <c r="AU689" s="24"/>
      <c r="AV689" s="298">
        <f t="shared" ref="AV689" si="804">+AP689/H689</f>
        <v>0.68280455383819705</v>
      </c>
      <c r="AW689" s="298"/>
      <c r="AX689" s="24">
        <f t="shared" ref="AX689" si="805">+AP689/BW689</f>
        <v>67362.335294117642</v>
      </c>
      <c r="AY689" s="308"/>
      <c r="BA689" s="65">
        <f t="shared" ref="BA689" si="806">+BC689-BC688</f>
        <v>2652002</v>
      </c>
      <c r="BB689" s="66"/>
      <c r="BC689" s="66">
        <v>896971680</v>
      </c>
      <c r="BD689" s="66"/>
      <c r="BE689" s="66">
        <f t="shared" ref="BE689" si="807">+D689</f>
        <v>522300</v>
      </c>
      <c r="BF689" s="66"/>
      <c r="BG689" s="144">
        <f t="shared" ref="BG689" si="80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809">+BC689/BW689</f>
        <v>1319076</v>
      </c>
      <c r="BO689" s="66"/>
      <c r="BP689" s="66">
        <f t="shared" ref="BP689" si="810">+BP688+BE689</f>
        <v>66178673</v>
      </c>
      <c r="BQ689" s="66"/>
      <c r="BR689" s="435">
        <f t="shared" ref="BR689" si="811">+BP689/BC689</f>
        <v>7.3780114217206941E-2</v>
      </c>
      <c r="BS689" s="66"/>
      <c r="BT689" s="75"/>
      <c r="BU689" s="170"/>
      <c r="BV689" s="1"/>
      <c r="BW689" s="61">
        <f t="shared" si="407"/>
        <v>680</v>
      </c>
      <c r="CA689" s="56">
        <f t="shared" si="569"/>
        <v>2652002</v>
      </c>
      <c r="CC689" s="56">
        <f t="shared" si="570"/>
        <v>522300</v>
      </c>
      <c r="CG689" s="59">
        <f t="shared" si="571"/>
        <v>0.19694555283140813</v>
      </c>
    </row>
    <row r="690" spans="2:85" x14ac:dyDescent="0.3">
      <c r="B690" s="158">
        <f t="shared" si="547"/>
        <v>44590</v>
      </c>
      <c r="C690" s="61"/>
      <c r="D690" s="17">
        <v>192028</v>
      </c>
      <c r="E690" s="16"/>
      <c r="F690" s="16"/>
      <c r="G690" s="16"/>
      <c r="H690" s="16">
        <f t="shared" ref="H690" si="812">+H689+D690</f>
        <v>67277679</v>
      </c>
      <c r="I690" s="16"/>
      <c r="J690" s="436">
        <f t="shared" ref="J690" si="813">+D690/H689</f>
        <v>2.8624302982466401E-3</v>
      </c>
      <c r="K690" s="16"/>
      <c r="L690" s="16"/>
      <c r="M690" s="16"/>
      <c r="N690" s="16">
        <f t="shared" ref="N690" si="814">SUM(D684:D690)</f>
        <v>2850592</v>
      </c>
      <c r="O690" s="16">
        <f t="shared" ref="O690" si="815">+H690/BW690</f>
        <v>98792.480176211451</v>
      </c>
      <c r="P690" s="41"/>
      <c r="Q690" s="17">
        <f t="shared" ref="Q690" si="816">SUM(D684:D690)</f>
        <v>2850592</v>
      </c>
      <c r="R690" s="16"/>
      <c r="S690" s="60">
        <f t="shared" ref="S690" si="817">+(Q690-Q683)/Q683</f>
        <v>-0.27374506917988706</v>
      </c>
      <c r="T690" s="16"/>
      <c r="U690" s="41"/>
      <c r="V690" s="10">
        <f t="shared" si="568"/>
        <v>582</v>
      </c>
      <c r="W690" s="34">
        <v>1127</v>
      </c>
      <c r="X690" s="33">
        <v>4256</v>
      </c>
      <c r="Y690" s="33"/>
      <c r="Z690" s="33">
        <f t="shared" ref="Z690" si="818">SUM(W685:W690)</f>
        <v>13495</v>
      </c>
      <c r="AA690" s="33">
        <f t="shared" ref="AA690" si="819">+AA689+W690</f>
        <v>814332</v>
      </c>
      <c r="AB690" s="33"/>
      <c r="AC690" s="46">
        <f t="shared" ref="AC690" si="820">+AA690/H690</f>
        <v>1.2104044195698249E-2</v>
      </c>
      <c r="AD690" s="33"/>
      <c r="AE690" s="33">
        <f t="shared" ref="AE690" si="821">+AA690/BW690</f>
        <v>1195.7885462555066</v>
      </c>
      <c r="AF690" s="50"/>
      <c r="AG690" s="33"/>
      <c r="AH690" s="33"/>
      <c r="AI690" s="213"/>
      <c r="AJ690" s="50"/>
      <c r="AL690" s="23">
        <f t="shared" ref="AL690" si="82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23">+AL690/AP689</f>
        <v>1.6620389278456096E-3</v>
      </c>
      <c r="AS690" s="25"/>
      <c r="AT690" s="25"/>
      <c r="AU690" s="24"/>
      <c r="AV690" s="298">
        <f t="shared" ref="AV690" si="824">+AP690/H690</f>
        <v>0.68198726058905812</v>
      </c>
      <c r="AW690" s="298"/>
      <c r="AX690" s="24">
        <f t="shared" ref="AX690" si="825">+AP690/BW690</f>
        <v>67375.212922173276</v>
      </c>
      <c r="AY690" s="308"/>
      <c r="BA690" s="65">
        <f t="shared" ref="BA690" si="826">+BC690-BC689</f>
        <v>824228</v>
      </c>
      <c r="BB690" s="66"/>
      <c r="BC690" s="66">
        <v>897795908</v>
      </c>
      <c r="BD690" s="66"/>
      <c r="BE690" s="66">
        <f t="shared" ref="BE690" si="827">+D690</f>
        <v>192028</v>
      </c>
      <c r="BF690" s="66"/>
      <c r="BG690" s="144">
        <f t="shared" ref="BG690" si="82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29">+BC690/BW690</f>
        <v>1318349.3509544786</v>
      </c>
      <c r="BO690" s="66"/>
      <c r="BP690" s="66">
        <f t="shared" ref="BP690" si="830">+BP689+BE690</f>
        <v>66370701</v>
      </c>
      <c r="BQ690" s="66"/>
      <c r="BR690" s="435">
        <f t="shared" ref="BR690" si="831">+BP690/BC690</f>
        <v>7.3926268106804513E-2</v>
      </c>
      <c r="BS690" s="66"/>
      <c r="BT690" s="75"/>
      <c r="BU690" s="170"/>
      <c r="BV690" s="1"/>
      <c r="BW690" s="61">
        <f t="shared" si="407"/>
        <v>681</v>
      </c>
      <c r="BY690" s="145">
        <f>SUM(BA684:BA690)</f>
        <v>18197893</v>
      </c>
      <c r="CA690" s="56">
        <f t="shared" si="569"/>
        <v>824228</v>
      </c>
      <c r="CC690" s="56">
        <f t="shared" si="570"/>
        <v>192028</v>
      </c>
      <c r="CG690" s="59">
        <f t="shared" si="571"/>
        <v>0.23297922419524694</v>
      </c>
    </row>
    <row r="691" spans="2:85" x14ac:dyDescent="0.3">
      <c r="B691" s="347">
        <f t="shared" si="547"/>
        <v>44591</v>
      </c>
      <c r="C691" s="61"/>
      <c r="D691" s="17">
        <v>157623</v>
      </c>
      <c r="E691" s="16"/>
      <c r="F691" s="16"/>
      <c r="G691" s="16"/>
      <c r="H691" s="16">
        <f t="shared" ref="H691" si="832">+H690+D691</f>
        <v>67435302</v>
      </c>
      <c r="I691" s="16"/>
      <c r="J691" s="436">
        <f t="shared" ref="J691" si="833">+D691/H690</f>
        <v>2.3428721433746249E-3</v>
      </c>
      <c r="K691" s="16"/>
      <c r="L691" s="16"/>
      <c r="M691" s="16"/>
      <c r="N691" s="16">
        <f t="shared" ref="N691" si="834">SUM(D685:D691)</f>
        <v>2810841</v>
      </c>
      <c r="O691" s="16">
        <f t="shared" ref="O691" si="835">+H691/BW691</f>
        <v>98878.741935483864</v>
      </c>
      <c r="P691" s="41"/>
      <c r="Q691" s="17">
        <f t="shared" ref="Q691" si="836">SUM(D685:D691)</f>
        <v>2810841</v>
      </c>
      <c r="R691" s="16"/>
      <c r="S691" s="60">
        <f t="shared" ref="S691" si="837">+(Q691-Q684)/Q684</f>
        <v>-0.26695220028489031</v>
      </c>
      <c r="T691" s="16"/>
      <c r="U691" s="41"/>
      <c r="V691" s="10">
        <f t="shared" si="568"/>
        <v>583</v>
      </c>
      <c r="W691" s="34">
        <v>599</v>
      </c>
      <c r="X691" s="33">
        <v>4256</v>
      </c>
      <c r="Y691" s="33"/>
      <c r="Z691" s="33">
        <f t="shared" ref="Z691" si="838">SUM(W686:W691)</f>
        <v>12901</v>
      </c>
      <c r="AA691" s="33">
        <f t="shared" ref="AA691" si="839">+AA690+W691</f>
        <v>814931</v>
      </c>
      <c r="AB691" s="33"/>
      <c r="AC691" s="46">
        <f t="shared" ref="AC691" si="840">+AA691/H691</f>
        <v>1.208463484007234E-2</v>
      </c>
      <c r="AD691" s="33"/>
      <c r="AE691" s="33">
        <f t="shared" ref="AE691" si="841">+AA691/BW691</f>
        <v>1194.9134897360705</v>
      </c>
      <c r="AF691" s="50"/>
      <c r="AG691" s="33"/>
      <c r="AH691" s="33"/>
      <c r="AI691" s="213"/>
      <c r="AJ691" s="50"/>
      <c r="AL691" s="23">
        <f t="shared" ref="AL691" si="84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43">+AL691/AP690</f>
        <v>1.2088481626554078E-3</v>
      </c>
      <c r="AS691" s="25"/>
      <c r="AT691" s="25"/>
      <c r="AU691" s="24"/>
      <c r="AV691" s="298">
        <f t="shared" ref="AV691" si="844">+AP691/H691</f>
        <v>0.68121567839942354</v>
      </c>
      <c r="AW691" s="298"/>
      <c r="AX691" s="24">
        <f t="shared" ref="AX691" si="845">+AP691/BW691</f>
        <v>67357.749266862171</v>
      </c>
      <c r="AY691" s="308"/>
      <c r="BA691" s="65">
        <f t="shared" ref="BA691" si="846">+BC691-BC690</f>
        <v>1479416</v>
      </c>
      <c r="BB691" s="66"/>
      <c r="BC691" s="66">
        <v>899275324</v>
      </c>
      <c r="BD691" s="66"/>
      <c r="BE691" s="66">
        <f t="shared" ref="BE691" si="847">+D691</f>
        <v>157623</v>
      </c>
      <c r="BF691" s="66"/>
      <c r="BG691" s="144">
        <f t="shared" ref="BG691" si="84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49">+BC691/BW691</f>
        <v>1318585.5190615836</v>
      </c>
      <c r="BO691" s="66"/>
      <c r="BP691" s="66">
        <f t="shared" ref="BP691" si="850">+BP690+BE691</f>
        <v>66528324</v>
      </c>
      <c r="BQ691" s="66"/>
      <c r="BR691" s="435">
        <f t="shared" ref="BR691" si="851">+BP691/BC691</f>
        <v>7.3979928309475113E-2</v>
      </c>
      <c r="BS691" s="66"/>
      <c r="BT691" s="75"/>
      <c r="BU691" s="170"/>
      <c r="BV691" s="1"/>
      <c r="BW691" s="61">
        <f t="shared" si="407"/>
        <v>682</v>
      </c>
      <c r="CA691" s="56">
        <f t="shared" si="569"/>
        <v>1479416</v>
      </c>
      <c r="CC691" s="56">
        <f t="shared" si="570"/>
        <v>157623</v>
      </c>
      <c r="CG691" s="59">
        <f t="shared" si="571"/>
        <v>0.1065440687406382</v>
      </c>
    </row>
    <row r="692" spans="2:85" x14ac:dyDescent="0.3">
      <c r="B692" s="158">
        <f t="shared" si="547"/>
        <v>44592</v>
      </c>
      <c r="C692" s="61"/>
      <c r="D692" s="17">
        <v>274266</v>
      </c>
      <c r="E692" s="16"/>
      <c r="F692" s="16"/>
      <c r="G692" s="16"/>
      <c r="H692" s="16">
        <f t="shared" ref="H692" si="852">+H691+D692</f>
        <v>67709568</v>
      </c>
      <c r="I692" s="16"/>
      <c r="J692" s="436">
        <f t="shared" ref="J692" si="853">+D692/H691</f>
        <v>4.0670982685003772E-3</v>
      </c>
      <c r="K692" s="16"/>
      <c r="L692" s="16"/>
      <c r="M692" s="16"/>
      <c r="N692" s="16">
        <f t="shared" ref="N692" si="854">SUM(D686:D692)</f>
        <v>2619953</v>
      </c>
      <c r="O692" s="16">
        <f t="shared" ref="O692" si="855">+H692/BW692</f>
        <v>99135.531478770135</v>
      </c>
      <c r="P692" s="41"/>
      <c r="Q692" s="17">
        <f t="shared" ref="Q692" si="856">SUM(D686:D692)</f>
        <v>2619953</v>
      </c>
      <c r="R692" s="16"/>
      <c r="S692" s="60">
        <f t="shared" ref="S692" si="857">+(Q692-Q685)/Q685</f>
        <v>-0.29678792729622994</v>
      </c>
      <c r="T692" s="16"/>
      <c r="U692" s="41"/>
      <c r="V692" s="10">
        <f t="shared" si="568"/>
        <v>584</v>
      </c>
      <c r="W692" s="34">
        <v>1153</v>
      </c>
      <c r="X692" s="33">
        <v>4256</v>
      </c>
      <c r="Y692" s="33"/>
      <c r="Z692" s="33">
        <f t="shared" ref="Z692" si="858">SUM(W687:W692)</f>
        <v>11443</v>
      </c>
      <c r="AA692" s="33">
        <f t="shared" ref="AA692" si="859">+AA691+W692</f>
        <v>816084</v>
      </c>
      <c r="AB692" s="33"/>
      <c r="AC692" s="46">
        <f t="shared" ref="AC692" si="860">+AA692/H692</f>
        <v>1.2052713140925667E-2</v>
      </c>
      <c r="AD692" s="33"/>
      <c r="AE692" s="33">
        <f t="shared" ref="AE692" si="861">+AA692/BW692</f>
        <v>1194.8521229868229</v>
      </c>
      <c r="AF692" s="50"/>
      <c r="AG692" s="33"/>
      <c r="AH692" s="33"/>
      <c r="AI692" s="213"/>
      <c r="AJ692" s="50"/>
      <c r="AL692" s="23">
        <f t="shared" ref="AL692" si="86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63">+AL692/AP691</f>
        <v>6.6227763364022172E-3</v>
      </c>
      <c r="AS692" s="25"/>
      <c r="AT692" s="25"/>
      <c r="AU692" s="24"/>
      <c r="AV692" s="298">
        <f t="shared" ref="AV692" si="864">+AP692/H692</f>
        <v>0.68294959436161218</v>
      </c>
      <c r="AW692" s="298"/>
      <c r="AX692" s="24">
        <f t="shared" ref="AX692" si="865">+AP692/BW692</f>
        <v>67704.571010248896</v>
      </c>
      <c r="AY692" s="308"/>
      <c r="BA692" s="65">
        <f t="shared" ref="BA692" si="866">+BC692-BC691</f>
        <v>2794223</v>
      </c>
      <c r="BB692" s="66"/>
      <c r="BC692" s="66">
        <v>902069547</v>
      </c>
      <c r="BD692" s="66"/>
      <c r="BE692" s="66">
        <f t="shared" ref="BE692" si="867">+D692</f>
        <v>274266</v>
      </c>
      <c r="BF692" s="66"/>
      <c r="BG692" s="144">
        <f t="shared" ref="BG692" si="86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69">+BC692/BW692</f>
        <v>1320746.0424597363</v>
      </c>
      <c r="BO692" s="66"/>
      <c r="BP692" s="66">
        <f t="shared" ref="BP692" si="870">+BP691+BE692</f>
        <v>66802590</v>
      </c>
      <c r="BQ692" s="66"/>
      <c r="BR692" s="435">
        <f t="shared" ref="BR692" si="871">+BP692/BC692</f>
        <v>7.4054811208475485E-2</v>
      </c>
      <c r="BS692" s="66"/>
      <c r="BT692" s="75"/>
      <c r="BU692" s="170"/>
      <c r="BV692" s="1"/>
      <c r="BW692" s="61">
        <f t="shared" si="407"/>
        <v>683</v>
      </c>
    </row>
    <row r="693" spans="2:85" x14ac:dyDescent="0.3">
      <c r="B693" s="158">
        <f t="shared" si="547"/>
        <v>44593</v>
      </c>
      <c r="C693" s="61"/>
      <c r="D693" s="17">
        <v>301964</v>
      </c>
      <c r="E693" s="16"/>
      <c r="F693" s="16"/>
      <c r="G693" s="16"/>
      <c r="H693" s="16">
        <f t="shared" ref="H693" si="872">+H692+D693</f>
        <v>68011532</v>
      </c>
      <c r="I693" s="16"/>
      <c r="J693" s="436">
        <f t="shared" ref="J693" si="873">+D693/H692</f>
        <v>4.4596946771245094E-3</v>
      </c>
      <c r="K693" s="16"/>
      <c r="L693" s="16"/>
      <c r="M693" s="16"/>
      <c r="N693" s="16">
        <f t="shared" ref="N693" si="874">SUM(D687:D693)</f>
        <v>2478845</v>
      </c>
      <c r="O693" s="16">
        <f t="shared" ref="O693" si="875">+H693/BW693</f>
        <v>99432.064327485379</v>
      </c>
      <c r="P693" s="41"/>
      <c r="Q693" s="17">
        <f t="shared" ref="Q693" si="876">SUM(D687:D693)</f>
        <v>2478845</v>
      </c>
      <c r="R693" s="16"/>
      <c r="S693" s="60">
        <f t="shared" ref="S693" si="877">+(Q693-Q686)/Q686</f>
        <v>-0.31558822506213657</v>
      </c>
      <c r="T693" s="16"/>
      <c r="U693" s="41"/>
      <c r="V693" s="10">
        <f t="shared" si="568"/>
        <v>585</v>
      </c>
      <c r="W693" s="34">
        <v>3149</v>
      </c>
      <c r="X693" s="33">
        <v>4256</v>
      </c>
      <c r="Y693" s="33"/>
      <c r="Z693" s="33">
        <f t="shared" ref="Z693" si="878">SUM(W688:W693)</f>
        <v>11449</v>
      </c>
      <c r="AA693" s="33">
        <f t="shared" ref="AA693" si="879">+AA692+W693</f>
        <v>819233</v>
      </c>
      <c r="AB693" s="33"/>
      <c r="AC693" s="46">
        <f t="shared" ref="AC693" si="880">+AA693/H693</f>
        <v>1.2045501342331179E-2</v>
      </c>
      <c r="AD693" s="33"/>
      <c r="AE693" s="33">
        <f t="shared" ref="AE693" si="881">+AA693/BW693</f>
        <v>1197.7090643274853</v>
      </c>
      <c r="AF693" s="50"/>
      <c r="AG693" s="33"/>
      <c r="AH693" s="33"/>
      <c r="AI693" s="213"/>
      <c r="AJ693" s="50"/>
      <c r="AL693" s="23">
        <f t="shared" ref="AL693" si="88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83">+AL693/AP692</f>
        <v>8.7540559794034127E-3</v>
      </c>
      <c r="AS693" s="25"/>
      <c r="AT693" s="25"/>
      <c r="AU693" s="24"/>
      <c r="AV693" s="298">
        <f t="shared" ref="AV693" si="884">+AP693/H693</f>
        <v>0.68586940520616413</v>
      </c>
      <c r="AW693" s="298"/>
      <c r="AX693" s="24">
        <f t="shared" ref="AX693" si="885">+AP693/BW693</f>
        <v>68197.410818713455</v>
      </c>
      <c r="AY693" s="308"/>
      <c r="BA693" s="65">
        <f t="shared" ref="BA693" si="886">+BC693-BC692</f>
        <v>4170296</v>
      </c>
      <c r="BB693" s="66"/>
      <c r="BC693" s="66">
        <v>906239843</v>
      </c>
      <c r="BD693" s="66"/>
      <c r="BE693" s="66">
        <f t="shared" ref="BE693" si="887">+D693</f>
        <v>301964</v>
      </c>
      <c r="BF693" s="66"/>
      <c r="BG693" s="144">
        <f t="shared" ref="BG693" si="88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89">+BC693/BW693</f>
        <v>1324912.0511695906</v>
      </c>
      <c r="BO693" s="66"/>
      <c r="BP693" s="66">
        <f t="shared" ref="BP693" si="890">+BP692+BE693</f>
        <v>67104554</v>
      </c>
      <c r="BQ693" s="66"/>
      <c r="BR693" s="435">
        <f t="shared" ref="BR693" si="891">+BP693/BC693</f>
        <v>7.4047234314768479E-2</v>
      </c>
      <c r="BS693" s="66"/>
      <c r="BT693" s="75"/>
      <c r="BU693" s="170"/>
      <c r="BV693" s="1"/>
      <c r="BW693" s="61">
        <f t="shared" si="407"/>
        <v>684</v>
      </c>
      <c r="CA693" s="56">
        <f>SUM(CA662:CA692)</f>
        <v>86531088</v>
      </c>
      <c r="CC693" s="56">
        <f>SUM(CC662:CC692)</f>
        <v>15991947</v>
      </c>
      <c r="CG693" s="59">
        <f t="shared" si="571"/>
        <v>0.18481157893218678</v>
      </c>
    </row>
    <row r="694" spans="2:85" x14ac:dyDescent="0.3">
      <c r="B694" s="158">
        <f t="shared" si="547"/>
        <v>44594</v>
      </c>
      <c r="C694" s="61"/>
      <c r="D694" s="17">
        <v>302177</v>
      </c>
      <c r="E694" s="16"/>
      <c r="F694" s="16"/>
      <c r="G694" s="16"/>
      <c r="H694" s="16">
        <f t="shared" ref="H694" si="892">+H693+D694</f>
        <v>68313709</v>
      </c>
      <c r="I694" s="16"/>
      <c r="J694" s="436">
        <f t="shared" ref="J694" si="893">+D694/H693</f>
        <v>4.443025926838407E-3</v>
      </c>
      <c r="K694" s="16"/>
      <c r="L694" s="16"/>
      <c r="M694" s="16"/>
      <c r="N694" s="16">
        <f t="shared" ref="N694" si="894">SUM(D688:D694)</f>
        <v>2247709</v>
      </c>
      <c r="O694" s="16">
        <f t="shared" ref="O694" si="895">+H694/BW694</f>
        <v>99728.042335766426</v>
      </c>
      <c r="P694" s="41"/>
      <c r="Q694" s="17">
        <f t="shared" ref="Q694" si="896">SUM(D688:D694)</f>
        <v>2247709</v>
      </c>
      <c r="R694" s="16"/>
      <c r="S694" s="60">
        <f t="shared" ref="S694" si="897">+(Q694-Q687)/Q687</f>
        <v>-0.34740191397423009</v>
      </c>
      <c r="T694" s="16"/>
      <c r="U694" s="41"/>
      <c r="V694" s="10">
        <f t="shared" si="568"/>
        <v>586</v>
      </c>
      <c r="W694" s="34">
        <v>2990</v>
      </c>
      <c r="X694" s="33">
        <v>4256</v>
      </c>
      <c r="Y694" s="33"/>
      <c r="Z694" s="33">
        <f t="shared" ref="Z694" si="898">SUM(W689:W694)</f>
        <v>11750</v>
      </c>
      <c r="AA694" s="33">
        <f t="shared" ref="AA694" si="899">+AA693+W694</f>
        <v>822223</v>
      </c>
      <c r="AB694" s="33"/>
      <c r="AC694" s="46">
        <f t="shared" ref="AC694" si="900">+AA694/H694</f>
        <v>1.2035988267010946E-2</v>
      </c>
      <c r="AD694" s="33"/>
      <c r="AE694" s="33">
        <f t="shared" ref="AE694" si="901">+AA694/BW694</f>
        <v>1200.3255474452556</v>
      </c>
      <c r="AF694" s="50"/>
      <c r="AG694" s="33"/>
      <c r="AH694" s="33"/>
      <c r="AI694" s="213"/>
      <c r="AJ694" s="50"/>
      <c r="AL694" s="23">
        <f t="shared" ref="AL694" si="90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903">+AL694/AP693</f>
        <v>9.9811501392725356E-3</v>
      </c>
      <c r="AS694" s="25"/>
      <c r="AT694" s="25"/>
      <c r="AU694" s="24"/>
      <c r="AV694" s="298">
        <f t="shared" ref="AV694" si="904">+AP694/H694</f>
        <v>0.68965103329406396</v>
      </c>
      <c r="AW694" s="298"/>
      <c r="AX694" s="24">
        <f t="shared" ref="AX694" si="905">+AP694/BW694</f>
        <v>68777.547445255477</v>
      </c>
      <c r="AY694" s="308"/>
      <c r="BA694" s="65">
        <f t="shared" ref="BA694" si="906">+BC694-BC693</f>
        <v>2164784</v>
      </c>
      <c r="BB694" s="66"/>
      <c r="BC694" s="66">
        <v>908404627</v>
      </c>
      <c r="BD694" s="66"/>
      <c r="BE694" s="66">
        <f t="shared" ref="BE694" si="907">+D694</f>
        <v>302177</v>
      </c>
      <c r="BF694" s="66"/>
      <c r="BG694" s="144">
        <f t="shared" ref="BG694" si="90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909">+BC694/BW694</f>
        <v>1326138.1416058394</v>
      </c>
      <c r="BO694" s="66"/>
      <c r="BP694" s="66">
        <f t="shared" ref="BP694" si="910">+BP693+BE694</f>
        <v>67406731</v>
      </c>
      <c r="BQ694" s="66"/>
      <c r="BR694" s="435">
        <f t="shared" ref="BR694" si="911">+BP694/BC694</f>
        <v>7.4203421026828392E-2</v>
      </c>
      <c r="BS694" s="66"/>
      <c r="BT694" s="75"/>
      <c r="BU694" s="170"/>
      <c r="BV694" s="1"/>
      <c r="BW694" s="61">
        <f t="shared" si="407"/>
        <v>685</v>
      </c>
      <c r="CA694" s="56"/>
      <c r="CC694" s="56"/>
      <c r="CG694" s="59"/>
    </row>
    <row r="695" spans="2:85" x14ac:dyDescent="0.3">
      <c r="B695" s="158">
        <f t="shared" si="547"/>
        <v>44595</v>
      </c>
      <c r="C695" s="61"/>
      <c r="D695" s="17">
        <v>255994</v>
      </c>
      <c r="E695" s="16"/>
      <c r="F695" s="16"/>
      <c r="G695" s="16"/>
      <c r="H695" s="16">
        <f t="shared" ref="H695" si="912">+H694+D695</f>
        <v>68569703</v>
      </c>
      <c r="I695" s="16"/>
      <c r="J695" s="436">
        <f t="shared" ref="J695" si="913">+D695/H694</f>
        <v>3.7473298368267487E-3</v>
      </c>
      <c r="K695" s="16"/>
      <c r="L695" s="16"/>
      <c r="M695" s="16"/>
      <c r="N695" s="16">
        <f t="shared" ref="N695" si="914">SUM(D689:D695)</f>
        <v>2006352</v>
      </c>
      <c r="O695" s="16">
        <f t="shared" ref="O695" si="915">+H695/BW695</f>
        <v>99955.835276967933</v>
      </c>
      <c r="P695" s="41"/>
      <c r="Q695" s="17">
        <f t="shared" ref="Q695" si="916">SUM(D689:D695)</f>
        <v>2006352</v>
      </c>
      <c r="R695" s="16"/>
      <c r="S695" s="60">
        <f t="shared" ref="S695" si="917">+(Q695-Q688)/Q688</f>
        <v>-0.38252374835271097</v>
      </c>
      <c r="T695" s="16"/>
      <c r="U695" s="41"/>
      <c r="V695" s="10">
        <f t="shared" si="568"/>
        <v>587</v>
      </c>
      <c r="W695" s="34">
        <v>2376</v>
      </c>
      <c r="X695" s="33">
        <v>4256</v>
      </c>
      <c r="Y695" s="33"/>
      <c r="Z695" s="33">
        <f t="shared" ref="Z695" si="918">SUM(W690:W695)</f>
        <v>11394</v>
      </c>
      <c r="AA695" s="33">
        <f t="shared" ref="AA695" si="919">+AA694+W695</f>
        <v>824599</v>
      </c>
      <c r="AB695" s="33"/>
      <c r="AC695" s="46">
        <f t="shared" ref="AC695" si="920">+AA695/H695</f>
        <v>1.2025704705181529E-2</v>
      </c>
      <c r="AD695" s="33"/>
      <c r="AE695" s="33">
        <f t="shared" ref="AE695" si="921">+AA695/BW695</f>
        <v>1202.039358600583</v>
      </c>
      <c r="AF695" s="50"/>
      <c r="AG695" s="33"/>
      <c r="AH695" s="33"/>
      <c r="AI695" s="213"/>
      <c r="AJ695" s="50"/>
      <c r="AL695" s="23">
        <f t="shared" ref="AL695" si="92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23">+AL695/AP694</f>
        <v>4.2688349745779366E-3</v>
      </c>
      <c r="AS695" s="25"/>
      <c r="AT695" s="25"/>
      <c r="AU695" s="24"/>
      <c r="AV695" s="298">
        <f t="shared" ref="AV695" si="924">+AP695/H695</f>
        <v>0.69000934713105</v>
      </c>
      <c r="AW695" s="298"/>
      <c r="AX695" s="24">
        <f t="shared" ref="AX695" si="925">+AP695/BW695</f>
        <v>68970.460641399419</v>
      </c>
      <c r="AY695" s="308"/>
      <c r="BA695" s="65">
        <f t="shared" ref="BA695" si="926">+BC695-BC694</f>
        <v>1750926</v>
      </c>
      <c r="BB695" s="66"/>
      <c r="BC695" s="66">
        <v>910155553</v>
      </c>
      <c r="BD695" s="66"/>
      <c r="BE695" s="66">
        <f t="shared" ref="BE695" si="927">+D695</f>
        <v>255994</v>
      </c>
      <c r="BF695" s="66"/>
      <c r="BG695" s="144">
        <f t="shared" ref="BG695" si="92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29">+BC695/BW695</f>
        <v>1326757.3658892128</v>
      </c>
      <c r="BO695" s="66"/>
      <c r="BP695" s="66">
        <f t="shared" ref="BP695" si="930">+BP694+BE695</f>
        <v>67662725</v>
      </c>
      <c r="BQ695" s="66"/>
      <c r="BR695" s="435">
        <f t="shared" ref="BR695" si="931">+BP695/BC695</f>
        <v>7.4341935042833276E-2</v>
      </c>
      <c r="BS695" s="66"/>
      <c r="BT695" s="75"/>
      <c r="BU695" s="170"/>
      <c r="BV695" s="1"/>
      <c r="BW695" s="61">
        <f t="shared" si="407"/>
        <v>686</v>
      </c>
      <c r="CA695" s="56"/>
      <c r="CC695" s="56"/>
      <c r="CG695" s="59"/>
    </row>
    <row r="696" spans="2:85" x14ac:dyDescent="0.3">
      <c r="B696" s="158">
        <f t="shared" si="547"/>
        <v>44596</v>
      </c>
      <c r="C696" s="61"/>
      <c r="D696" s="17">
        <v>303273</v>
      </c>
      <c r="E696" s="16"/>
      <c r="F696" s="16"/>
      <c r="G696" s="16"/>
      <c r="H696" s="16">
        <f t="shared" ref="H696" si="932">+H695+D696</f>
        <v>68872976</v>
      </c>
      <c r="I696" s="16"/>
      <c r="J696" s="436">
        <f t="shared" ref="J696" si="933">+D696/H695</f>
        <v>4.4228425489898941E-3</v>
      </c>
      <c r="K696" s="16"/>
      <c r="L696" s="16"/>
      <c r="M696" s="16"/>
      <c r="N696" s="16">
        <f t="shared" ref="N696" si="934">SUM(D690:D696)</f>
        <v>1787325</v>
      </c>
      <c r="O696" s="16">
        <f t="shared" ref="O696" si="935">+H696/BW696</f>
        <v>100251.78457059679</v>
      </c>
      <c r="P696" s="41"/>
      <c r="Q696" s="17">
        <f t="shared" ref="Q696" si="936">SUM(D690:D696)</f>
        <v>1787325</v>
      </c>
      <c r="R696" s="16"/>
      <c r="S696" s="60">
        <f t="shared" ref="S696" si="937">+(Q696-Q689)/Q689</f>
        <v>-0.39838492189850944</v>
      </c>
      <c r="T696" s="16"/>
      <c r="U696" s="41"/>
      <c r="V696" s="10">
        <f t="shared" si="568"/>
        <v>588</v>
      </c>
      <c r="W696" s="34">
        <v>2693</v>
      </c>
      <c r="X696" s="33">
        <v>4256</v>
      </c>
      <c r="Y696" s="33"/>
      <c r="Z696" s="33">
        <f t="shared" ref="Z696" si="938">SUM(W691:W696)</f>
        <v>12960</v>
      </c>
      <c r="AA696" s="33">
        <f t="shared" ref="AA696" si="939">+AA695+W696</f>
        <v>827292</v>
      </c>
      <c r="AB696" s="33"/>
      <c r="AC696" s="46">
        <f t="shared" ref="AC696" si="940">+AA696/H696</f>
        <v>1.2011852079689427E-2</v>
      </c>
      <c r="AD696" s="33"/>
      <c r="AE696" s="33">
        <f t="shared" ref="AE696" si="941">+AA696/BW696</f>
        <v>1204.2096069868996</v>
      </c>
      <c r="AF696" s="50"/>
      <c r="AG696" s="33"/>
      <c r="AH696" s="33"/>
      <c r="AI696" s="213"/>
      <c r="AJ696" s="50"/>
      <c r="AL696" s="23">
        <f t="shared" ref="AL696" si="94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43">+AL696/AP695</f>
        <v>9.9847959586197126E-3</v>
      </c>
      <c r="AS696" s="25"/>
      <c r="AT696" s="25"/>
      <c r="AU696" s="24"/>
      <c r="AV696" s="298">
        <f t="shared" ref="AV696" si="944">+AP696/H696</f>
        <v>0.69383024773025637</v>
      </c>
      <c r="AW696" s="298"/>
      <c r="AX696" s="24">
        <f t="shared" ref="AX696" si="945">+AP696/BW696</f>
        <v>69557.720524017466</v>
      </c>
      <c r="AY696" s="308"/>
      <c r="BA696" s="65">
        <f t="shared" ref="BA696" si="946">+BC696-BC695</f>
        <v>3117403</v>
      </c>
      <c r="BB696" s="66"/>
      <c r="BC696" s="66">
        <v>913272956</v>
      </c>
      <c r="BD696" s="66"/>
      <c r="BE696" s="66">
        <f t="shared" ref="BE696" si="947">+D696</f>
        <v>303273</v>
      </c>
      <c r="BF696" s="66"/>
      <c r="BG696" s="144">
        <f t="shared" ref="BG696" si="94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49">+BC696/BW696</f>
        <v>1329363.8369723435</v>
      </c>
      <c r="BO696" s="66"/>
      <c r="BP696" s="66">
        <f t="shared" ref="BP696" si="950">+BP695+BE696</f>
        <v>67965998</v>
      </c>
      <c r="BQ696" s="66"/>
      <c r="BR696" s="435">
        <f t="shared" ref="BR696" si="951">+BP696/BC696</f>
        <v>7.4420245944521318E-2</v>
      </c>
      <c r="BS696" s="66"/>
      <c r="BT696" s="75"/>
      <c r="BU696" s="170"/>
      <c r="BV696" s="1"/>
      <c r="BW696" s="61">
        <f t="shared" si="407"/>
        <v>687</v>
      </c>
      <c r="CA696" s="56"/>
      <c r="CC696" s="56"/>
      <c r="CG696" s="59"/>
    </row>
    <row r="697" spans="2:85" x14ac:dyDescent="0.3">
      <c r="B697" s="158">
        <f t="shared" si="547"/>
        <v>44597</v>
      </c>
      <c r="C697" s="61"/>
      <c r="D697" s="17">
        <v>105022</v>
      </c>
      <c r="E697" s="16"/>
      <c r="F697" s="16"/>
      <c r="G697" s="16"/>
      <c r="H697" s="16">
        <f t="shared" ref="H697" si="952">+H696+D697</f>
        <v>68977998</v>
      </c>
      <c r="I697" s="16"/>
      <c r="J697" s="436">
        <f t="shared" ref="J697" si="953">+D697/H696</f>
        <v>1.5248651372346681E-3</v>
      </c>
      <c r="K697" s="16"/>
      <c r="L697" s="16"/>
      <c r="M697" s="16"/>
      <c r="N697" s="16">
        <f t="shared" ref="N697" si="954">SUM(D691:D697)</f>
        <v>1700319</v>
      </c>
      <c r="O697" s="16">
        <f t="shared" ref="O697" si="955">+H697/BW697</f>
        <v>100258.71802325582</v>
      </c>
      <c r="P697" s="41"/>
      <c r="Q697" s="17">
        <f t="shared" ref="Q697" si="956">SUM(D691:D697)</f>
        <v>1700319</v>
      </c>
      <c r="R697" s="16"/>
      <c r="S697" s="60">
        <f t="shared" ref="S697" si="957">+(Q697-Q690)/Q690</f>
        <v>-0.40352074235807861</v>
      </c>
      <c r="T697" s="16"/>
      <c r="U697" s="41"/>
      <c r="V697" s="10">
        <f t="shared" si="568"/>
        <v>589</v>
      </c>
      <c r="W697" s="34">
        <v>1051</v>
      </c>
      <c r="X697" s="33">
        <v>4256</v>
      </c>
      <c r="Y697" s="33"/>
      <c r="Z697" s="33">
        <f t="shared" ref="Z697" si="958">SUM(W692:W697)</f>
        <v>13412</v>
      </c>
      <c r="AA697" s="33">
        <f t="shared" ref="AA697" si="959">+AA696+W697</f>
        <v>828343</v>
      </c>
      <c r="AB697" s="33"/>
      <c r="AC697" s="46">
        <f t="shared" ref="AC697" si="960">+AA697/H697</f>
        <v>1.2008800255408979E-2</v>
      </c>
      <c r="AD697" s="33"/>
      <c r="AE697" s="33">
        <f t="shared" ref="AE697" si="961">+AA697/BW697</f>
        <v>1203.9869186046512</v>
      </c>
      <c r="AF697" s="50"/>
      <c r="AG697" s="33"/>
      <c r="AH697" s="33"/>
      <c r="AI697" s="213"/>
      <c r="AJ697" s="50"/>
      <c r="AL697" s="23">
        <f t="shared" ref="AL697" si="96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63">+AL697/AP696</f>
        <v>2.3876790754074916E-3</v>
      </c>
      <c r="AS697" s="25"/>
      <c r="AT697" s="25"/>
      <c r="AU697" s="24"/>
      <c r="AV697" s="298">
        <f t="shared" ref="AV697" si="964">+AP697/H697</f>
        <v>0.69442798267354755</v>
      </c>
      <c r="AW697" s="298"/>
      <c r="AX697" s="24">
        <f t="shared" ref="AX697" si="965">+AP697/BW697</f>
        <v>69622.459302325587</v>
      </c>
      <c r="AY697" s="308"/>
      <c r="BA697" s="65">
        <f t="shared" ref="BA697" si="966">+BC697-BC696</f>
        <v>605965</v>
      </c>
      <c r="BB697" s="66"/>
      <c r="BC697" s="66">
        <v>913878921</v>
      </c>
      <c r="BD697" s="66"/>
      <c r="BE697" s="66">
        <f t="shared" ref="BE697" si="967">+D697</f>
        <v>105022</v>
      </c>
      <c r="BF697" s="66"/>
      <c r="BG697" s="144">
        <f t="shared" ref="BG697" si="96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69">+BC697/BW697</f>
        <v>1328312.3851744186</v>
      </c>
      <c r="BO697" s="66"/>
      <c r="BP697" s="66">
        <f t="shared" ref="BP697" si="970">+BP696+BE697</f>
        <v>68071020</v>
      </c>
      <c r="BQ697" s="66"/>
      <c r="BR697" s="435">
        <f t="shared" ref="BR697" si="971">+BP697/BC697</f>
        <v>7.4485819112135976E-2</v>
      </c>
      <c r="BS697" s="66"/>
      <c r="BT697" s="75"/>
      <c r="BU697" s="170"/>
      <c r="BV697" s="1"/>
      <c r="BW697" s="61">
        <f t="shared" si="407"/>
        <v>688</v>
      </c>
      <c r="CA697" s="56"/>
      <c r="CC697" s="56"/>
      <c r="CG697" s="59"/>
    </row>
    <row r="698" spans="2:85" x14ac:dyDescent="0.3">
      <c r="B698" s="347">
        <f t="shared" si="547"/>
        <v>44598</v>
      </c>
      <c r="C698" s="61"/>
      <c r="D698" s="17">
        <v>50711</v>
      </c>
      <c r="E698" s="16"/>
      <c r="F698" s="16"/>
      <c r="G698" s="16"/>
      <c r="H698" s="16">
        <f t="shared" ref="H698" si="972">+H697+D698</f>
        <v>69028709</v>
      </c>
      <c r="I698" s="16"/>
      <c r="J698" s="436">
        <f t="shared" ref="J698" si="973">+D698/H697</f>
        <v>7.3517645438187407E-4</v>
      </c>
      <c r="K698" s="16"/>
      <c r="L698" s="16"/>
      <c r="M698" s="16"/>
      <c r="N698" s="16">
        <f t="shared" ref="N698" si="974">SUM(D692:D698)</f>
        <v>1593407</v>
      </c>
      <c r="O698" s="16">
        <f t="shared" ref="O698" si="975">+H698/BW698</f>
        <v>100186.80551523948</v>
      </c>
      <c r="P698" s="41"/>
      <c r="Q698" s="17">
        <f t="shared" ref="Q698" si="976">SUM(D692:D698)</f>
        <v>1593407</v>
      </c>
      <c r="R698" s="16"/>
      <c r="S698" s="60">
        <f t="shared" ref="S698" si="977">+(Q698-Q691)/Q691</f>
        <v>-0.43312090580719437</v>
      </c>
      <c r="T698" s="16"/>
      <c r="U698" s="41"/>
      <c r="V698" s="10">
        <f t="shared" si="568"/>
        <v>590</v>
      </c>
      <c r="W698" s="34">
        <v>374</v>
      </c>
      <c r="X698" s="33">
        <v>4256</v>
      </c>
      <c r="Y698" s="33"/>
      <c r="Z698" s="33">
        <f t="shared" ref="Z698" si="978">SUM(W693:W698)</f>
        <v>12633</v>
      </c>
      <c r="AA698" s="33">
        <f t="shared" ref="AA698" si="979">+AA697+W698</f>
        <v>828717</v>
      </c>
      <c r="AB698" s="33"/>
      <c r="AC698" s="46">
        <f t="shared" ref="AC698" si="980">+AA698/H698</f>
        <v>1.2005396189576717E-2</v>
      </c>
      <c r="AD698" s="33"/>
      <c r="AE698" s="33">
        <f t="shared" ref="AE698" si="981">+AA698/BW698</f>
        <v>1202.7822931785197</v>
      </c>
      <c r="AF698" s="50"/>
      <c r="AG698" s="33"/>
      <c r="AH698" s="33"/>
      <c r="AI698" s="213"/>
      <c r="AJ698" s="50"/>
      <c r="AL698" s="23">
        <f t="shared" ref="AL698" si="98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83">+AL698/AP697</f>
        <v>2.0483817078874658E-3</v>
      </c>
      <c r="AS698" s="25"/>
      <c r="AT698" s="25"/>
      <c r="AU698" s="24"/>
      <c r="AV698" s="298">
        <f t="shared" ref="AV698" si="984">+AP698/H698</f>
        <v>0.69533923921422314</v>
      </c>
      <c r="AW698" s="298"/>
      <c r="AX698" s="24">
        <f t="shared" ref="AX698" si="985">+AP698/BW698</f>
        <v>69663.817126269962</v>
      </c>
      <c r="AY698" s="308"/>
      <c r="BA698" s="65">
        <f t="shared" ref="BA698" si="986">+BC698-BC697</f>
        <v>518719</v>
      </c>
      <c r="BB698" s="66"/>
      <c r="BC698" s="66">
        <v>914397640</v>
      </c>
      <c r="BD698" s="66"/>
      <c r="BE698" s="66">
        <f t="shared" ref="BE698" si="987">+D698</f>
        <v>50711</v>
      </c>
      <c r="BF698" s="66"/>
      <c r="BG698" s="144">
        <f t="shared" ref="BG698" si="98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89">+BC698/BW698</f>
        <v>1327137.358490566</v>
      </c>
      <c r="BO698" s="66"/>
      <c r="BP698" s="66">
        <f t="shared" ref="BP698" si="990">+BP697+BE698</f>
        <v>68121731</v>
      </c>
      <c r="BQ698" s="66"/>
      <c r="BR698" s="435">
        <f t="shared" ref="BR698" si="991">+BP698/BC698</f>
        <v>7.4499023203953157E-2</v>
      </c>
      <c r="BS698" s="66"/>
      <c r="BT698" s="75"/>
      <c r="BU698" s="170"/>
      <c r="BV698" s="1"/>
      <c r="BW698" s="61">
        <f t="shared" si="407"/>
        <v>689</v>
      </c>
    </row>
    <row r="699" spans="2:85" x14ac:dyDescent="0.3">
      <c r="B699" s="158">
        <f t="shared" si="547"/>
        <v>44599</v>
      </c>
      <c r="C699" s="61"/>
      <c r="D699" s="17">
        <v>153801</v>
      </c>
      <c r="E699" s="16"/>
      <c r="F699" s="16"/>
      <c r="G699" s="16"/>
      <c r="H699" s="16">
        <f t="shared" ref="H699" si="992">+H698+D699</f>
        <v>69182510</v>
      </c>
      <c r="I699" s="16"/>
      <c r="J699" s="436">
        <f t="shared" ref="J699" si="993">+D699/H698</f>
        <v>2.228072960193997E-3</v>
      </c>
      <c r="K699" s="16"/>
      <c r="L699" s="16"/>
      <c r="M699" s="16"/>
      <c r="N699" s="16">
        <f t="shared" ref="N699" si="994">SUM(D693:D699)</f>
        <v>1472942</v>
      </c>
      <c r="O699" s="16">
        <f t="shared" ref="O699" si="995">+H699/BW699</f>
        <v>100264.50724637682</v>
      </c>
      <c r="P699" s="41"/>
      <c r="Q699" s="17">
        <f t="shared" ref="Q699" si="996">SUM(D693:D699)</f>
        <v>1472942</v>
      </c>
      <c r="R699" s="16"/>
      <c r="S699" s="60">
        <f t="shared" ref="S699" si="997">+(Q699-Q692)/Q692</f>
        <v>-0.4377983116491021</v>
      </c>
      <c r="T699" s="16"/>
      <c r="U699" s="41"/>
      <c r="V699" s="10">
        <f t="shared" si="568"/>
        <v>591</v>
      </c>
      <c r="W699" s="34">
        <v>1380</v>
      </c>
      <c r="X699" s="33">
        <v>4256</v>
      </c>
      <c r="Y699" s="33"/>
      <c r="Z699" s="33">
        <f t="shared" ref="Z699" si="998">SUM(W694:W699)</f>
        <v>10864</v>
      </c>
      <c r="AA699" s="33">
        <f t="shared" ref="AA699" si="999">+AA698+W699</f>
        <v>830097</v>
      </c>
      <c r="AB699" s="33"/>
      <c r="AC699" s="46">
        <f t="shared" ref="AC699" si="1000">+AA699/H699</f>
        <v>1.1998653995063203E-2</v>
      </c>
      <c r="AD699" s="33"/>
      <c r="AE699" s="33">
        <f t="shared" ref="AE699" si="1001">+AA699/BW699</f>
        <v>1203.0391304347827</v>
      </c>
      <c r="AF699" s="50"/>
      <c r="AG699" s="33"/>
      <c r="AH699" s="33"/>
      <c r="AI699" s="213"/>
      <c r="AJ699" s="50"/>
      <c r="AL699" s="23">
        <f t="shared" ref="AL699" si="100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1003">+AL699/AP698</f>
        <v>7.2491003340321766E-3</v>
      </c>
      <c r="AS699" s="25"/>
      <c r="AT699" s="25"/>
      <c r="AU699" s="24"/>
      <c r="AV699" s="298">
        <f t="shared" ref="AV699" si="1004">+AP699/H699</f>
        <v>0.69882279495207678</v>
      </c>
      <c r="AW699" s="298"/>
      <c r="AX699" s="24">
        <f t="shared" ref="AX699" si="1005">+AP699/BW699</f>
        <v>70067.123188405792</v>
      </c>
      <c r="AY699" s="308"/>
      <c r="BA699" s="65">
        <f t="shared" ref="BA699" si="1006">+BC699-BC698</f>
        <v>3894838</v>
      </c>
      <c r="BB699" s="66"/>
      <c r="BC699" s="66">
        <v>918292478</v>
      </c>
      <c r="BD699" s="66"/>
      <c r="BE699" s="66">
        <f t="shared" ref="BE699" si="1007">+D699</f>
        <v>153801</v>
      </c>
      <c r="BF699" s="66"/>
      <c r="BG699" s="144">
        <f t="shared" ref="BG699" si="100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1009">+BC699/BW699</f>
        <v>1330858.6637681159</v>
      </c>
      <c r="BO699" s="66"/>
      <c r="BP699" s="66">
        <f t="shared" ref="BP699" si="1010">+BP698+BE699</f>
        <v>68275532</v>
      </c>
      <c r="BQ699" s="66"/>
      <c r="BR699" s="435">
        <f t="shared" ref="BR699" si="1011">+BP699/BC699</f>
        <v>7.4350529527042478E-2</v>
      </c>
      <c r="BS699" s="66"/>
      <c r="BT699" s="75"/>
      <c r="BU699" s="170"/>
      <c r="BV699" s="1"/>
      <c r="BW699" s="61">
        <f t="shared" si="407"/>
        <v>690</v>
      </c>
    </row>
    <row r="700" spans="2:85" x14ac:dyDescent="0.3">
      <c r="B700" s="158">
        <f t="shared" ref="B700:B701" si="1012">1+B699</f>
        <v>44600</v>
      </c>
      <c r="C700" s="61"/>
      <c r="D700" s="17">
        <v>179169</v>
      </c>
      <c r="E700" s="16"/>
      <c r="F700" s="16"/>
      <c r="G700" s="16"/>
      <c r="H700" s="16">
        <f t="shared" ref="H700" si="1013">+H699+D700</f>
        <v>69361679</v>
      </c>
      <c r="I700" s="16"/>
      <c r="J700" s="436">
        <f t="shared" ref="J700" si="1014">+D700/H699</f>
        <v>2.5898019600618712E-3</v>
      </c>
      <c r="K700" s="16"/>
      <c r="L700" s="16"/>
      <c r="M700" s="16"/>
      <c r="N700" s="16">
        <f t="shared" ref="N700" si="1015">SUM(D694:D700)</f>
        <v>1350147</v>
      </c>
      <c r="O700" s="16">
        <f t="shared" ref="O700" si="1016">+H700/BW700</f>
        <v>100378.69609261939</v>
      </c>
      <c r="P700" s="41"/>
      <c r="Q700" s="17">
        <f t="shared" ref="Q700" si="1017">SUM(D694:D700)</f>
        <v>1350147</v>
      </c>
      <c r="R700" s="16"/>
      <c r="S700" s="60">
        <f t="shared" ref="S700" si="1018">+(Q700-Q693)/Q693</f>
        <v>-0.45533222125627054</v>
      </c>
      <c r="T700" s="16"/>
      <c r="U700" s="41"/>
      <c r="V700" s="10">
        <f t="shared" si="568"/>
        <v>592</v>
      </c>
      <c r="W700" s="34">
        <v>2777</v>
      </c>
      <c r="X700" s="33">
        <v>4256</v>
      </c>
      <c r="Y700" s="33"/>
      <c r="Z700" s="33">
        <f t="shared" ref="Z700" si="1019">SUM(W695:W700)</f>
        <v>10651</v>
      </c>
      <c r="AA700" s="33">
        <f t="shared" ref="AA700" si="1020">+AA699+W700</f>
        <v>832874</v>
      </c>
      <c r="AB700" s="33"/>
      <c r="AC700" s="46">
        <f t="shared" ref="AC700" si="1021">+AA700/H700</f>
        <v>1.2007696641830138E-2</v>
      </c>
      <c r="AD700" s="33"/>
      <c r="AE700" s="33">
        <f t="shared" ref="AE700" si="1022">+AA700/BW700</f>
        <v>1205.3169319826338</v>
      </c>
      <c r="AF700" s="50"/>
      <c r="AG700" s="33"/>
      <c r="AH700" s="33"/>
      <c r="AI700" s="213"/>
      <c r="AJ700" s="50"/>
      <c r="AL700" s="23">
        <f t="shared" ref="AL700" si="102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24">+AL700/AP699</f>
        <v>9.9700049528076758E-3</v>
      </c>
      <c r="AS700" s="25"/>
      <c r="AT700" s="25"/>
      <c r="AU700" s="24"/>
      <c r="AV700" s="298">
        <f t="shared" ref="AV700" si="1025">+AP700/H700</f>
        <v>0.70396692675216244</v>
      </c>
      <c r="AW700" s="298"/>
      <c r="AX700" s="24">
        <f t="shared" ref="AX700" si="1026">+AP700/BW700</f>
        <v>70663.282199710564</v>
      </c>
      <c r="AY700" s="308"/>
      <c r="BA700" s="65">
        <f t="shared" ref="BA700" si="1027">+BC700-BC699</f>
        <v>1754519</v>
      </c>
      <c r="BB700" s="66"/>
      <c r="BC700" s="66">
        <v>920046997</v>
      </c>
      <c r="BD700" s="66"/>
      <c r="BE700" s="66">
        <f t="shared" ref="BE700" si="1028">+D700</f>
        <v>179169</v>
      </c>
      <c r="BF700" s="66"/>
      <c r="BG700" s="144">
        <f t="shared" ref="BG700" si="102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30">+BC700/BW700</f>
        <v>1331471.7756874096</v>
      </c>
      <c r="BO700" s="66"/>
      <c r="BP700" s="66">
        <f t="shared" ref="BP700" si="1031">+BP699+BE700</f>
        <v>68454701</v>
      </c>
      <c r="BQ700" s="66"/>
      <c r="BR700" s="435">
        <f t="shared" ref="BR700" si="1032">+BP700/BC700</f>
        <v>7.4403482890776723E-2</v>
      </c>
      <c r="BS700" s="66"/>
      <c r="BT700" s="75"/>
      <c r="BU700" s="170"/>
      <c r="BV700" s="1"/>
      <c r="BW700" s="61">
        <f t="shared" si="407"/>
        <v>691</v>
      </c>
    </row>
    <row r="701" spans="2:85" x14ac:dyDescent="0.3">
      <c r="B701" s="158">
        <f t="shared" si="1012"/>
        <v>44601</v>
      </c>
      <c r="C701" s="61"/>
      <c r="D701" s="17">
        <v>227458</v>
      </c>
      <c r="E701" s="16"/>
      <c r="F701" s="16"/>
      <c r="G701" s="16"/>
      <c r="H701" s="16">
        <f t="shared" ref="H701" si="1033">+H700+D701</f>
        <v>69589137</v>
      </c>
      <c r="I701" s="16"/>
      <c r="J701" s="436">
        <f t="shared" ref="J701" si="1034">+D701/H700</f>
        <v>3.2793035474242196E-3</v>
      </c>
      <c r="K701" s="16"/>
      <c r="L701" s="16"/>
      <c r="M701" s="16"/>
      <c r="N701" s="16">
        <f t="shared" ref="N701" si="1035">SUM(D695:D701)</f>
        <v>1275428</v>
      </c>
      <c r="O701" s="16">
        <f t="shared" ref="O701" si="1036">+H701/BW701</f>
        <v>100562.33670520231</v>
      </c>
      <c r="P701" s="41"/>
      <c r="Q701" s="17">
        <f t="shared" ref="Q701" si="1037">SUM(D695:D701)</f>
        <v>1275428</v>
      </c>
      <c r="R701" s="16"/>
      <c r="S701" s="60">
        <f t="shared" ref="S701" si="1038">+(Q701-Q694)/Q694</f>
        <v>-0.43256533652710383</v>
      </c>
      <c r="T701" s="16"/>
      <c r="U701" s="41"/>
      <c r="V701" s="10">
        <f t="shared" si="568"/>
        <v>593</v>
      </c>
      <c r="W701" s="34">
        <v>2785</v>
      </c>
      <c r="X701" s="33">
        <v>4256</v>
      </c>
      <c r="Y701" s="33"/>
      <c r="Z701" s="33">
        <f t="shared" ref="Z701" si="1039">SUM(W696:W701)</f>
        <v>11060</v>
      </c>
      <c r="AA701" s="33">
        <f t="shared" ref="AA701" si="1040">+AA700+W701</f>
        <v>835659</v>
      </c>
      <c r="AB701" s="33"/>
      <c r="AC701" s="46">
        <f t="shared" ref="AC701" si="1041">+AA701/H701</f>
        <v>1.2008469080454325E-2</v>
      </c>
      <c r="AD701" s="33"/>
      <c r="AE701" s="33">
        <f t="shared" ref="AE701" si="1042">+AA701/BW701</f>
        <v>1207.599710982659</v>
      </c>
      <c r="AF701" s="50"/>
      <c r="AG701" s="33"/>
      <c r="AH701" s="33"/>
      <c r="AI701" s="213"/>
      <c r="AJ701" s="50"/>
      <c r="AL701" s="23">
        <f t="shared" ref="AL701" si="104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44">+AL701/AP700</f>
        <v>7.9672193567635573E-3</v>
      </c>
      <c r="AS701" s="25"/>
      <c r="AT701" s="25"/>
      <c r="AU701" s="24"/>
      <c r="AV701" s="298">
        <f t="shared" ref="AV701" si="1045">+AP701/H701</f>
        <v>0.70725627765724408</v>
      </c>
      <c r="AW701" s="298"/>
      <c r="AX701" s="24">
        <f t="shared" ref="AX701" si="1046">+AP701/BW701</f>
        <v>71123.343930635834</v>
      </c>
      <c r="AY701" s="308"/>
      <c r="BA701" s="65">
        <f t="shared" ref="BA701" si="1047">+BC701-BC700</f>
        <v>2083737</v>
      </c>
      <c r="BB701" s="66"/>
      <c r="BC701" s="66">
        <v>922130734</v>
      </c>
      <c r="BD701" s="66"/>
      <c r="BE701" s="66">
        <f t="shared" ref="BE701" si="1048">+D701</f>
        <v>227458</v>
      </c>
      <c r="BF701" s="66"/>
      <c r="BG701" s="144">
        <f t="shared" ref="BG701" si="104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50">+BC701/BW701</f>
        <v>1332558.8641618497</v>
      </c>
      <c r="BO701" s="66"/>
      <c r="BP701" s="66">
        <f t="shared" ref="BP701" si="1051">+BP700+BE701</f>
        <v>68682159</v>
      </c>
      <c r="BQ701" s="66"/>
      <c r="BR701" s="435">
        <f t="shared" ref="BR701" si="1052">+BP701/BC701</f>
        <v>7.4482019162371835E-2</v>
      </c>
      <c r="BS701" s="66"/>
      <c r="BT701" s="75"/>
      <c r="BU701" s="170"/>
      <c r="BV701" s="1"/>
      <c r="BW701" s="61">
        <f t="shared" si="407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53">+H701+D702</f>
        <v>69768374</v>
      </c>
      <c r="I702" s="16"/>
      <c r="J702" s="436">
        <f t="shared" ref="J702" si="1054">+D702/H701</f>
        <v>2.5756462535237359E-3</v>
      </c>
      <c r="K702" s="16"/>
      <c r="L702" s="16"/>
      <c r="M702" s="16"/>
      <c r="N702" s="16">
        <f t="shared" ref="N702" si="1055">SUM(D696:D702)</f>
        <v>1198671</v>
      </c>
      <c r="O702" s="16">
        <f t="shared" ref="O702" si="1056">+H702/BW702</f>
        <v>100675.86435786435</v>
      </c>
      <c r="P702" s="41"/>
      <c r="Q702" s="17">
        <f t="shared" ref="Q702" si="1057">SUM(D696:D702)</f>
        <v>1198671</v>
      </c>
      <c r="R702" s="16"/>
      <c r="S702" s="60">
        <f t="shared" ref="S702" si="1058">+(Q702-Q695)/Q695</f>
        <v>-0.40256196320486137</v>
      </c>
      <c r="T702" s="16"/>
      <c r="U702" s="41"/>
      <c r="V702" s="10">
        <f t="shared" si="568"/>
        <v>594</v>
      </c>
      <c r="W702" s="34">
        <v>2465</v>
      </c>
      <c r="X702" s="33">
        <v>4256</v>
      </c>
      <c r="Y702" s="33"/>
      <c r="Z702" s="33">
        <f t="shared" ref="Z702" si="1059">SUM(W697:W702)</f>
        <v>10832</v>
      </c>
      <c r="AA702" s="33">
        <f t="shared" ref="AA702" si="1060">+AA701+W702</f>
        <v>838124</v>
      </c>
      <c r="AB702" s="33"/>
      <c r="AC702" s="46">
        <f t="shared" ref="AC702" si="1061">+AA702/H702</f>
        <v>1.201295016564382E-2</v>
      </c>
      <c r="AD702" s="33"/>
      <c r="AE702" s="33">
        <f t="shared" ref="AE702" si="1062">+AA702/BW702</f>
        <v>1209.4141414141413</v>
      </c>
      <c r="AF702" s="50"/>
      <c r="AG702" s="33"/>
      <c r="AH702" s="33"/>
      <c r="AI702" s="213"/>
      <c r="AJ702" s="50"/>
      <c r="AL702" s="23">
        <f t="shared" ref="AL702" si="106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64">+AL702/AP701</f>
        <v>4.4330704978573212E-3</v>
      </c>
      <c r="AS702" s="25"/>
      <c r="AT702" s="25"/>
      <c r="AU702" s="24"/>
      <c r="AV702" s="298">
        <f t="shared" ref="AV702" si="1065">+AP702/H702</f>
        <v>0.70856657774481024</v>
      </c>
      <c r="AW702" s="298"/>
      <c r="AX702" s="24">
        <f t="shared" ref="AX702" si="1066">+AP702/BW702</f>
        <v>71335.552669552664</v>
      </c>
      <c r="AY702" s="308"/>
      <c r="BA702" s="65">
        <f t="shared" ref="BA702" si="1067">+BC702-BC701</f>
        <v>1860219</v>
      </c>
      <c r="BB702" s="66"/>
      <c r="BC702" s="66">
        <v>923990953</v>
      </c>
      <c r="BD702" s="66"/>
      <c r="BE702" s="66">
        <f t="shared" ref="BE702" si="1068">+D702</f>
        <v>179237</v>
      </c>
      <c r="BF702" s="66"/>
      <c r="BG702" s="144">
        <f t="shared" ref="BG702" si="106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70">+BC702/BW702</f>
        <v>1333320.2784992785</v>
      </c>
      <c r="BO702" s="66"/>
      <c r="BP702" s="66">
        <f t="shared" ref="BP702" si="1071">+BP701+BE702</f>
        <v>68861396</v>
      </c>
      <c r="BQ702" s="66"/>
      <c r="BR702" s="435">
        <f t="shared" ref="BR702" si="1072">+BP702/BC702</f>
        <v>7.4526050040232369E-2</v>
      </c>
      <c r="BS702" s="66"/>
      <c r="BT702" s="75"/>
      <c r="BU702" s="170"/>
      <c r="BV702" s="1"/>
      <c r="BW702" s="61">
        <f t="shared" si="407"/>
        <v>693</v>
      </c>
      <c r="BZ702" s="1"/>
      <c r="CA702" s="61"/>
    </row>
    <row r="703" spans="2:85" x14ac:dyDescent="0.3">
      <c r="B703" s="158">
        <f t="shared" ref="B703:B770" si="1073">1+B702</f>
        <v>44603</v>
      </c>
      <c r="C703" s="61"/>
      <c r="D703" s="17">
        <v>149318</v>
      </c>
      <c r="E703" s="16"/>
      <c r="F703" s="16"/>
      <c r="G703" s="16"/>
      <c r="H703" s="16">
        <f t="shared" ref="H703" si="1074">+H702+D703</f>
        <v>69917692</v>
      </c>
      <c r="I703" s="16"/>
      <c r="J703" s="436">
        <f t="shared" ref="J703" si="1075">+D703/H702</f>
        <v>2.1401960722203443E-3</v>
      </c>
      <c r="K703" s="16"/>
      <c r="L703" s="16"/>
      <c r="M703" s="16"/>
      <c r="N703" s="16">
        <f t="shared" ref="N703" si="1076">SUM(D697:D703)</f>
        <v>1044716</v>
      </c>
      <c r="O703" s="16">
        <f t="shared" ref="O703" si="1077">+H703/BW703</f>
        <v>100745.95389048991</v>
      </c>
      <c r="P703" s="41"/>
      <c r="Q703" s="17">
        <f t="shared" ref="Q703" si="1078">SUM(D697:D703)</f>
        <v>1044716</v>
      </c>
      <c r="R703" s="16"/>
      <c r="S703" s="60">
        <f t="shared" ref="S703" si="1079">+(Q703-Q696)/Q696</f>
        <v>-0.41548627138321237</v>
      </c>
      <c r="T703" s="16"/>
      <c r="U703" s="41"/>
      <c r="V703" s="10">
        <f t="shared" si="568"/>
        <v>595</v>
      </c>
      <c r="W703" s="34">
        <v>1917</v>
      </c>
      <c r="X703" s="33">
        <v>4256</v>
      </c>
      <c r="Y703" s="33"/>
      <c r="Z703" s="33">
        <f t="shared" ref="Z703" si="1080">SUM(W698:W703)</f>
        <v>11698</v>
      </c>
      <c r="AA703" s="33">
        <f t="shared" ref="AA703" si="1081">+AA702+W703</f>
        <v>840041</v>
      </c>
      <c r="AB703" s="33"/>
      <c r="AC703" s="46">
        <f t="shared" ref="AC703" si="1082">+AA703/H703</f>
        <v>1.2014712957058136E-2</v>
      </c>
      <c r="AD703" s="33"/>
      <c r="AE703" s="33">
        <f t="shared" ref="AE703" si="1083">+AA703/BW703</f>
        <v>1210.4337175792507</v>
      </c>
      <c r="AF703" s="50"/>
      <c r="AG703" s="33"/>
      <c r="AH703" s="33"/>
      <c r="AI703" s="213"/>
      <c r="AJ703" s="50"/>
      <c r="AL703" s="23">
        <f t="shared" ref="AL703" si="108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85">+AL703/AP702</f>
        <v>3.8649523749493733E-3</v>
      </c>
      <c r="AS703" s="25"/>
      <c r="AT703" s="25"/>
      <c r="AU703" s="24"/>
      <c r="AV703" s="298">
        <f t="shared" ref="AV703" si="1086">+AP703/H703</f>
        <v>0.70978607245788372</v>
      </c>
      <c r="AW703" s="298"/>
      <c r="AX703" s="24">
        <f t="shared" ref="AX703" si="1087">+AP703/BW703</f>
        <v>71508.074927953887</v>
      </c>
      <c r="AY703" s="308"/>
      <c r="BA703" s="65">
        <f t="shared" ref="BA703" si="1088">+BC703-BC702</f>
        <v>1711680</v>
      </c>
      <c r="BB703" s="66"/>
      <c r="BC703" s="66">
        <v>925702633</v>
      </c>
      <c r="BD703" s="66"/>
      <c r="BE703" s="66">
        <f t="shared" ref="BE703" si="1089">+D703</f>
        <v>149318</v>
      </c>
      <c r="BF703" s="66"/>
      <c r="BG703" s="144">
        <f t="shared" ref="BG703" si="109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91">+BC703/BW703</f>
        <v>1333865.4654178675</v>
      </c>
      <c r="BO703" s="66"/>
      <c r="BP703" s="66">
        <f t="shared" ref="BP703" si="1092">+BP702+BE703</f>
        <v>69010714</v>
      </c>
      <c r="BQ703" s="66"/>
      <c r="BR703" s="435">
        <f t="shared" ref="BR703" si="1093">+BP703/BC703</f>
        <v>7.4549549217929043E-2</v>
      </c>
      <c r="BS703" s="66"/>
      <c r="BT703" s="75"/>
      <c r="BU703" s="170"/>
      <c r="BV703" s="1"/>
      <c r="BW703" s="61">
        <f t="shared" si="407"/>
        <v>694</v>
      </c>
      <c r="BZ703" s="1"/>
      <c r="CA703" s="61"/>
    </row>
    <row r="704" spans="2:85" x14ac:dyDescent="0.3">
      <c r="B704" s="158">
        <f t="shared" si="1073"/>
        <v>44604</v>
      </c>
      <c r="C704" s="61"/>
      <c r="D704" s="17">
        <v>59579</v>
      </c>
      <c r="E704" s="16"/>
      <c r="F704" s="16"/>
      <c r="G704" s="16"/>
      <c r="H704" s="16">
        <f t="shared" ref="H704" si="1094">+H703+D704</f>
        <v>69977271</v>
      </c>
      <c r="I704" s="16"/>
      <c r="J704" s="436">
        <f t="shared" ref="J704" si="1095">+D704/H703</f>
        <v>8.5213053085333534E-4</v>
      </c>
      <c r="K704" s="16"/>
      <c r="L704" s="16"/>
      <c r="M704" s="16"/>
      <c r="N704" s="16">
        <f t="shared" ref="N704" si="1096">SUM(D698:D704)</f>
        <v>999273</v>
      </c>
      <c r="O704" s="16">
        <f t="shared" ref="O704" si="1097">+H704/BW704</f>
        <v>100686.72086330935</v>
      </c>
      <c r="P704" s="41"/>
      <c r="Q704" s="17">
        <f t="shared" ref="Q704" si="1098">SUM(D698:D704)</f>
        <v>999273</v>
      </c>
      <c r="R704" s="16"/>
      <c r="S704" s="60">
        <f t="shared" ref="S704" si="1099">+(Q704-Q697)/Q697</f>
        <v>-0.41230263262364297</v>
      </c>
      <c r="T704" s="16"/>
      <c r="U704" s="41"/>
      <c r="V704" s="10">
        <f t="shared" si="568"/>
        <v>596</v>
      </c>
      <c r="W704" s="34">
        <v>873</v>
      </c>
      <c r="X704" s="33">
        <v>4256</v>
      </c>
      <c r="Y704" s="33"/>
      <c r="Z704" s="33">
        <f t="shared" ref="Z704" si="1100">SUM(W699:W704)</f>
        <v>12197</v>
      </c>
      <c r="AA704" s="33">
        <f t="shared" ref="AA704" si="1101">+AA703+W704</f>
        <v>840914</v>
      </c>
      <c r="AB704" s="33"/>
      <c r="AC704" s="46">
        <f t="shared" ref="AC704" si="1102">+AA704/H704</f>
        <v>1.2016959049460502E-2</v>
      </c>
      <c r="AD704" s="33"/>
      <c r="AE704" s="33">
        <f t="shared" ref="AE704" si="1103">+AA704/BW704</f>
        <v>1209.9482014388489</v>
      </c>
      <c r="AF704" s="50"/>
      <c r="AG704" s="33"/>
      <c r="AH704" s="33"/>
      <c r="AI704" s="213"/>
      <c r="AJ704" s="50"/>
      <c r="AL704" s="23">
        <f t="shared" ref="AL704" si="110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105">+AL704/AP703</f>
        <v>2.6757825298704702E-3</v>
      </c>
      <c r="AS704" s="25"/>
      <c r="AT704" s="25"/>
      <c r="AU704" s="24"/>
      <c r="AV704" s="298">
        <f t="shared" ref="AV704" si="1106">+AP704/H704</f>
        <v>0.7110793731867594</v>
      </c>
      <c r="AW704" s="298"/>
      <c r="AX704" s="24">
        <f t="shared" ref="AX704" si="1107">+AP704/BW704</f>
        <v>71596.250359712227</v>
      </c>
      <c r="AY704" s="308"/>
      <c r="BA704" s="65">
        <f t="shared" ref="BA704" si="1108">+BC704-BC703</f>
        <v>535429</v>
      </c>
      <c r="BB704" s="66"/>
      <c r="BC704" s="66">
        <v>926238062</v>
      </c>
      <c r="BD704" s="66"/>
      <c r="BE704" s="66">
        <f t="shared" ref="BE704" si="1109">+D704</f>
        <v>59579</v>
      </c>
      <c r="BF704" s="66"/>
      <c r="BG704" s="144">
        <f t="shared" ref="BG704" si="111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11">+BC704/BW704</f>
        <v>1332716.635971223</v>
      </c>
      <c r="BO704" s="66"/>
      <c r="BP704" s="66">
        <f t="shared" ref="BP704" si="1112">+BP703+BE704</f>
        <v>69070293</v>
      </c>
      <c r="BQ704" s="66"/>
      <c r="BR704" s="435">
        <f t="shared" ref="BR704" si="1113">+BP704/BC704</f>
        <v>7.4570778111685929E-2</v>
      </c>
      <c r="BS704" s="66"/>
      <c r="BT704" s="75"/>
      <c r="BU704" s="170"/>
      <c r="BV704" s="1"/>
      <c r="BW704" s="61">
        <f t="shared" si="407"/>
        <v>695</v>
      </c>
      <c r="BZ704" s="1"/>
      <c r="CA704" s="61"/>
    </row>
    <row r="705" spans="2:79" x14ac:dyDescent="0.3">
      <c r="B705" s="347">
        <f t="shared" si="1073"/>
        <v>44605</v>
      </c>
      <c r="C705" s="61"/>
      <c r="D705" s="17">
        <v>31652</v>
      </c>
      <c r="E705" s="16"/>
      <c r="F705" s="16"/>
      <c r="G705" s="16"/>
      <c r="H705" s="16">
        <f t="shared" ref="H705" si="1114">+H704+D705</f>
        <v>70008923</v>
      </c>
      <c r="I705" s="16"/>
      <c r="J705" s="436">
        <f t="shared" ref="J705" si="1115">+D705/H704</f>
        <v>4.5231829632224441E-4</v>
      </c>
      <c r="K705" s="16"/>
      <c r="L705" s="16"/>
      <c r="M705" s="16"/>
      <c r="N705" s="16">
        <f t="shared" ref="N705" si="1116">SUM(D699:D705)</f>
        <v>980214</v>
      </c>
      <c r="O705" s="16">
        <f t="shared" ref="O705" si="1117">+H705/BW705</f>
        <v>100587.533045977</v>
      </c>
      <c r="P705" s="41"/>
      <c r="Q705" s="17">
        <f t="shared" ref="Q705" si="1118">SUM(D699:D705)</f>
        <v>980214</v>
      </c>
      <c r="R705" s="16"/>
      <c r="S705" s="60">
        <f t="shared" ref="S705" si="1119">+(Q705-Q698)/Q698</f>
        <v>-0.38483137076716745</v>
      </c>
      <c r="T705" s="16"/>
      <c r="U705" s="41"/>
      <c r="V705" s="10">
        <f t="shared" si="568"/>
        <v>597</v>
      </c>
      <c r="W705" s="34">
        <v>467</v>
      </c>
      <c r="X705" s="33">
        <v>4256</v>
      </c>
      <c r="Y705" s="33"/>
      <c r="Z705" s="33">
        <f t="shared" ref="Z705" si="1120">SUM(W700:W705)</f>
        <v>11284</v>
      </c>
      <c r="AA705" s="33">
        <f t="shared" ref="AA705" si="1121">+AA704+W705</f>
        <v>841381</v>
      </c>
      <c r="AB705" s="33"/>
      <c r="AC705" s="46">
        <f t="shared" ref="AC705" si="1122">+AA705/H705</f>
        <v>1.2018196594739787E-2</v>
      </c>
      <c r="AD705" s="33"/>
      <c r="AE705" s="33">
        <f t="shared" ref="AE705" si="1123">+AA705/BW705</f>
        <v>1208.8807471264367</v>
      </c>
      <c r="AF705" s="50"/>
      <c r="AG705" s="33"/>
      <c r="AH705" s="33"/>
      <c r="AI705" s="213"/>
      <c r="AJ705" s="50"/>
      <c r="AL705" s="23">
        <f t="shared" ref="AL705" si="112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25">+AL705/AP704</f>
        <v>1.5574747554200519E-3</v>
      </c>
      <c r="AS705" s="25"/>
      <c r="AT705" s="25"/>
      <c r="AU705" s="24"/>
      <c r="AV705" s="298">
        <f t="shared" ref="AV705" si="1126">+AP705/H705</f>
        <v>0.7118648718535493</v>
      </c>
      <c r="AW705" s="298"/>
      <c r="AX705" s="24">
        <f t="shared" ref="AX705" si="1127">+AP705/BW705</f>
        <v>71604.731321839077</v>
      </c>
      <c r="AY705" s="308"/>
      <c r="BA705" s="65">
        <f t="shared" ref="BA705" si="1128">+BC705-BC704</f>
        <v>407001</v>
      </c>
      <c r="BB705" s="66"/>
      <c r="BC705" s="66">
        <v>926645063</v>
      </c>
      <c r="BD705" s="66"/>
      <c r="BE705" s="66">
        <f t="shared" ref="BE705" si="1129">+D705</f>
        <v>31652</v>
      </c>
      <c r="BF705" s="66"/>
      <c r="BG705" s="144">
        <f t="shared" ref="BG705" si="113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31">+BC705/BW705</f>
        <v>1331386.5847701149</v>
      </c>
      <c r="BO705" s="66"/>
      <c r="BP705" s="66">
        <f t="shared" ref="BP705" si="1132">+BP704+BE705</f>
        <v>69101945</v>
      </c>
      <c r="BQ705" s="66"/>
      <c r="BR705" s="435">
        <f t="shared" ref="BR705" si="1133">+BP705/BC705</f>
        <v>7.4572182768970305E-2</v>
      </c>
      <c r="BS705" s="66"/>
      <c r="BT705" s="75"/>
      <c r="BU705" s="170"/>
      <c r="BV705" s="1"/>
      <c r="BW705" s="61">
        <f t="shared" si="407"/>
        <v>696</v>
      </c>
      <c r="BZ705" s="1"/>
      <c r="CA705" s="61"/>
    </row>
    <row r="706" spans="2:79" x14ac:dyDescent="0.3">
      <c r="B706" s="158">
        <f t="shared" si="1073"/>
        <v>44606</v>
      </c>
      <c r="C706" s="61"/>
      <c r="D706" s="17">
        <v>80842</v>
      </c>
      <c r="E706" s="16"/>
      <c r="F706" s="16"/>
      <c r="G706" s="16"/>
      <c r="H706" s="16">
        <f t="shared" ref="H706" si="1134">+H705+D706</f>
        <v>70089765</v>
      </c>
      <c r="I706" s="16"/>
      <c r="J706" s="436">
        <f t="shared" ref="J706" si="1135">+D706/H705</f>
        <v>1.1547385181171835E-3</v>
      </c>
      <c r="K706" s="16"/>
      <c r="L706" s="16"/>
      <c r="M706" s="16"/>
      <c r="N706" s="16">
        <f t="shared" ref="N706" si="1136">SUM(D700:D706)</f>
        <v>907255</v>
      </c>
      <c r="O706" s="16">
        <f t="shared" ref="O706" si="1137">+H706/BW706</f>
        <v>100559.20373027259</v>
      </c>
      <c r="P706" s="41"/>
      <c r="Q706" s="17">
        <f t="shared" ref="Q706" si="1138">SUM(D700:D706)</f>
        <v>907255</v>
      </c>
      <c r="R706" s="16"/>
      <c r="S706" s="60">
        <f t="shared" ref="S706" si="1139">+(Q706-Q699)/Q699</f>
        <v>-0.38405246099303297</v>
      </c>
      <c r="T706" s="16"/>
      <c r="U706" s="41"/>
      <c r="V706" s="10">
        <f t="shared" si="568"/>
        <v>598</v>
      </c>
      <c r="W706" s="34">
        <v>949</v>
      </c>
      <c r="X706" s="33">
        <v>4256</v>
      </c>
      <c r="Y706" s="33"/>
      <c r="Z706" s="33">
        <f t="shared" ref="Z706" si="1140">SUM(W701:W706)</f>
        <v>9456</v>
      </c>
      <c r="AA706" s="33">
        <f t="shared" ref="AA706" si="1141">+AA705+W706</f>
        <v>842330</v>
      </c>
      <c r="AB706" s="33"/>
      <c r="AC706" s="46">
        <f t="shared" ref="AC706" si="1142">+AA706/H706</f>
        <v>1.2017874507069613E-2</v>
      </c>
      <c r="AD706" s="33"/>
      <c r="AE706" s="33">
        <f t="shared" ref="AE706" si="1143">+AA706/BW706</f>
        <v>1208.5078909612625</v>
      </c>
      <c r="AF706" s="50"/>
      <c r="AG706" s="33"/>
      <c r="AH706" s="33"/>
      <c r="AI706" s="213"/>
      <c r="AJ706" s="50"/>
      <c r="AL706" s="23">
        <f t="shared" ref="AL706" si="114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45">+AL706/AP705</f>
        <v>7.4547985966942204E-3</v>
      </c>
      <c r="AS706" s="25"/>
      <c r="AT706" s="25"/>
      <c r="AU706" s="24"/>
      <c r="AV706" s="298">
        <f t="shared" ref="AV706" si="1146">+AP706/H706</f>
        <v>0.71634449052582783</v>
      </c>
      <c r="AW706" s="298"/>
      <c r="AX706" s="24">
        <f t="shared" ref="AX706" si="1147">+AP706/BW706</f>
        <v>72035.031563845056</v>
      </c>
      <c r="AY706" s="308"/>
      <c r="BA706" s="65">
        <f t="shared" ref="BA706" si="1148">+BC706-BC705</f>
        <v>2520306</v>
      </c>
      <c r="BB706" s="66"/>
      <c r="BC706" s="66">
        <v>929165369</v>
      </c>
      <c r="BD706" s="66"/>
      <c r="BE706" s="66">
        <f t="shared" ref="BE706" si="1149">+D706</f>
        <v>80842</v>
      </c>
      <c r="BF706" s="66"/>
      <c r="BG706" s="144">
        <f t="shared" ref="BG706" si="115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51">+BC706/BW706</f>
        <v>1333092.3515064563</v>
      </c>
      <c r="BO706" s="66"/>
      <c r="BP706" s="66">
        <f t="shared" ref="BP706" si="1152">+BP705+BE706</f>
        <v>69182787</v>
      </c>
      <c r="BQ706" s="66"/>
      <c r="BR706" s="435">
        <f t="shared" ref="BR706" si="1153">+BP706/BC706</f>
        <v>7.4456915107002877E-2</v>
      </c>
      <c r="BS706" s="66"/>
      <c r="BT706" s="75"/>
      <c r="BU706" s="170"/>
      <c r="BV706" s="1"/>
      <c r="BW706" s="61">
        <f t="shared" si="407"/>
        <v>697</v>
      </c>
      <c r="BZ706" s="1"/>
      <c r="CA706" s="61"/>
    </row>
    <row r="707" spans="2:79" x14ac:dyDescent="0.3">
      <c r="B707" s="158">
        <f t="shared" si="1073"/>
        <v>44607</v>
      </c>
      <c r="C707" s="61"/>
      <c r="D707" s="17">
        <v>97867</v>
      </c>
      <c r="E707" s="16"/>
      <c r="F707" s="16"/>
      <c r="G707" s="16"/>
      <c r="H707" s="16">
        <f t="shared" ref="H707" si="1154">+H706+D707</f>
        <v>70187632</v>
      </c>
      <c r="I707" s="16"/>
      <c r="J707" s="436">
        <f t="shared" ref="J707" si="1155">+D707/H706</f>
        <v>1.396309432625434E-3</v>
      </c>
      <c r="K707" s="16"/>
      <c r="L707" s="16"/>
      <c r="M707" s="16"/>
      <c r="N707" s="16">
        <f t="shared" ref="N707" si="1156">SUM(D701:D707)</f>
        <v>825953</v>
      </c>
      <c r="O707" s="16">
        <f t="shared" ref="O707" si="1157">+H707/BW707</f>
        <v>100555.34670487106</v>
      </c>
      <c r="P707" s="41"/>
      <c r="Q707" s="17">
        <f t="shared" ref="Q707" si="1158">SUM(D701:D707)</f>
        <v>825953</v>
      </c>
      <c r="R707" s="16"/>
      <c r="S707" s="60">
        <f t="shared" ref="S707" si="1159">+(Q707-Q700)/Q700</f>
        <v>-0.38824957578693281</v>
      </c>
      <c r="T707" s="16"/>
      <c r="U707" s="41"/>
      <c r="V707" s="10">
        <f t="shared" si="568"/>
        <v>599</v>
      </c>
      <c r="W707" s="34">
        <v>2223</v>
      </c>
      <c r="X707" s="33">
        <v>4256</v>
      </c>
      <c r="Y707" s="33"/>
      <c r="Z707" s="33">
        <f t="shared" ref="Z707" si="1160">SUM(W702:W707)</f>
        <v>8894</v>
      </c>
      <c r="AA707" s="33">
        <f t="shared" ref="AA707" si="1161">+AA706+W707</f>
        <v>844553</v>
      </c>
      <c r="AB707" s="33"/>
      <c r="AC707" s="46">
        <f t="shared" ref="AC707" si="1162">+AA707/H707</f>
        <v>1.2032789480631004E-2</v>
      </c>
      <c r="AD707" s="33"/>
      <c r="AE707" s="33">
        <f t="shared" ref="AE707" si="1163">+AA707/BW707</f>
        <v>1209.961318051576</v>
      </c>
      <c r="AF707" s="50"/>
      <c r="AG707" s="33"/>
      <c r="AH707" s="33"/>
      <c r="AI707" s="213"/>
      <c r="AJ707" s="50"/>
      <c r="AL707" s="23">
        <f t="shared" ref="AL707" si="116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65">+AL707/AP706</f>
        <v>7.102992313021938E-3</v>
      </c>
      <c r="AS707" s="25"/>
      <c r="AT707" s="25"/>
      <c r="AU707" s="24"/>
      <c r="AV707" s="298">
        <f t="shared" ref="AV707" si="1166">+AP707/H707</f>
        <v>0.72042674128114192</v>
      </c>
      <c r="AW707" s="298"/>
      <c r="AX707" s="24">
        <f t="shared" ref="AX707" si="1167">+AP707/BW707</f>
        <v>72442.760744985673</v>
      </c>
      <c r="AY707" s="308"/>
      <c r="BA707" s="65">
        <f t="shared" ref="BA707" si="1168">+BC707-BC706</f>
        <v>3722812</v>
      </c>
      <c r="BB707" s="66"/>
      <c r="BC707" s="66">
        <v>932888181</v>
      </c>
      <c r="BD707" s="66"/>
      <c r="BE707" s="66">
        <f t="shared" ref="BE707" si="1169">+D707</f>
        <v>97867</v>
      </c>
      <c r="BF707" s="66"/>
      <c r="BG707" s="144">
        <f t="shared" ref="BG707" si="117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71">+BC707/BW707</f>
        <v>1336516.0186246419</v>
      </c>
      <c r="BO707" s="66"/>
      <c r="BP707" s="66">
        <f t="shared" ref="BP707" si="1172">+BP706+BE707</f>
        <v>69280654</v>
      </c>
      <c r="BQ707" s="66"/>
      <c r="BR707" s="435">
        <f t="shared" ref="BR707" si="1173">+BP707/BC707</f>
        <v>7.4264692608427413E-2</v>
      </c>
      <c r="BS707" s="66"/>
      <c r="BT707" s="75"/>
      <c r="BU707" s="170"/>
      <c r="BV707" s="1"/>
      <c r="BW707" s="61">
        <f t="shared" si="407"/>
        <v>698</v>
      </c>
      <c r="BZ707" s="1"/>
      <c r="CA707" s="61"/>
    </row>
    <row r="708" spans="2:79" x14ac:dyDescent="0.3">
      <c r="B708" s="158">
        <f t="shared" si="1073"/>
        <v>44608</v>
      </c>
      <c r="C708" s="61"/>
      <c r="D708" s="17">
        <v>114668</v>
      </c>
      <c r="E708" s="16"/>
      <c r="F708" s="16"/>
      <c r="G708" s="16"/>
      <c r="H708" s="16">
        <f t="shared" ref="H708" si="1174">+H707+D708</f>
        <v>70302300</v>
      </c>
      <c r="I708" s="16"/>
      <c r="J708" s="436">
        <f t="shared" ref="J708" si="1175">+D708/H707</f>
        <v>1.6337351287189744E-3</v>
      </c>
      <c r="K708" s="16"/>
      <c r="L708" s="16"/>
      <c r="M708" s="16"/>
      <c r="N708" s="16">
        <f t="shared" ref="N708" si="1176">SUM(D702:D708)</f>
        <v>713163</v>
      </c>
      <c r="O708" s="16">
        <f t="shared" ref="O708" si="1177">+H708/BW708</f>
        <v>100575.5364806867</v>
      </c>
      <c r="P708" s="41"/>
      <c r="Q708" s="17">
        <f t="shared" ref="Q708" si="1178">SUM(D702:D708)</f>
        <v>713163</v>
      </c>
      <c r="R708" s="16"/>
      <c r="S708" s="60">
        <f t="shared" ref="S708" si="1179">+(Q708-Q701)/Q701</f>
        <v>-0.44084417152516647</v>
      </c>
      <c r="T708" s="16"/>
      <c r="U708" s="41"/>
      <c r="V708" s="10">
        <f t="shared" si="568"/>
        <v>600</v>
      </c>
      <c r="W708" s="34">
        <v>2802</v>
      </c>
      <c r="X708" s="33">
        <v>4256</v>
      </c>
      <c r="Y708" s="33"/>
      <c r="Z708" s="33">
        <f t="shared" ref="Z708" si="1180">SUM(W703:W708)</f>
        <v>9231</v>
      </c>
      <c r="AA708" s="33">
        <f t="shared" ref="AA708" si="1181">+AA707+W708</f>
        <v>847355</v>
      </c>
      <c r="AB708" s="33"/>
      <c r="AC708" s="46">
        <f t="shared" ref="AC708" si="1182">+AA708/H708</f>
        <v>1.2053019602488111E-2</v>
      </c>
      <c r="AD708" s="33"/>
      <c r="AE708" s="33">
        <f t="shared" ref="AE708" si="1183">+AA708/BW708</f>
        <v>1212.238912732475</v>
      </c>
      <c r="AF708" s="50"/>
      <c r="AG708" s="33"/>
      <c r="AH708" s="33"/>
      <c r="AI708" s="213"/>
      <c r="AJ708" s="50"/>
      <c r="AL708" s="23">
        <f t="shared" ref="AL708" si="118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85">+AL708/AP707</f>
        <v>5.0622517961864053E-3</v>
      </c>
      <c r="AS708" s="25"/>
      <c r="AT708" s="25"/>
      <c r="AU708" s="24"/>
      <c r="AV708" s="298">
        <f t="shared" ref="AV708" si="1186">+AP708/H708</f>
        <v>0.72289270763545432</v>
      </c>
      <c r="AW708" s="298"/>
      <c r="AX708" s="24">
        <f t="shared" ref="AX708" si="1187">+AP708/BW708</f>
        <v>72705.321888412014</v>
      </c>
      <c r="AY708" s="308"/>
      <c r="BA708" s="65">
        <f t="shared" ref="BA708" si="1188">+BC708-BC707</f>
        <v>1409493</v>
      </c>
      <c r="BB708" s="66"/>
      <c r="BC708" s="66">
        <v>934297674</v>
      </c>
      <c r="BD708" s="66"/>
      <c r="BE708" s="66">
        <f t="shared" ref="BE708" si="1189">+D708</f>
        <v>114668</v>
      </c>
      <c r="BF708" s="66"/>
      <c r="BG708" s="144">
        <f t="shared" ref="BG708" si="119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91">+BC708/BW708</f>
        <v>1336620.4206008583</v>
      </c>
      <c r="BO708" s="66"/>
      <c r="BP708" s="66">
        <f t="shared" ref="BP708" si="1192">+BP707+BE708</f>
        <v>69395322</v>
      </c>
      <c r="BQ708" s="66"/>
      <c r="BR708" s="435">
        <f t="shared" ref="BR708" si="1193">+BP708/BC708</f>
        <v>7.4275387739004481E-2</v>
      </c>
      <c r="BS708" s="66"/>
      <c r="BT708" s="75"/>
      <c r="BU708" s="170"/>
      <c r="BV708" s="1"/>
      <c r="BW708" s="61">
        <f t="shared" si="407"/>
        <v>699</v>
      </c>
      <c r="BZ708" s="1"/>
      <c r="CA708" s="61"/>
    </row>
    <row r="709" spans="2:79" x14ac:dyDescent="0.3">
      <c r="B709" s="158">
        <f t="shared" si="1073"/>
        <v>44609</v>
      </c>
      <c r="C709" s="61"/>
      <c r="D709" s="17">
        <v>103377</v>
      </c>
      <c r="E709" s="16"/>
      <c r="F709" s="16"/>
      <c r="G709" s="16"/>
      <c r="H709" s="16">
        <f t="shared" ref="H709" si="1194">+H708+D709</f>
        <v>70405677</v>
      </c>
      <c r="I709" s="16"/>
      <c r="J709" s="436">
        <f t="shared" ref="J709" si="1195">+D709/H708</f>
        <v>1.4704639819749852E-3</v>
      </c>
      <c r="K709" s="16"/>
      <c r="L709" s="16"/>
      <c r="M709" s="16"/>
      <c r="N709" s="16">
        <f t="shared" ref="N709" si="1196">SUM(D703:D709)</f>
        <v>637303</v>
      </c>
      <c r="O709" s="16">
        <f t="shared" ref="O709" si="1197">+H709/BW709</f>
        <v>100579.53857142857</v>
      </c>
      <c r="P709" s="41"/>
      <c r="Q709" s="17">
        <f t="shared" ref="Q709" si="1198">SUM(D703:D709)</f>
        <v>637303</v>
      </c>
      <c r="R709" s="16"/>
      <c r="S709" s="60">
        <f t="shared" ref="S709" si="1199">+(Q709-Q702)/Q702</f>
        <v>-0.46832533697736911</v>
      </c>
      <c r="T709" s="16"/>
      <c r="U709" s="41"/>
      <c r="V709" s="10">
        <f t="shared" si="568"/>
        <v>601</v>
      </c>
      <c r="W709" s="34">
        <v>2184</v>
      </c>
      <c r="X709" s="33">
        <v>4256</v>
      </c>
      <c r="Y709" s="33"/>
      <c r="Z709" s="33">
        <f t="shared" ref="Z709" si="1200">SUM(W704:W709)</f>
        <v>9498</v>
      </c>
      <c r="AA709" s="33">
        <f t="shared" ref="AA709" si="1201">+AA708+W709</f>
        <v>849539</v>
      </c>
      <c r="AB709" s="33"/>
      <c r="AC709" s="46">
        <f t="shared" ref="AC709" si="1202">+AA709/H709</f>
        <v>1.2066342320662579E-2</v>
      </c>
      <c r="AD709" s="33"/>
      <c r="AE709" s="33">
        <f t="shared" ref="AE709" si="1203">+AA709/BW709</f>
        <v>1213.6271428571429</v>
      </c>
      <c r="AF709" s="50"/>
      <c r="AG709" s="33"/>
      <c r="AH709" s="33"/>
      <c r="AI709" s="213"/>
      <c r="AJ709" s="50"/>
      <c r="AL709" s="23">
        <f t="shared" ref="AL709" si="120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205">+AL709/AP708</f>
        <v>3.901830384356709E-3</v>
      </c>
      <c r="AS709" s="25"/>
      <c r="AT709" s="25"/>
      <c r="AU709" s="24"/>
      <c r="AV709" s="298">
        <f t="shared" ref="AV709" si="1206">+AP709/H709</f>
        <v>0.72464774395962417</v>
      </c>
      <c r="AW709" s="298"/>
      <c r="AX709" s="24">
        <f t="shared" ref="AX709" si="1207">+AP709/BW709</f>
        <v>72884.735714285707</v>
      </c>
      <c r="AY709" s="308"/>
      <c r="BA709" s="65">
        <f t="shared" ref="BA709" si="1208">+BC709-BC708</f>
        <v>1582227</v>
      </c>
      <c r="BB709" s="66"/>
      <c r="BC709" s="66">
        <v>935879901</v>
      </c>
      <c r="BD709" s="66"/>
      <c r="BE709" s="66">
        <f t="shared" ref="BE709" si="1209">+D709</f>
        <v>103377</v>
      </c>
      <c r="BF709" s="66"/>
      <c r="BG709" s="144">
        <f t="shared" ref="BG709" si="121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11">+BC709/BW709</f>
        <v>1336971.2871428572</v>
      </c>
      <c r="BO709" s="66"/>
      <c r="BP709" s="66">
        <f t="shared" ref="BP709" si="1212">+BP708+BE709</f>
        <v>69498699</v>
      </c>
      <c r="BQ709" s="66"/>
      <c r="BR709" s="435">
        <f t="shared" ref="BR709" si="1213">+BP709/BC709</f>
        <v>7.4260275197426215E-2</v>
      </c>
      <c r="BS709" s="66"/>
      <c r="BT709" s="75"/>
      <c r="BU709" s="170"/>
      <c r="BV709" s="1"/>
      <c r="BW709" s="61">
        <f t="shared" si="407"/>
        <v>700</v>
      </c>
      <c r="BZ709" s="1"/>
      <c r="CA709" s="61"/>
    </row>
    <row r="710" spans="2:79" x14ac:dyDescent="0.3">
      <c r="B710" s="158">
        <f t="shared" si="1073"/>
        <v>44610</v>
      </c>
      <c r="C710" s="61"/>
      <c r="D710" s="17">
        <v>108480</v>
      </c>
      <c r="E710" s="16"/>
      <c r="F710" s="16"/>
      <c r="G710" s="16"/>
      <c r="H710" s="16">
        <f t="shared" ref="H710" si="1214">+H709+D710</f>
        <v>70514157</v>
      </c>
      <c r="I710" s="16"/>
      <c r="J710" s="436">
        <f t="shared" ref="J710" si="1215">+D710/H709</f>
        <v>1.540784843244956E-3</v>
      </c>
      <c r="K710" s="16"/>
      <c r="L710" s="16"/>
      <c r="M710" s="16"/>
      <c r="N710" s="16">
        <f t="shared" ref="N710" si="1216">SUM(D704:D710)</f>
        <v>596465</v>
      </c>
      <c r="O710" s="16">
        <f t="shared" ref="O710" si="1217">+H710/BW710</f>
        <v>100590.80884450785</v>
      </c>
      <c r="P710" s="41"/>
      <c r="Q710" s="17">
        <f t="shared" ref="Q710" si="1218">SUM(D704:D710)</f>
        <v>596465</v>
      </c>
      <c r="R710" s="16"/>
      <c r="S710" s="60">
        <f t="shared" ref="S710" si="1219">+(Q710-Q703)/Q703</f>
        <v>-0.42906493247925753</v>
      </c>
      <c r="T710" s="16"/>
      <c r="U710" s="41"/>
      <c r="V710" s="10">
        <f t="shared" si="568"/>
        <v>602</v>
      </c>
      <c r="W710" s="34">
        <v>2070</v>
      </c>
      <c r="X710" s="33">
        <v>4256</v>
      </c>
      <c r="Y710" s="33"/>
      <c r="Z710" s="33">
        <f t="shared" ref="Z710" si="1220">SUM(W705:W710)</f>
        <v>10695</v>
      </c>
      <c r="AA710" s="33">
        <f t="shared" ref="AA710" si="1221">+AA709+W710</f>
        <v>851609</v>
      </c>
      <c r="AB710" s="33"/>
      <c r="AC710" s="46">
        <f t="shared" ref="AC710" si="1222">+AA710/H710</f>
        <v>1.2077135092177305E-2</v>
      </c>
      <c r="AD710" s="33"/>
      <c r="AE710" s="33">
        <f t="shared" ref="AE710" si="1223">+AA710/BW710</f>
        <v>1214.848787446505</v>
      </c>
      <c r="AF710" s="50"/>
      <c r="AG710" s="33"/>
      <c r="AH710" s="33"/>
      <c r="AI710" s="213"/>
      <c r="AJ710" s="50"/>
      <c r="AL710" s="23">
        <f t="shared" ref="AL710" si="122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25">+AL710/AP709</f>
        <v>7.789755703305699E-3</v>
      </c>
      <c r="AS710" s="25"/>
      <c r="AT710" s="25"/>
      <c r="AU710" s="24"/>
      <c r="AV710" s="298">
        <f t="shared" ref="AV710" si="1226">+AP710/H710</f>
        <v>0.72916908018910298</v>
      </c>
      <c r="AW710" s="298"/>
      <c r="AX710" s="24">
        <f t="shared" ref="AX710" si="1227">+AP710/BW710</f>
        <v>73347.707560627678</v>
      </c>
      <c r="AY710" s="308"/>
      <c r="BA710" s="65">
        <f t="shared" ref="BA710" si="1228">+BC710-BC709</f>
        <v>1963474</v>
      </c>
      <c r="BB710" s="66"/>
      <c r="BC710" s="66">
        <v>937843375</v>
      </c>
      <c r="BD710" s="66"/>
      <c r="BE710" s="66">
        <f t="shared" ref="BE710" si="1229">+D710</f>
        <v>108480</v>
      </c>
      <c r="BF710" s="66"/>
      <c r="BG710" s="144">
        <f t="shared" ref="BG710" si="123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31">+BC710/BW710</f>
        <v>1337865.0142653352</v>
      </c>
      <c r="BO710" s="66"/>
      <c r="BP710" s="66">
        <f t="shared" ref="BP710" si="1232">+BP709+BE710</f>
        <v>69607179</v>
      </c>
      <c r="BQ710" s="66"/>
      <c r="BR710" s="435">
        <f t="shared" ref="BR710" si="1233">+BP710/BC710</f>
        <v>7.4220473114713845E-2</v>
      </c>
      <c r="BS710" s="66"/>
      <c r="BT710" s="75"/>
      <c r="BU710" s="170"/>
      <c r="BV710" s="1"/>
      <c r="BW710" s="61">
        <f t="shared" si="407"/>
        <v>701</v>
      </c>
      <c r="BZ710" s="1"/>
      <c r="CA710" s="61"/>
    </row>
    <row r="711" spans="2:79" x14ac:dyDescent="0.3">
      <c r="B711" s="158">
        <f t="shared" si="1073"/>
        <v>44611</v>
      </c>
      <c r="C711" s="61"/>
      <c r="D711" s="17">
        <v>41443</v>
      </c>
      <c r="E711" s="16"/>
      <c r="F711" s="16"/>
      <c r="G711" s="16"/>
      <c r="H711" s="16">
        <f t="shared" ref="H711" si="1234">+H710+D711</f>
        <v>70555600</v>
      </c>
      <c r="I711" s="16"/>
      <c r="J711" s="436">
        <f t="shared" ref="J711" si="1235">+D711/H710</f>
        <v>5.8772595125827006E-4</v>
      </c>
      <c r="K711" s="16"/>
      <c r="L711" s="16"/>
      <c r="M711" s="16"/>
      <c r="N711" s="16">
        <f t="shared" ref="N711" si="1236">SUM(D705:D711)</f>
        <v>578329</v>
      </c>
      <c r="O711" s="16">
        <f t="shared" ref="O711" si="1237">+H711/BW711</f>
        <v>100506.55270655271</v>
      </c>
      <c r="P711" s="41"/>
      <c r="Q711" s="17">
        <f t="shared" ref="Q711" si="1238">SUM(D705:D711)</f>
        <v>578329</v>
      </c>
      <c r="R711" s="16"/>
      <c r="S711" s="60">
        <f t="shared" ref="S711" si="1239">+(Q711-Q704)/Q704</f>
        <v>-0.42125024893097279</v>
      </c>
      <c r="T711" s="16"/>
      <c r="U711" s="41"/>
      <c r="V711" s="10">
        <f t="shared" si="568"/>
        <v>603</v>
      </c>
      <c r="W711" s="34">
        <v>715</v>
      </c>
      <c r="X711" s="33">
        <v>4256</v>
      </c>
      <c r="Y711" s="33"/>
      <c r="Z711" s="33">
        <f t="shared" ref="Z711" si="1240">SUM(W706:W711)</f>
        <v>10943</v>
      </c>
      <c r="AA711" s="33">
        <f t="shared" ref="AA711" si="1241">+AA710+W711</f>
        <v>852324</v>
      </c>
      <c r="AB711" s="33"/>
      <c r="AC711" s="46">
        <f t="shared" ref="AC711" si="1242">+AA711/H711</f>
        <v>1.2080175067606256E-2</v>
      </c>
      <c r="AD711" s="33"/>
      <c r="AE711" s="33">
        <f t="shared" ref="AE711" si="1243">+AA711/BW711</f>
        <v>1214.1367521367522</v>
      </c>
      <c r="AF711" s="50"/>
      <c r="AG711" s="33"/>
      <c r="AH711" s="33"/>
      <c r="AI711" s="213"/>
      <c r="AJ711" s="50"/>
      <c r="AL711" s="23">
        <f t="shared" ref="AL711" si="124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45">+AL711/AP710</f>
        <v>2.4915619412143627E-3</v>
      </c>
      <c r="AS711" s="25"/>
      <c r="AT711" s="25"/>
      <c r="AU711" s="24"/>
      <c r="AV711" s="298">
        <f t="shared" ref="AV711" si="1246">+AP711/H711</f>
        <v>0.73055648311402643</v>
      </c>
      <c r="AW711" s="298"/>
      <c r="AX711" s="24">
        <f t="shared" ref="AX711" si="1247">+AP711/BW711</f>
        <v>73425.713675213672</v>
      </c>
      <c r="AY711" s="308"/>
      <c r="BA711" s="65">
        <f t="shared" ref="BA711" si="1248">+BC711-BC710</f>
        <v>596804</v>
      </c>
      <c r="BB711" s="66"/>
      <c r="BC711" s="66">
        <v>938440179</v>
      </c>
      <c r="BD711" s="66"/>
      <c r="BE711" s="66">
        <f t="shared" ref="BE711" si="1249">+D711</f>
        <v>41443</v>
      </c>
      <c r="BF711" s="66"/>
      <c r="BG711" s="144">
        <f t="shared" ref="BG711" si="125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51">+BC711/BW711</f>
        <v>1336809.3717948718</v>
      </c>
      <c r="BO711" s="66"/>
      <c r="BP711" s="66">
        <f t="shared" ref="BP711" si="1252">+BP710+BE711</f>
        <v>69648622</v>
      </c>
      <c r="BQ711" s="66"/>
      <c r="BR711" s="435">
        <f t="shared" ref="BR711" si="1253">+BP711/BC711</f>
        <v>7.4217433948978437E-2</v>
      </c>
      <c r="BS711" s="66"/>
      <c r="BT711" s="75"/>
      <c r="BU711" s="170"/>
      <c r="BV711" s="1"/>
      <c r="BW711" s="61">
        <f t="shared" si="407"/>
        <v>702</v>
      </c>
      <c r="BZ711" s="1"/>
      <c r="CA711" s="61"/>
    </row>
    <row r="712" spans="2:79" x14ac:dyDescent="0.3">
      <c r="B712" s="347">
        <f t="shared" si="1073"/>
        <v>44612</v>
      </c>
      <c r="C712" s="61"/>
      <c r="D712" s="17">
        <v>15056</v>
      </c>
      <c r="E712" s="16"/>
      <c r="F712" s="16"/>
      <c r="G712" s="16"/>
      <c r="H712" s="16">
        <f t="shared" ref="H712" si="1254">+H711+D712</f>
        <v>70570656</v>
      </c>
      <c r="I712" s="16"/>
      <c r="J712" s="436">
        <f t="shared" ref="J712" si="1255">+D712/H711</f>
        <v>2.1339199156409979E-4</v>
      </c>
      <c r="K712" s="16"/>
      <c r="L712" s="16"/>
      <c r="M712" s="16"/>
      <c r="N712" s="16">
        <f t="shared" ref="N712" si="1256">SUM(D706:D712)</f>
        <v>561733</v>
      </c>
      <c r="O712" s="16">
        <f t="shared" ref="O712" si="1257">+H712/BW712</f>
        <v>100385.00142247511</v>
      </c>
      <c r="P712" s="41"/>
      <c r="Q712" s="17">
        <f t="shared" ref="Q712" si="1258">SUM(D706:D712)</f>
        <v>561733</v>
      </c>
      <c r="R712" s="16"/>
      <c r="S712" s="60">
        <f t="shared" ref="S712" si="1259">+(Q712-Q705)/Q705</f>
        <v>-0.42692820139275711</v>
      </c>
      <c r="T712" s="16"/>
      <c r="U712" s="41"/>
      <c r="V712" s="10">
        <f t="shared" si="568"/>
        <v>604</v>
      </c>
      <c r="W712" s="34">
        <v>282</v>
      </c>
      <c r="X712" s="33">
        <v>4256</v>
      </c>
      <c r="Y712" s="33"/>
      <c r="Z712" s="33">
        <f t="shared" ref="Z712" si="1260">SUM(W707:W712)</f>
        <v>10276</v>
      </c>
      <c r="AA712" s="33">
        <f t="shared" ref="AA712" si="1261">+AA711+W712</f>
        <v>852606</v>
      </c>
      <c r="AB712" s="33"/>
      <c r="AC712" s="46">
        <f t="shared" ref="AC712" si="1262">+AA712/H712</f>
        <v>1.2081593800119982E-2</v>
      </c>
      <c r="AD712" s="33"/>
      <c r="AE712" s="33">
        <f t="shared" ref="AE712" si="1263">+AA712/BW712</f>
        <v>1212.8108108108108</v>
      </c>
      <c r="AF712" s="50"/>
      <c r="AG712" s="33"/>
      <c r="AH712" s="33"/>
      <c r="AI712" s="213"/>
      <c r="AJ712" s="50"/>
      <c r="AL712" s="23">
        <f t="shared" ref="AL712" si="126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65">+AL712/AP711</f>
        <v>2.5046924667606468E-3</v>
      </c>
      <c r="AS712" s="25"/>
      <c r="AT712" s="25"/>
      <c r="AU712" s="24"/>
      <c r="AV712" s="298">
        <f t="shared" ref="AV712" si="1266">+AP712/H712</f>
        <v>0.73223005040508626</v>
      </c>
      <c r="AW712" s="298"/>
      <c r="AX712" s="24">
        <f t="shared" ref="AX712" si="1267">+AP712/BW712</f>
        <v>73504.9146514936</v>
      </c>
      <c r="AY712" s="308"/>
      <c r="BA712" s="65">
        <f t="shared" ref="BA712" si="1268">+BC712-BC711</f>
        <v>271012</v>
      </c>
      <c r="BB712" s="66"/>
      <c r="BC712" s="66">
        <v>938711191</v>
      </c>
      <c r="BD712" s="66"/>
      <c r="BE712" s="66">
        <f t="shared" ref="BE712" si="1269">+D712</f>
        <v>15056</v>
      </c>
      <c r="BF712" s="66"/>
      <c r="BG712" s="144">
        <f t="shared" ref="BG712" si="127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71">+BC712/BW712</f>
        <v>1335293.3015647226</v>
      </c>
      <c r="BO712" s="66"/>
      <c r="BP712" s="66">
        <f t="shared" ref="BP712" si="1272">+BP711+BE712</f>
        <v>69663678</v>
      </c>
      <c r="BQ712" s="66"/>
      <c r="BR712" s="435">
        <f t="shared" ref="BR712" si="1273">+BP712/BC712</f>
        <v>7.4212045907099455E-2</v>
      </c>
      <c r="BS712" s="66"/>
      <c r="BT712" s="75"/>
      <c r="BU712" s="170"/>
      <c r="BV712" s="1"/>
      <c r="BW712" s="61">
        <f t="shared" si="407"/>
        <v>703</v>
      </c>
      <c r="BZ712" s="1"/>
      <c r="CA712" s="61"/>
    </row>
    <row r="713" spans="2:79" x14ac:dyDescent="0.3">
      <c r="B713" s="158">
        <f t="shared" si="1073"/>
        <v>44613</v>
      </c>
      <c r="C713" s="61"/>
      <c r="D713" s="17">
        <v>27798</v>
      </c>
      <c r="E713" s="16"/>
      <c r="F713" s="16"/>
      <c r="G713" s="16"/>
      <c r="H713" s="16">
        <f t="shared" ref="H713" si="1274">+H712+D713</f>
        <v>70598454</v>
      </c>
      <c r="I713" s="16"/>
      <c r="J713" s="436">
        <f t="shared" ref="J713" si="1275">+D713/H712</f>
        <v>3.9390309762743313E-4</v>
      </c>
      <c r="K713" s="16"/>
      <c r="L713" s="16"/>
      <c r="M713" s="16"/>
      <c r="N713" s="16">
        <f t="shared" ref="N713" si="1276">SUM(D707:D713)</f>
        <v>508689</v>
      </c>
      <c r="O713" s="16">
        <f t="shared" ref="O713" si="1277">+H713/BW713</f>
        <v>100281.89488636363</v>
      </c>
      <c r="P713" s="41"/>
      <c r="Q713" s="17">
        <f t="shared" ref="Q713" si="1278">SUM(D707:D713)</f>
        <v>508689</v>
      </c>
      <c r="R713" s="16"/>
      <c r="S713" s="60">
        <f t="shared" ref="S713" si="1279">+(Q713-Q706)/Q706</f>
        <v>-0.43930978611305532</v>
      </c>
      <c r="T713" s="16"/>
      <c r="U713" s="41"/>
      <c r="V713" s="10">
        <f t="shared" si="568"/>
        <v>605</v>
      </c>
      <c r="W713" s="34">
        <v>294</v>
      </c>
      <c r="X713" s="33">
        <v>4256</v>
      </c>
      <c r="Y713" s="33"/>
      <c r="Z713" s="33">
        <f t="shared" ref="Z713" si="1280">SUM(W708:W713)</f>
        <v>8347</v>
      </c>
      <c r="AA713" s="33">
        <f t="shared" ref="AA713" si="1281">+AA712+W713</f>
        <v>852900</v>
      </c>
      <c r="AB713" s="33"/>
      <c r="AC713" s="46">
        <f t="shared" ref="AC713" si="1282">+AA713/H713</f>
        <v>1.2081001093876645E-2</v>
      </c>
      <c r="AD713" s="33"/>
      <c r="AE713" s="33">
        <f t="shared" ref="AE713" si="1283">+AA713/BW713</f>
        <v>1211.5056818181818</v>
      </c>
      <c r="AF713" s="50"/>
      <c r="AG713" s="33"/>
      <c r="AH713" s="33"/>
      <c r="AI713" s="213"/>
      <c r="AJ713" s="50"/>
      <c r="AL713" s="23">
        <f t="shared" ref="AL713" si="128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85">+AL713/AP712</f>
        <v>4.9403805069691302E-3</v>
      </c>
      <c r="AS713" s="25"/>
      <c r="AT713" s="25"/>
      <c r="AU713" s="24"/>
      <c r="AV713" s="298">
        <f t="shared" ref="AV713" si="1286">+AP713/H713</f>
        <v>0.73555780697407336</v>
      </c>
      <c r="AW713" s="298"/>
      <c r="AX713" s="24">
        <f t="shared" ref="AX713" si="1287">+AP713/BW713</f>
        <v>73763.130681818177</v>
      </c>
      <c r="AY713" s="308"/>
      <c r="BA713" s="65">
        <f t="shared" ref="BA713" si="1288">+BC713-BC712</f>
        <v>801897</v>
      </c>
      <c r="BB713" s="66"/>
      <c r="BC713" s="66">
        <v>939513088</v>
      </c>
      <c r="BD713" s="66"/>
      <c r="BE713" s="66">
        <f t="shared" ref="BE713" si="1289">+D713</f>
        <v>27798</v>
      </c>
      <c r="BF713" s="66"/>
      <c r="BG713" s="144">
        <f t="shared" ref="BG713" si="129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91">+BC713/BW713</f>
        <v>1334535.6363636365</v>
      </c>
      <c r="BO713" s="66"/>
      <c r="BP713" s="66">
        <f t="shared" ref="BP713" si="1292">+BP712+BE713</f>
        <v>69691476</v>
      </c>
      <c r="BQ713" s="66"/>
      <c r="BR713" s="435">
        <f t="shared" ref="BR713" si="1293">+BP713/BC713</f>
        <v>7.417829180895881E-2</v>
      </c>
      <c r="BS713" s="66"/>
      <c r="BT713" s="75"/>
      <c r="BU713" s="170"/>
      <c r="BV713" s="1"/>
      <c r="BW713" s="61">
        <f t="shared" si="407"/>
        <v>704</v>
      </c>
      <c r="BZ713" s="1"/>
      <c r="CA713" s="61"/>
    </row>
    <row r="714" spans="2:79" x14ac:dyDescent="0.3">
      <c r="B714" s="158">
        <f t="shared" si="1073"/>
        <v>44614</v>
      </c>
      <c r="C714" s="61"/>
      <c r="D714" s="17">
        <v>61863</v>
      </c>
      <c r="E714" s="16"/>
      <c r="F714" s="16"/>
      <c r="G714" s="16"/>
      <c r="H714" s="16">
        <f t="shared" ref="H714" si="1294">+H713+D714</f>
        <v>70660317</v>
      </c>
      <c r="I714" s="16"/>
      <c r="J714" s="436">
        <f t="shared" ref="J714" si="1295">+D714/H713</f>
        <v>8.762656474035536E-4</v>
      </c>
      <c r="K714" s="16"/>
      <c r="L714" s="16"/>
      <c r="M714" s="16"/>
      <c r="N714" s="16">
        <f t="shared" ref="N714" si="1296">SUM(D708:D714)</f>
        <v>472685</v>
      </c>
      <c r="O714" s="16">
        <f t="shared" ref="O714" si="1297">+H714/BW714</f>
        <v>100227.4</v>
      </c>
      <c r="P714" s="41"/>
      <c r="Q714" s="17">
        <f t="shared" ref="Q714" si="1298">SUM(D708:D714)</f>
        <v>472685</v>
      </c>
      <c r="R714" s="16"/>
      <c r="S714" s="60">
        <f t="shared" ref="S714" si="1299">+(Q714-Q707)/Q707</f>
        <v>-0.42770956700926083</v>
      </c>
      <c r="T714" s="16"/>
      <c r="U714" s="41"/>
      <c r="V714" s="10">
        <f t="shared" si="568"/>
        <v>606</v>
      </c>
      <c r="W714" s="34">
        <v>1558</v>
      </c>
      <c r="X714" s="33">
        <v>4256</v>
      </c>
      <c r="Y714" s="33"/>
      <c r="Z714" s="33">
        <f t="shared" ref="Z714" si="1300">SUM(W709:W714)</f>
        <v>7103</v>
      </c>
      <c r="AA714" s="33">
        <f t="shared" ref="AA714" si="1301">+AA713+W714</f>
        <v>854458</v>
      </c>
      <c r="AB714" s="33"/>
      <c r="AC714" s="46">
        <f t="shared" ref="AC714" si="1302">+AA714/H714</f>
        <v>1.2092473346815017E-2</v>
      </c>
      <c r="AD714" s="33"/>
      <c r="AE714" s="33">
        <f t="shared" ref="AE714" si="1303">+AA714/BW714</f>
        <v>1211.9971631205674</v>
      </c>
      <c r="AF714" s="50"/>
      <c r="AG714" s="33"/>
      <c r="AH714" s="33"/>
      <c r="AI714" s="213"/>
      <c r="AJ714" s="50"/>
      <c r="AL714" s="23">
        <f t="shared" ref="AL714" si="130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305">+AL714/AP713</f>
        <v>5.2106477806609314E-3</v>
      </c>
      <c r="AS714" s="25"/>
      <c r="AT714" s="25"/>
      <c r="AU714" s="24"/>
      <c r="AV714" s="298">
        <f t="shared" ref="AV714" si="1306">+AP714/H714</f>
        <v>0.7387432043363179</v>
      </c>
      <c r="AW714" s="298"/>
      <c r="AX714" s="24">
        <f t="shared" ref="AX714" si="1307">+AP714/BW714</f>
        <v>74042.310638297873</v>
      </c>
      <c r="AY714" s="308"/>
      <c r="BA714" s="65">
        <f t="shared" ref="BA714" si="1308">+BC714-BC713</f>
        <v>3304692</v>
      </c>
      <c r="BB714" s="66"/>
      <c r="BC714" s="66">
        <v>942817780</v>
      </c>
      <c r="BD714" s="66"/>
      <c r="BE714" s="66">
        <f t="shared" ref="BE714" si="1309">+D714</f>
        <v>61863</v>
      </c>
      <c r="BF714" s="66"/>
      <c r="BG714" s="144">
        <f t="shared" ref="BG714" si="131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11">+BC714/BW714</f>
        <v>1337330.1843971631</v>
      </c>
      <c r="BO714" s="66"/>
      <c r="BP714" s="66">
        <f t="shared" ref="BP714" si="1312">+BP713+BE714</f>
        <v>69753339</v>
      </c>
      <c r="BQ714" s="66"/>
      <c r="BR714" s="435">
        <f t="shared" ref="BR714" si="1313">+BP714/BC714</f>
        <v>7.3983902806754445E-2</v>
      </c>
      <c r="BS714" s="66"/>
      <c r="BT714" s="75"/>
      <c r="BU714" s="170"/>
      <c r="BV714" s="1"/>
      <c r="BW714" s="61">
        <f t="shared" si="407"/>
        <v>705</v>
      </c>
      <c r="BZ714" s="1"/>
      <c r="CA714" s="61"/>
    </row>
    <row r="715" spans="2:79" x14ac:dyDescent="0.3">
      <c r="B715" s="158">
        <f t="shared" si="1073"/>
        <v>44615</v>
      </c>
      <c r="C715" s="61"/>
      <c r="D715" s="17">
        <v>75300</v>
      </c>
      <c r="E715" s="16"/>
      <c r="F715" s="16"/>
      <c r="G715" s="16"/>
      <c r="H715" s="16">
        <f t="shared" ref="H715" si="1314">+H714+D715</f>
        <v>70735617</v>
      </c>
      <c r="I715" s="16"/>
      <c r="J715" s="436">
        <f t="shared" ref="J715" si="1315">+D715/H714</f>
        <v>1.0656617914691778E-3</v>
      </c>
      <c r="K715" s="16"/>
      <c r="L715" s="16"/>
      <c r="M715" s="16"/>
      <c r="N715" s="16">
        <f t="shared" ref="N715" si="1316">SUM(D709:D715)</f>
        <v>433317</v>
      </c>
      <c r="O715" s="16">
        <f t="shared" ref="O715" si="1317">+H715/BW715</f>
        <v>100192.09206798866</v>
      </c>
      <c r="P715" s="41"/>
      <c r="Q715" s="17">
        <f t="shared" ref="Q715" si="1318">SUM(D709:D715)</f>
        <v>433317</v>
      </c>
      <c r="R715" s="16"/>
      <c r="S715" s="60">
        <f t="shared" ref="S715" si="1319">+(Q715-Q708)/Q708</f>
        <v>-0.39240117616870196</v>
      </c>
      <c r="T715" s="16"/>
      <c r="U715" s="41"/>
      <c r="V715" s="10">
        <f t="shared" si="568"/>
        <v>607</v>
      </c>
      <c r="W715" s="34">
        <v>2440</v>
      </c>
      <c r="X715" s="33">
        <v>4256</v>
      </c>
      <c r="Y715" s="33"/>
      <c r="Z715" s="33">
        <f t="shared" ref="Z715" si="1320">SUM(W710:W715)</f>
        <v>7359</v>
      </c>
      <c r="AA715" s="33">
        <f t="shared" ref="AA715" si="1321">+AA714+W715</f>
        <v>856898</v>
      </c>
      <c r="AB715" s="33"/>
      <c r="AC715" s="46">
        <f t="shared" ref="AC715" si="1322">+AA715/H715</f>
        <v>1.2114095223061389E-2</v>
      </c>
      <c r="AD715" s="33"/>
      <c r="AE715" s="33">
        <f t="shared" ref="AE715" si="1323">+AA715/BW715</f>
        <v>1213.7365439093485</v>
      </c>
      <c r="AF715" s="50"/>
      <c r="AG715" s="33"/>
      <c r="AH715" s="33"/>
      <c r="AI715" s="213"/>
      <c r="AJ715" s="50"/>
      <c r="AL715" s="23">
        <f t="shared" ref="AL715" si="132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25">+AL715/AP714</f>
        <v>4.8608013639278398E-3</v>
      </c>
      <c r="AS715" s="25"/>
      <c r="AT715" s="25"/>
      <c r="AU715" s="24"/>
      <c r="AV715" s="298">
        <f t="shared" ref="AV715" si="1326">+AP715/H715</f>
        <v>0.74154385336032347</v>
      </c>
      <c r="AW715" s="298"/>
      <c r="AX715" s="24">
        <f t="shared" ref="AX715" si="1327">+AP715/BW715</f>
        <v>74296.830028328608</v>
      </c>
      <c r="AY715" s="308"/>
      <c r="BA715" s="65">
        <f t="shared" ref="BA715" si="1328">+BC715-BC714</f>
        <v>1308978</v>
      </c>
      <c r="BB715" s="66"/>
      <c r="BC715" s="66">
        <v>944126758</v>
      </c>
      <c r="BD715" s="66"/>
      <c r="BE715" s="66">
        <f t="shared" ref="BE715" si="1329">+D715</f>
        <v>75300</v>
      </c>
      <c r="BF715" s="66"/>
      <c r="BG715" s="144">
        <f t="shared" ref="BG715" si="133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31">+BC715/BW715</f>
        <v>1337290.0254957506</v>
      </c>
      <c r="BO715" s="66"/>
      <c r="BP715" s="66">
        <f t="shared" ref="BP715" si="1332">+BP714+BE715</f>
        <v>69828639</v>
      </c>
      <c r="BQ715" s="66"/>
      <c r="BR715" s="435">
        <f t="shared" ref="BR715" si="1333">+BP715/BC715</f>
        <v>7.3961084577162259E-2</v>
      </c>
      <c r="BS715" s="66"/>
      <c r="BT715" s="75"/>
      <c r="BU715" s="170"/>
      <c r="BV715" s="1"/>
      <c r="BW715" s="61">
        <f t="shared" si="407"/>
        <v>706</v>
      </c>
      <c r="BZ715" s="1"/>
      <c r="CA715" s="61"/>
    </row>
    <row r="716" spans="2:79" x14ac:dyDescent="0.3">
      <c r="B716" s="158">
        <f t="shared" si="1073"/>
        <v>44616</v>
      </c>
      <c r="C716" s="61"/>
      <c r="D716" s="17">
        <v>70885</v>
      </c>
      <c r="E716" s="16"/>
      <c r="F716" s="16"/>
      <c r="G716" s="16"/>
      <c r="H716" s="16">
        <f t="shared" ref="H716" si="1334">+H715+D716</f>
        <v>70806502</v>
      </c>
      <c r="I716" s="16"/>
      <c r="J716" s="436">
        <f t="shared" ref="J716" si="1335">+D716/H715</f>
        <v>1.0021118498195895E-3</v>
      </c>
      <c r="K716" s="16"/>
      <c r="L716" s="16"/>
      <c r="M716" s="16"/>
      <c r="N716" s="16">
        <f t="shared" ref="N716" si="1336">SUM(D710:D716)</f>
        <v>400825</v>
      </c>
      <c r="O716" s="16">
        <f t="shared" ref="O716" si="1337">+H716/BW716</f>
        <v>100150.63932107497</v>
      </c>
      <c r="P716" s="41"/>
      <c r="Q716" s="17">
        <f t="shared" ref="Q716" si="1338">SUM(D710:D716)</f>
        <v>400825</v>
      </c>
      <c r="R716" s="16"/>
      <c r="S716" s="60">
        <f t="shared" ref="S716" si="1339">+(Q716-Q709)/Q709</f>
        <v>-0.37106054733776556</v>
      </c>
      <c r="T716" s="16"/>
      <c r="U716" s="41"/>
      <c r="V716" s="10">
        <f t="shared" si="568"/>
        <v>608</v>
      </c>
      <c r="W716" s="34">
        <v>1823</v>
      </c>
      <c r="X716" s="33">
        <v>4256</v>
      </c>
      <c r="Y716" s="33"/>
      <c r="Z716" s="33">
        <f t="shared" ref="Z716" si="1340">SUM(W711:W716)</f>
        <v>7112</v>
      </c>
      <c r="AA716" s="33">
        <f t="shared" ref="AA716" si="1341">+AA715+W716</f>
        <v>858721</v>
      </c>
      <c r="AB716" s="33"/>
      <c r="AC716" s="46">
        <f t="shared" ref="AC716" si="1342">+AA716/H716</f>
        <v>1.2127713920961665E-2</v>
      </c>
      <c r="AD716" s="33"/>
      <c r="AE716" s="33">
        <f t="shared" ref="AE716" si="1343">+AA716/BW716</f>
        <v>1214.5983026874117</v>
      </c>
      <c r="AF716" s="50"/>
      <c r="AG716" s="33"/>
      <c r="AH716" s="33"/>
      <c r="AI716" s="213"/>
      <c r="AJ716" s="50"/>
      <c r="AL716" s="23">
        <f t="shared" ref="AL716" si="134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45">+AL716/AP715</f>
        <v>3.986535747562768E-3</v>
      </c>
      <c r="AS716" s="25"/>
      <c r="AT716" s="25"/>
      <c r="AU716" s="24"/>
      <c r="AV716" s="298">
        <f t="shared" ref="AV716" si="1346">+AP716/H716</f>
        <v>0.74375471902283774</v>
      </c>
      <c r="AW716" s="298"/>
      <c r="AX716" s="24">
        <f t="shared" ref="AX716" si="1347">+AP716/BW716</f>
        <v>74487.51060820368</v>
      </c>
      <c r="AY716" s="308"/>
      <c r="BA716" s="65">
        <f t="shared" ref="BA716" si="1348">+BC716-BC715</f>
        <v>1292265</v>
      </c>
      <c r="BB716" s="66"/>
      <c r="BC716" s="66">
        <v>945419023</v>
      </c>
      <c r="BD716" s="66"/>
      <c r="BE716" s="66">
        <f t="shared" ref="BE716" si="1349">+D716</f>
        <v>70885</v>
      </c>
      <c r="BF716" s="66"/>
      <c r="BG716" s="144">
        <f t="shared" ref="BG716" si="135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51">+BC716/BW716</f>
        <v>1337226.3408769448</v>
      </c>
      <c r="BO716" s="66"/>
      <c r="BP716" s="66">
        <f t="shared" ref="BP716" si="1352">+BP715+BE716</f>
        <v>69899524</v>
      </c>
      <c r="BQ716" s="66"/>
      <c r="BR716" s="435">
        <f t="shared" ref="BR716" si="1353">+BP716/BC716</f>
        <v>7.3934966717926931E-2</v>
      </c>
      <c r="BS716" s="66"/>
      <c r="BT716" s="75"/>
      <c r="BU716" s="170"/>
      <c r="BV716" s="1"/>
      <c r="BW716" s="61">
        <f t="shared" si="407"/>
        <v>707</v>
      </c>
      <c r="BZ716" s="1"/>
      <c r="CA716" s="61"/>
    </row>
    <row r="717" spans="2:79" x14ac:dyDescent="0.3">
      <c r="B717" s="158">
        <f t="shared" si="1073"/>
        <v>44617</v>
      </c>
      <c r="C717" s="61"/>
      <c r="D717" s="17">
        <v>76258</v>
      </c>
      <c r="E717" s="16"/>
      <c r="F717" s="16"/>
      <c r="G717" s="16"/>
      <c r="H717" s="16">
        <f t="shared" ref="H717" si="1354">+H716+D717</f>
        <v>70882760</v>
      </c>
      <c r="I717" s="16"/>
      <c r="J717" s="436">
        <f t="shared" ref="J717" si="1355">+D717/H716</f>
        <v>1.0769914887194963E-3</v>
      </c>
      <c r="K717" s="16"/>
      <c r="L717" s="16"/>
      <c r="M717" s="16"/>
      <c r="N717" s="16">
        <f t="shared" ref="N717" si="1356">SUM(D711:D717)</f>
        <v>368603</v>
      </c>
      <c r="O717" s="16">
        <f t="shared" ref="O717" si="1357">+H717/BW717</f>
        <v>100116.89265536724</v>
      </c>
      <c r="P717" s="41"/>
      <c r="Q717" s="17">
        <f t="shared" ref="Q717" si="1358">SUM(D711:D717)</f>
        <v>368603</v>
      </c>
      <c r="R717" s="16"/>
      <c r="S717" s="60">
        <f t="shared" ref="S717" si="1359">+(Q717-Q710)/Q710</f>
        <v>-0.38202073885307603</v>
      </c>
      <c r="T717" s="16"/>
      <c r="U717" s="41"/>
      <c r="V717" s="10">
        <f t="shared" si="568"/>
        <v>609</v>
      </c>
      <c r="W717" s="34">
        <v>1853</v>
      </c>
      <c r="X717" s="33">
        <v>4256</v>
      </c>
      <c r="Y717" s="33"/>
      <c r="Z717" s="33">
        <f t="shared" ref="Z717" si="1360">SUM(W712:W717)</f>
        <v>8250</v>
      </c>
      <c r="AA717" s="33">
        <f t="shared" ref="AA717" si="1361">+AA716+W717</f>
        <v>860574</v>
      </c>
      <c r="AB717" s="33"/>
      <c r="AC717" s="46">
        <f t="shared" ref="AC717" si="1362">+AA717/H717</f>
        <v>1.2140808286810502E-2</v>
      </c>
      <c r="AD717" s="33"/>
      <c r="AE717" s="33">
        <f t="shared" ref="AE717" si="1363">+AA717/BW717</f>
        <v>1215.5</v>
      </c>
      <c r="AF717" s="50"/>
      <c r="AG717" s="33"/>
      <c r="AH717" s="33"/>
      <c r="AI717" s="213"/>
      <c r="AJ717" s="50"/>
      <c r="AL717" s="23">
        <f t="shared" ref="AL717" si="136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65">+AL717/AP716</f>
        <v>3.8657363935402441E-3</v>
      </c>
      <c r="AS717" s="25"/>
      <c r="AT717" s="25"/>
      <c r="AU717" s="24"/>
      <c r="AV717" s="298">
        <f t="shared" ref="AV717" si="1366">+AP717/H717</f>
        <v>0.74582662977570291</v>
      </c>
      <c r="AW717" s="298"/>
      <c r="AX717" s="24">
        <f t="shared" ref="AX717" si="1367">+AP717/BW717</f>
        <v>74669.844632768363</v>
      </c>
      <c r="AY717" s="308"/>
      <c r="BA717" s="65">
        <f t="shared" ref="BA717" si="1368">+BC717-BC716</f>
        <v>1712369</v>
      </c>
      <c r="BB717" s="66"/>
      <c r="BC717" s="66">
        <v>947131392</v>
      </c>
      <c r="BD717" s="66"/>
      <c r="BE717" s="66">
        <f t="shared" ref="BE717" si="1369">+D717</f>
        <v>76258</v>
      </c>
      <c r="BF717" s="66"/>
      <c r="BG717" s="144">
        <f t="shared" ref="BG717" si="137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71">+BC717/BW717</f>
        <v>1337756.2033898304</v>
      </c>
      <c r="BO717" s="66"/>
      <c r="BP717" s="66">
        <f t="shared" ref="BP717" si="1372">+BP716+BE717</f>
        <v>69975782</v>
      </c>
      <c r="BQ717" s="66"/>
      <c r="BR717" s="435">
        <f t="shared" ref="BR717" si="1373">+BP717/BC717</f>
        <v>7.3881810476407475E-2</v>
      </c>
      <c r="BS717" s="66"/>
      <c r="BT717" s="75"/>
      <c r="BU717" s="170"/>
      <c r="BV717" s="1"/>
      <c r="BW717" s="61">
        <f t="shared" si="407"/>
        <v>708</v>
      </c>
      <c r="BZ717" s="1"/>
      <c r="CA717" s="61"/>
    </row>
    <row r="718" spans="2:79" x14ac:dyDescent="0.3">
      <c r="B718" s="158">
        <f t="shared" si="1073"/>
        <v>44618</v>
      </c>
      <c r="C718" s="61"/>
      <c r="D718" s="17">
        <v>26003</v>
      </c>
      <c r="E718" s="16"/>
      <c r="F718" s="16"/>
      <c r="G718" s="16"/>
      <c r="H718" s="16">
        <f t="shared" ref="H718" si="1374">+H717+D718</f>
        <v>70908763</v>
      </c>
      <c r="I718" s="16"/>
      <c r="J718" s="436">
        <f t="shared" ref="J718" si="1375">+D718/H717</f>
        <v>3.6684519620849978E-4</v>
      </c>
      <c r="K718" s="16"/>
      <c r="L718" s="16"/>
      <c r="M718" s="16"/>
      <c r="N718" s="16">
        <f t="shared" ref="N718" si="1376">SUM(D712:D718)</f>
        <v>353163</v>
      </c>
      <c r="O718" s="16">
        <f t="shared" ref="O718" si="1377">+H718/BW718</f>
        <v>100012.35966149507</v>
      </c>
      <c r="P718" s="41"/>
      <c r="Q718" s="17">
        <f t="shared" ref="Q718" si="1378">SUM(D712:D718)</f>
        <v>353163</v>
      </c>
      <c r="R718" s="16"/>
      <c r="S718" s="60">
        <f t="shared" ref="S718" si="1379">+(Q718-Q711)/Q711</f>
        <v>-0.38933894029177163</v>
      </c>
      <c r="T718" s="16"/>
      <c r="U718" s="41"/>
      <c r="V718" s="10">
        <f t="shared" si="568"/>
        <v>610</v>
      </c>
      <c r="W718" s="34">
        <v>635</v>
      </c>
      <c r="X718" s="33">
        <v>4256</v>
      </c>
      <c r="Y718" s="33"/>
      <c r="Z718" s="33">
        <f t="shared" ref="Z718" si="1380">SUM(W713:W718)</f>
        <v>8603</v>
      </c>
      <c r="AA718" s="33">
        <f t="shared" ref="AA718" si="1381">+AA717+W718</f>
        <v>861209</v>
      </c>
      <c r="AB718" s="33"/>
      <c r="AC718" s="46">
        <f t="shared" ref="AC718" si="1382">+AA718/H718</f>
        <v>1.21453112924844E-2</v>
      </c>
      <c r="AD718" s="33"/>
      <c r="AE718" s="33">
        <f t="shared" ref="AE718" si="1383">+AA718/BW718</f>
        <v>1214.6812411847673</v>
      </c>
      <c r="AF718" s="50"/>
      <c r="AG718" s="33"/>
      <c r="AH718" s="33"/>
      <c r="AI718" s="213"/>
      <c r="AJ718" s="50"/>
      <c r="AL718" s="23">
        <f t="shared" ref="AL718" si="138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85">+AL718/AP717</f>
        <v>3.2307001158584162E-3</v>
      </c>
      <c r="AS718" s="25"/>
      <c r="AT718" s="25"/>
      <c r="AU718" s="24"/>
      <c r="AV718" s="298">
        <f t="shared" ref="AV718" si="1386">+AP718/H718</f>
        <v>0.74796178576687344</v>
      </c>
      <c r="AW718" s="298"/>
      <c r="AX718" s="24">
        <f t="shared" ref="AX718" si="1387">+AP718/BW718</f>
        <v>74805.423131170668</v>
      </c>
      <c r="AY718" s="308"/>
      <c r="BA718" s="65">
        <f t="shared" ref="BA718" si="1388">+BC718-BC717</f>
        <v>401696</v>
      </c>
      <c r="BB718" s="66"/>
      <c r="BC718" s="66">
        <v>947533088</v>
      </c>
      <c r="BD718" s="66"/>
      <c r="BE718" s="66">
        <f t="shared" ref="BE718" si="1389">+D718</f>
        <v>26003</v>
      </c>
      <c r="BF718" s="66"/>
      <c r="BG718" s="144">
        <f t="shared" ref="BG718" si="139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91">+BC718/BW718</f>
        <v>1336435.9492242595</v>
      </c>
      <c r="BO718" s="66"/>
      <c r="BP718" s="66">
        <f t="shared" ref="BP718" si="1392">+BP717+BE718</f>
        <v>70001785</v>
      </c>
      <c r="BQ718" s="66"/>
      <c r="BR718" s="435">
        <f t="shared" ref="BR718" si="1393">+BP718/BC718</f>
        <v>7.3877931954604209E-2</v>
      </c>
      <c r="BS718" s="66"/>
      <c r="BT718" s="75"/>
      <c r="BU718" s="170"/>
      <c r="BV718" s="1"/>
      <c r="BW718" s="61">
        <f t="shared" si="407"/>
        <v>709</v>
      </c>
      <c r="BZ718" s="1"/>
      <c r="CA718" s="61"/>
    </row>
    <row r="719" spans="2:79" x14ac:dyDescent="0.3">
      <c r="B719" s="347">
        <f t="shared" si="1073"/>
        <v>44619</v>
      </c>
      <c r="C719" s="61"/>
      <c r="D719" s="17">
        <v>7464</v>
      </c>
      <c r="E719" s="16"/>
      <c r="F719" s="16"/>
      <c r="G719" s="16"/>
      <c r="H719" s="16">
        <f t="shared" ref="H719" si="1394">+H718+D719</f>
        <v>70916227</v>
      </c>
      <c r="I719" s="16"/>
      <c r="J719" s="436">
        <f t="shared" ref="J719" si="1395">+D719/H718</f>
        <v>1.052620252309295E-4</v>
      </c>
      <c r="K719" s="16"/>
      <c r="L719" s="16"/>
      <c r="M719" s="16"/>
      <c r="N719" s="16">
        <f t="shared" ref="N719" si="1396">SUM(D713:D719)</f>
        <v>345571</v>
      </c>
      <c r="O719" s="16">
        <f t="shared" ref="O719" si="1397">+H719/BW719</f>
        <v>99882.009859154932</v>
      </c>
      <c r="P719" s="41"/>
      <c r="Q719" s="17">
        <f t="shared" ref="Q719" si="1398">SUM(D713:D719)</f>
        <v>345571</v>
      </c>
      <c r="R719" s="16"/>
      <c r="S719" s="60">
        <f t="shared" ref="S719" si="1399">+(Q719-Q712)/Q712</f>
        <v>-0.38481271351335955</v>
      </c>
      <c r="T719" s="16"/>
      <c r="U719" s="41"/>
      <c r="V719" s="10">
        <f t="shared" si="568"/>
        <v>611</v>
      </c>
      <c r="W719" s="34">
        <v>189</v>
      </c>
      <c r="X719" s="33">
        <v>4256</v>
      </c>
      <c r="Y719" s="33"/>
      <c r="Z719" s="33">
        <f t="shared" ref="Z719" si="1400">SUM(W714:W719)</f>
        <v>8498</v>
      </c>
      <c r="AA719" s="33">
        <f t="shared" ref="AA719" si="1401">+AA718+W719</f>
        <v>861398</v>
      </c>
      <c r="AB719" s="33"/>
      <c r="AC719" s="46">
        <f t="shared" ref="AC719" si="1402">+AA719/H719</f>
        <v>1.2146698103383306E-2</v>
      </c>
      <c r="AD719" s="33"/>
      <c r="AE719" s="33">
        <f t="shared" ref="AE719" si="1403">+AA719/BW719</f>
        <v>1213.2366197183098</v>
      </c>
      <c r="AF719" s="50"/>
      <c r="AG719" s="33"/>
      <c r="AH719" s="33"/>
      <c r="AI719" s="213"/>
      <c r="AJ719" s="50"/>
      <c r="AL719" s="23">
        <f t="shared" ref="AL719" si="140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405">+AL719/AP718</f>
        <v>2.9403033294935644E-3</v>
      </c>
      <c r="AS719" s="25"/>
      <c r="AT719" s="25"/>
      <c r="AU719" s="24"/>
      <c r="AV719" s="298">
        <f t="shared" ref="AV719" si="1406">+AP719/H719</f>
        <v>0.75008206513863185</v>
      </c>
      <c r="AW719" s="298"/>
      <c r="AX719" s="24">
        <f t="shared" ref="AX719" si="1407">+AP719/BW719</f>
        <v>74919.704225352107</v>
      </c>
      <c r="AY719" s="308"/>
      <c r="BA719" s="65">
        <f t="shared" ref="BA719" si="1408">+BC719-BC718</f>
        <v>219233</v>
      </c>
      <c r="BB719" s="66"/>
      <c r="BC719" s="66">
        <v>947752321</v>
      </c>
      <c r="BD719" s="66"/>
      <c r="BE719" s="66">
        <f t="shared" ref="BE719" si="1409">+D719</f>
        <v>7464</v>
      </c>
      <c r="BF719" s="66"/>
      <c r="BG719" s="144">
        <f t="shared" ref="BG719" si="141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11">+BC719/BW719</f>
        <v>1334862.4239436621</v>
      </c>
      <c r="BO719" s="66"/>
      <c r="BP719" s="66">
        <f t="shared" ref="BP719" si="1412">+BP718+BE719</f>
        <v>70009249</v>
      </c>
      <c r="BQ719" s="66"/>
      <c r="BR719" s="435">
        <f t="shared" ref="BR719" si="1413">+BP719/BC719</f>
        <v>7.3868718069855302E-2</v>
      </c>
      <c r="BS719" s="66"/>
      <c r="BT719" s="75"/>
      <c r="BU719" s="170"/>
      <c r="BV719" s="1"/>
      <c r="BW719" s="61">
        <f t="shared" si="407"/>
        <v>710</v>
      </c>
      <c r="BZ719" s="1"/>
      <c r="CA719" s="61"/>
    </row>
    <row r="720" spans="2:79" x14ac:dyDescent="0.3">
      <c r="B720" s="158">
        <f t="shared" si="1073"/>
        <v>44620</v>
      </c>
      <c r="C720" s="61"/>
      <c r="D720" s="17">
        <v>32918</v>
      </c>
      <c r="E720" s="16"/>
      <c r="F720" s="16"/>
      <c r="G720" s="16"/>
      <c r="H720" s="16">
        <f t="shared" ref="H720" si="1414">+H719+D720</f>
        <v>70949145</v>
      </c>
      <c r="I720" s="16"/>
      <c r="J720" s="436">
        <f t="shared" ref="J720" si="1415">+D720/H719</f>
        <v>4.6418149121215936E-4</v>
      </c>
      <c r="K720" s="16"/>
      <c r="L720" s="16"/>
      <c r="M720" s="16"/>
      <c r="N720" s="16">
        <f t="shared" ref="N720" si="1416">SUM(D714:D720)</f>
        <v>350691</v>
      </c>
      <c r="O720" s="16">
        <f t="shared" ref="O720" si="1417">+H720/BW720</f>
        <v>99787.827004219405</v>
      </c>
      <c r="P720" s="41"/>
      <c r="Q720" s="17">
        <f t="shared" ref="Q720" si="1418">SUM(D714:D720)</f>
        <v>350691</v>
      </c>
      <c r="R720" s="16"/>
      <c r="S720" s="60">
        <f t="shared" ref="S720" si="1419">+(Q720-Q713)/Q713</f>
        <v>-0.31059842064601356</v>
      </c>
      <c r="T720" s="16"/>
      <c r="U720" s="41"/>
      <c r="V720" s="10">
        <f t="shared" si="568"/>
        <v>612</v>
      </c>
      <c r="W720" s="34">
        <v>710</v>
      </c>
      <c r="X720" s="33">
        <v>4256</v>
      </c>
      <c r="Y720" s="33"/>
      <c r="Z720" s="33">
        <f t="shared" ref="Z720" si="1420">SUM(W715:W720)</f>
        <v>7650</v>
      </c>
      <c r="AA720" s="33">
        <f t="shared" ref="AA720" si="1421">+AA719+W720</f>
        <v>862108</v>
      </c>
      <c r="AB720" s="33"/>
      <c r="AC720" s="46">
        <f t="shared" ref="AC720" si="1422">+AA720/H720</f>
        <v>1.2151069614721925E-2</v>
      </c>
      <c r="AD720" s="33"/>
      <c r="AE720" s="33">
        <f t="shared" ref="AE720" si="1423">+AA720/BW720</f>
        <v>1212.5288326300983</v>
      </c>
      <c r="AF720" s="50"/>
      <c r="AG720" s="33"/>
      <c r="AH720" s="33"/>
      <c r="AI720" s="213"/>
      <c r="AJ720" s="50"/>
      <c r="AL720" s="23">
        <f t="shared" ref="AL720" si="142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25">+AL720/AP719</f>
        <v>5.7765506319535712E-3</v>
      </c>
      <c r="AS720" s="25"/>
      <c r="AT720" s="25"/>
      <c r="AU720" s="24"/>
      <c r="AV720" s="298">
        <f t="shared" ref="AV720" si="1426">+AP720/H720</f>
        <v>0.75406492918272661</v>
      </c>
      <c r="AW720" s="298"/>
      <c r="AX720" s="24">
        <f t="shared" ref="AX720" si="1427">+AP720/BW720</f>
        <v>75246.50070323488</v>
      </c>
      <c r="AY720" s="308"/>
      <c r="BA720" s="65">
        <f t="shared" ref="BA720" si="1428">+BC720-BC719</f>
        <v>2767081</v>
      </c>
      <c r="BB720" s="66"/>
      <c r="BC720" s="66">
        <v>950519402</v>
      </c>
      <c r="BD720" s="66"/>
      <c r="BE720" s="66">
        <f t="shared" ref="BE720" si="1429">+D720</f>
        <v>32918</v>
      </c>
      <c r="BF720" s="66"/>
      <c r="BG720" s="144">
        <f t="shared" ref="BG720" si="143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31">+BC720/BW720</f>
        <v>1336876.7960618846</v>
      </c>
      <c r="BO720" s="66"/>
      <c r="BP720" s="66">
        <f t="shared" ref="BP720" si="1432">+BP719+BE720</f>
        <v>70042167</v>
      </c>
      <c r="BQ720" s="66"/>
      <c r="BR720" s="435">
        <f t="shared" ref="BR720" si="1433">+BP720/BC720</f>
        <v>7.3688308573842246E-2</v>
      </c>
      <c r="BS720" s="66"/>
      <c r="BT720" s="75"/>
      <c r="BU720" s="170"/>
      <c r="BV720" s="1"/>
      <c r="BW720" s="61">
        <f t="shared" si="407"/>
        <v>711</v>
      </c>
      <c r="BZ720" s="1"/>
      <c r="CA720" s="61"/>
    </row>
    <row r="721" spans="2:79" x14ac:dyDescent="0.3">
      <c r="B721" s="158">
        <f t="shared" si="1073"/>
        <v>44621</v>
      </c>
      <c r="C721" s="61"/>
      <c r="D721" s="17">
        <v>41899</v>
      </c>
      <c r="E721" s="16"/>
      <c r="F721" s="16"/>
      <c r="G721" s="16"/>
      <c r="H721" s="16">
        <f t="shared" ref="H721" si="1434">+H720+D721</f>
        <v>70991044</v>
      </c>
      <c r="I721" s="16"/>
      <c r="J721" s="436">
        <f t="shared" ref="J721" si="1435">+D721/H720</f>
        <v>5.9054975222041085E-4</v>
      </c>
      <c r="K721" s="16"/>
      <c r="L721" s="16"/>
      <c r="M721" s="16"/>
      <c r="N721" s="16">
        <f t="shared" ref="N721" si="1436">SUM(D715:D721)</f>
        <v>330727</v>
      </c>
      <c r="O721" s="16">
        <f t="shared" ref="O721" si="1437">+H721/BW721</f>
        <v>99706.52247191011</v>
      </c>
      <c r="P721" s="41"/>
      <c r="Q721" s="17">
        <f t="shared" ref="Q721" si="1438">SUM(D715:D721)</f>
        <v>330727</v>
      </c>
      <c r="R721" s="16"/>
      <c r="S721" s="60">
        <f t="shared" ref="S721" si="1439">+(Q721-Q714)/Q714</f>
        <v>-0.30032262500396673</v>
      </c>
      <c r="T721" s="16"/>
      <c r="U721" s="41"/>
      <c r="V721" s="10">
        <f t="shared" si="568"/>
        <v>613</v>
      </c>
      <c r="W721" s="34">
        <v>1451</v>
      </c>
      <c r="X721" s="33">
        <v>4256</v>
      </c>
      <c r="Y721" s="33"/>
      <c r="Z721" s="33">
        <f t="shared" ref="Z721" si="1440">SUM(W716:W721)</f>
        <v>6661</v>
      </c>
      <c r="AA721" s="33">
        <f t="shared" ref="AA721" si="1441">+AA720+W721</f>
        <v>863559</v>
      </c>
      <c r="AB721" s="33"/>
      <c r="AC721" s="46">
        <f t="shared" ref="AC721" si="1442">+AA721/H721</f>
        <v>1.2164337236680164E-2</v>
      </c>
      <c r="AD721" s="33"/>
      <c r="AE721" s="33">
        <f t="shared" ref="AE721" si="1443">+AA721/BW721</f>
        <v>1212.8637640449438</v>
      </c>
      <c r="AF721" s="50"/>
      <c r="AG721" s="33"/>
      <c r="AH721" s="33"/>
      <c r="AI721" s="213"/>
      <c r="AJ721" s="50"/>
      <c r="AL721" s="23">
        <f t="shared" ref="AL721" si="144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45">+AL721/AP720</f>
        <v>4.3091938503030131E-3</v>
      </c>
      <c r="AS721" s="25"/>
      <c r="AT721" s="25"/>
      <c r="AU721" s="24"/>
      <c r="AV721" s="298">
        <f t="shared" ref="AV721" si="1446">+AP721/H721</f>
        <v>0.75686737329852483</v>
      </c>
      <c r="AW721" s="298"/>
      <c r="AX721" s="24">
        <f t="shared" ref="AX721" si="1447">+AP721/BW721</f>
        <v>75464.613764044945</v>
      </c>
      <c r="AY721" s="308"/>
      <c r="BA721" s="65">
        <f t="shared" ref="BA721" si="1448">+BC721-BC720</f>
        <v>1025286</v>
      </c>
      <c r="BB721" s="66"/>
      <c r="BC721" s="66">
        <v>951544688</v>
      </c>
      <c r="BD721" s="66"/>
      <c r="BE721" s="66">
        <f t="shared" ref="BE721" si="1449">+D721</f>
        <v>41899</v>
      </c>
      <c r="BF721" s="66"/>
      <c r="BG721" s="144">
        <f t="shared" ref="BG721" si="145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51">+BC721/BW721</f>
        <v>1336439.1685393259</v>
      </c>
      <c r="BO721" s="66"/>
      <c r="BP721" s="66">
        <f t="shared" ref="BP721" si="1452">+BP720+BE721</f>
        <v>70084066</v>
      </c>
      <c r="BQ721" s="66"/>
      <c r="BR721" s="435">
        <f t="shared" ref="BR721" si="1453">+BP721/BC721</f>
        <v>7.3652942298806673E-2</v>
      </c>
      <c r="BS721" s="66"/>
      <c r="BT721" s="75"/>
      <c r="BU721" s="170"/>
      <c r="BV721" s="1"/>
      <c r="BW721" s="61">
        <f t="shared" si="407"/>
        <v>712</v>
      </c>
      <c r="BZ721" s="1"/>
      <c r="CA721" s="61"/>
    </row>
    <row r="722" spans="2:79" x14ac:dyDescent="0.3">
      <c r="B722" s="158">
        <f t="shared" si="1073"/>
        <v>44622</v>
      </c>
      <c r="C722" s="61"/>
      <c r="D722" s="17">
        <v>50699</v>
      </c>
      <c r="E722" s="16"/>
      <c r="F722" s="16"/>
      <c r="G722" s="16"/>
      <c r="H722" s="16">
        <f t="shared" ref="H722" si="1454">+H721+D722</f>
        <v>71041743</v>
      </c>
      <c r="I722" s="16"/>
      <c r="J722" s="436">
        <f t="shared" ref="J722" si="1455">+D722/H721</f>
        <v>7.1416050734512374E-4</v>
      </c>
      <c r="K722" s="16"/>
      <c r="L722" s="16"/>
      <c r="M722" s="16"/>
      <c r="N722" s="16">
        <f t="shared" ref="N722" si="1456">SUM(D716:D722)</f>
        <v>306126</v>
      </c>
      <c r="O722" s="16">
        <f t="shared" ref="O722" si="1457">+H722/BW722</f>
        <v>99637.788218793823</v>
      </c>
      <c r="P722" s="41"/>
      <c r="Q722" s="17">
        <f t="shared" ref="Q722" si="1458">SUM(D716:D722)</f>
        <v>306126</v>
      </c>
      <c r="R722" s="16"/>
      <c r="S722" s="60">
        <f t="shared" ref="S722" si="1459">+(Q722-Q715)/Q715</f>
        <v>-0.29352875608388318</v>
      </c>
      <c r="T722" s="16"/>
      <c r="U722" s="41"/>
      <c r="V722" s="10">
        <f t="shared" si="568"/>
        <v>614</v>
      </c>
      <c r="W722" s="34">
        <v>1778</v>
      </c>
      <c r="X722" s="33">
        <v>4256</v>
      </c>
      <c r="Y722" s="33"/>
      <c r="Z722" s="33">
        <f t="shared" ref="Z722" si="1460">SUM(W717:W722)</f>
        <v>6616</v>
      </c>
      <c r="AA722" s="33">
        <f t="shared" ref="AA722" si="1461">+AA721+W722</f>
        <v>865337</v>
      </c>
      <c r="AB722" s="33"/>
      <c r="AC722" s="46">
        <f t="shared" ref="AC722" si="1462">+AA722/H722</f>
        <v>1.218068368620967E-2</v>
      </c>
      <c r="AD722" s="33"/>
      <c r="AE722" s="33">
        <f t="shared" ref="AE722" si="1463">+AA722/BW722</f>
        <v>1213.6563814866761</v>
      </c>
      <c r="AF722" s="50"/>
      <c r="AG722" s="33"/>
      <c r="AH722" s="33"/>
      <c r="AI722" s="213"/>
      <c r="AJ722" s="50"/>
      <c r="AL722" s="23">
        <f t="shared" ref="AL722" si="146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65">+AL722/AP721</f>
        <v>4.0011311946657043E-3</v>
      </c>
      <c r="AS722" s="25"/>
      <c r="AT722" s="25"/>
      <c r="AU722" s="24"/>
      <c r="AV722" s="298">
        <f t="shared" ref="AV722" si="1466">+AP722/H722</f>
        <v>0.75935339874755048</v>
      </c>
      <c r="AW722" s="298"/>
      <c r="AX722" s="24">
        <f t="shared" ref="AX722" si="1467">+AP722/BW722</f>
        <v>75660.293127629731</v>
      </c>
      <c r="AY722" s="308"/>
      <c r="BA722" s="65">
        <f t="shared" ref="BA722" si="1468">+BC722-BC721</f>
        <v>1143010</v>
      </c>
      <c r="BB722" s="66"/>
      <c r="BC722" s="66">
        <v>952687698</v>
      </c>
      <c r="BD722" s="66"/>
      <c r="BE722" s="66">
        <f t="shared" ref="BE722" si="1469">+D722</f>
        <v>50699</v>
      </c>
      <c r="BF722" s="66"/>
      <c r="BG722" s="144">
        <f t="shared" ref="BG722" si="147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71">+BC722/BW722</f>
        <v>1336167.8793828893</v>
      </c>
      <c r="BO722" s="66"/>
      <c r="BP722" s="66">
        <f t="shared" ref="BP722" si="1472">+BP721+BE722</f>
        <v>70134765</v>
      </c>
      <c r="BQ722" s="66"/>
      <c r="BR722" s="435">
        <f t="shared" ref="BR722" si="1473">+BP722/BC722</f>
        <v>7.3617792217990835E-2</v>
      </c>
      <c r="BS722" s="66"/>
      <c r="BT722" s="75"/>
      <c r="BU722" s="170"/>
      <c r="BV722" s="1"/>
      <c r="BW722" s="61">
        <f t="shared" si="407"/>
        <v>713</v>
      </c>
      <c r="BZ722" s="1"/>
      <c r="CA722" s="61"/>
    </row>
    <row r="723" spans="2:79" x14ac:dyDescent="0.3">
      <c r="B723" s="158">
        <f t="shared" si="1073"/>
        <v>44623</v>
      </c>
      <c r="C723" s="61"/>
      <c r="D723" s="17">
        <v>49091</v>
      </c>
      <c r="E723" s="16"/>
      <c r="F723" s="16"/>
      <c r="G723" s="16"/>
      <c r="H723" s="16">
        <f t="shared" ref="H723" si="1474">+H722+D723</f>
        <v>71090834</v>
      </c>
      <c r="I723" s="16"/>
      <c r="J723" s="436">
        <f t="shared" ref="J723" si="1475">+D723/H722</f>
        <v>6.9101626630979477E-4</v>
      </c>
      <c r="K723" s="16"/>
      <c r="L723" s="16"/>
      <c r="M723" s="16"/>
      <c r="N723" s="16">
        <f t="shared" ref="N723" si="1476">SUM(D717:D723)</f>
        <v>284332</v>
      </c>
      <c r="O723" s="16">
        <f t="shared" ref="O723" si="1477">+H723/BW723</f>
        <v>99566.994397759103</v>
      </c>
      <c r="P723" s="41"/>
      <c r="Q723" s="17">
        <f t="shared" ref="Q723" si="1478">SUM(D717:D723)</f>
        <v>284332</v>
      </c>
      <c r="R723" s="16"/>
      <c r="S723" s="60">
        <f t="shared" ref="S723" si="1479">+(Q723-Q716)/Q716</f>
        <v>-0.29063306929457994</v>
      </c>
      <c r="T723" s="16"/>
      <c r="U723" s="41"/>
      <c r="V723" s="10">
        <f t="shared" si="568"/>
        <v>615</v>
      </c>
      <c r="W723" s="34">
        <v>1258</v>
      </c>
      <c r="X723" s="33">
        <v>4256</v>
      </c>
      <c r="Y723" s="33"/>
      <c r="Z723" s="33">
        <f t="shared" ref="Z723" si="1480">SUM(W718:W723)</f>
        <v>6021</v>
      </c>
      <c r="AA723" s="33">
        <f t="shared" ref="AA723" si="1481">+AA722+W723</f>
        <v>866595</v>
      </c>
      <c r="AB723" s="33"/>
      <c r="AC723" s="46">
        <f t="shared" ref="AC723" si="1482">+AA723/H723</f>
        <v>1.218996811881543E-2</v>
      </c>
      <c r="AD723" s="33"/>
      <c r="AE723" s="33">
        <f t="shared" ref="AE723" si="1483">+AA723/BW723</f>
        <v>1213.7184873949579</v>
      </c>
      <c r="AF723" s="50"/>
      <c r="AG723" s="33"/>
      <c r="AH723" s="33"/>
      <c r="AI723" s="213"/>
      <c r="AJ723" s="50"/>
      <c r="AL723" s="23">
        <f t="shared" ref="AL723" si="148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85">+AL723/AP722</f>
        <v>3.5438354604471539E-3</v>
      </c>
      <c r="AS723" s="25"/>
      <c r="AT723" s="25"/>
      <c r="AU723" s="24"/>
      <c r="AV723" s="298">
        <f t="shared" ref="AV723" si="1486">+AP723/H723</f>
        <v>0.76151820078520949</v>
      </c>
      <c r="AW723" s="298"/>
      <c r="AX723" s="24">
        <f t="shared" ref="AX723" si="1487">+AP723/BW723</f>
        <v>75822.078431372545</v>
      </c>
      <c r="AY723" s="308"/>
      <c r="BA723" s="65">
        <f t="shared" ref="BA723" si="1488">+BC723-BC722</f>
        <v>1680004</v>
      </c>
      <c r="BB723" s="66"/>
      <c r="BC723" s="66">
        <v>954367702</v>
      </c>
      <c r="BD723" s="66"/>
      <c r="BE723" s="66">
        <f t="shared" ref="BE723" si="1489">+D723</f>
        <v>49091</v>
      </c>
      <c r="BF723" s="66"/>
      <c r="BG723" s="144">
        <f t="shared" ref="BG723" si="149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91">+BC723/BW723</f>
        <v>1336649.4425770307</v>
      </c>
      <c r="BO723" s="66"/>
      <c r="BP723" s="66">
        <f t="shared" ref="BP723" si="1492">+BP722+BE723</f>
        <v>70183856</v>
      </c>
      <c r="BQ723" s="66"/>
      <c r="BR723" s="435">
        <f t="shared" ref="BR723" si="1493">+BP723/BC723</f>
        <v>7.353963870835184E-2</v>
      </c>
      <c r="BS723" s="66"/>
      <c r="BT723" s="75"/>
      <c r="BU723" s="170"/>
      <c r="BV723" s="1"/>
      <c r="BW723" s="61">
        <f t="shared" si="407"/>
        <v>714</v>
      </c>
      <c r="BZ723" s="1"/>
      <c r="CA723" s="61"/>
    </row>
    <row r="724" spans="2:79" x14ac:dyDescent="0.3">
      <c r="B724" s="158">
        <f t="shared" si="1073"/>
        <v>44624</v>
      </c>
      <c r="C724" s="61"/>
      <c r="D724" s="17">
        <v>45698</v>
      </c>
      <c r="E724" s="16"/>
      <c r="F724" s="16"/>
      <c r="G724" s="16"/>
      <c r="H724" s="16">
        <f t="shared" ref="H724" si="1494">+H723+D724</f>
        <v>71136532</v>
      </c>
      <c r="I724" s="16"/>
      <c r="J724" s="436">
        <f t="shared" ref="J724" si="1495">+D724/H723</f>
        <v>6.4281142066781771E-4</v>
      </c>
      <c r="K724" s="16"/>
      <c r="L724" s="16"/>
      <c r="M724" s="16"/>
      <c r="N724" s="16">
        <f t="shared" ref="N724" si="1496">SUM(D718:D724)</f>
        <v>253772</v>
      </c>
      <c r="O724" s="16">
        <f t="shared" ref="O724" si="1497">+H724/BW724</f>
        <v>99491.653146853147</v>
      </c>
      <c r="P724" s="41"/>
      <c r="Q724" s="17">
        <f t="shared" ref="Q724" si="1498">SUM(D718:D724)</f>
        <v>253772</v>
      </c>
      <c r="R724" s="16"/>
      <c r="S724" s="60">
        <f t="shared" ref="S724" si="1499">+(Q724-Q717)/Q717</f>
        <v>-0.31153029139751981</v>
      </c>
      <c r="T724" s="16"/>
      <c r="U724" s="41"/>
      <c r="V724" s="10">
        <f t="shared" si="568"/>
        <v>616</v>
      </c>
      <c r="W724" s="34">
        <v>1454</v>
      </c>
      <c r="X724" s="33">
        <v>4256</v>
      </c>
      <c r="Y724" s="33"/>
      <c r="Z724" s="33">
        <f t="shared" ref="Z724" si="1500">SUM(W719:W724)</f>
        <v>6840</v>
      </c>
      <c r="AA724" s="33">
        <f t="shared" ref="AA724" si="1501">+AA723+W724</f>
        <v>868049</v>
      </c>
      <c r="AB724" s="33"/>
      <c r="AC724" s="46">
        <f t="shared" ref="AC724" si="1502">+AA724/H724</f>
        <v>1.2202576870067268E-2</v>
      </c>
      <c r="AD724" s="33"/>
      <c r="AE724" s="33">
        <f t="shared" ref="AE724" si="1503">+AA724/BW724</f>
        <v>1214.0545454545454</v>
      </c>
      <c r="AF724" s="50"/>
      <c r="AG724" s="33"/>
      <c r="AH724" s="33"/>
      <c r="AI724" s="213"/>
      <c r="AJ724" s="50"/>
      <c r="AL724" s="23">
        <f t="shared" ref="AL724" si="150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505">+AL724/AP723</f>
        <v>3.8415526958622947E-3</v>
      </c>
      <c r="AS724" s="25"/>
      <c r="AT724" s="25"/>
      <c r="AU724" s="24"/>
      <c r="AV724" s="298">
        <f t="shared" ref="AV724" si="1506">+AP724/H724</f>
        <v>0.7639525356676089</v>
      </c>
      <c r="AW724" s="298"/>
      <c r="AX724" s="24">
        <f t="shared" ref="AX724" si="1507">+AP724/BW724</f>
        <v>76006.900699300706</v>
      </c>
      <c r="AY724" s="308"/>
      <c r="BA724" s="65">
        <f t="shared" ref="BA724" si="1508">+BC724-BC723</f>
        <v>1413093</v>
      </c>
      <c r="BB724" s="66"/>
      <c r="BC724" s="66">
        <v>955780795</v>
      </c>
      <c r="BD724" s="66"/>
      <c r="BE724" s="66">
        <f t="shared" ref="BE724" si="1509">+D724</f>
        <v>45698</v>
      </c>
      <c r="BF724" s="66"/>
      <c r="BG724" s="144">
        <f t="shared" ref="BG724" si="151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11">+BC724/BW724</f>
        <v>1336756.3566433566</v>
      </c>
      <c r="BO724" s="66"/>
      <c r="BP724" s="66">
        <f t="shared" ref="BP724" si="1512">+BP723+BE724</f>
        <v>70229554</v>
      </c>
      <c r="BQ724" s="66"/>
      <c r="BR724" s="435">
        <f t="shared" ref="BR724" si="1513">+BP724/BC724</f>
        <v>7.3478724794841688E-2</v>
      </c>
      <c r="BS724" s="66"/>
      <c r="BT724" s="75"/>
      <c r="BU724" s="170"/>
      <c r="BV724" s="1"/>
      <c r="BW724" s="61">
        <f t="shared" si="407"/>
        <v>715</v>
      </c>
      <c r="BZ724" s="1"/>
      <c r="CA724" s="61"/>
    </row>
    <row r="725" spans="2:79" x14ac:dyDescent="0.3">
      <c r="B725" s="158">
        <f t="shared" si="1073"/>
        <v>44625</v>
      </c>
      <c r="C725" s="61"/>
      <c r="D725" s="17">
        <v>16213</v>
      </c>
      <c r="E725" s="16"/>
      <c r="F725" s="16"/>
      <c r="G725" s="16"/>
      <c r="H725" s="16">
        <f t="shared" ref="H725" si="1514">+H724+D725</f>
        <v>71152745</v>
      </c>
      <c r="I725" s="16"/>
      <c r="J725" s="436">
        <f t="shared" ref="J725" si="1515">+D725/H724</f>
        <v>2.2791383757645088E-4</v>
      </c>
      <c r="K725" s="16"/>
      <c r="L725" s="16"/>
      <c r="M725" s="16"/>
      <c r="N725" s="16">
        <f t="shared" ref="N725" si="1516">SUM(D719:D725)</f>
        <v>243982</v>
      </c>
      <c r="O725" s="16">
        <f t="shared" ref="O725" si="1517">+H725/BW725</f>
        <v>99375.342178770952</v>
      </c>
      <c r="P725" s="41"/>
      <c r="Q725" s="17">
        <f t="shared" ref="Q725" si="1518">SUM(D719:D725)</f>
        <v>243982</v>
      </c>
      <c r="R725" s="16"/>
      <c r="S725" s="60">
        <f t="shared" ref="S725" si="1519">+(Q725-Q718)/Q718</f>
        <v>-0.30915186471969036</v>
      </c>
      <c r="T725" s="16"/>
      <c r="U725" s="41"/>
      <c r="V725" s="10">
        <f t="shared" si="568"/>
        <v>617</v>
      </c>
      <c r="W725" s="34">
        <v>328</v>
      </c>
      <c r="X725" s="33">
        <v>4256</v>
      </c>
      <c r="Y725" s="33"/>
      <c r="Z725" s="33">
        <f t="shared" ref="Z725" si="1520">SUM(W720:W725)</f>
        <v>6979</v>
      </c>
      <c r="AA725" s="33">
        <f t="shared" ref="AA725" si="1521">+AA724+W725</f>
        <v>868377</v>
      </c>
      <c r="AB725" s="33"/>
      <c r="AC725" s="46">
        <f t="shared" ref="AC725" si="1522">+AA725/H725</f>
        <v>1.2204406168728978E-2</v>
      </c>
      <c r="AD725" s="33"/>
      <c r="AE725" s="33">
        <f t="shared" ref="AE725" si="1523">+AA725/BW725</f>
        <v>1212.8170391061453</v>
      </c>
      <c r="AF725" s="50"/>
      <c r="AG725" s="33"/>
      <c r="AH725" s="33"/>
      <c r="AI725" s="213"/>
      <c r="AJ725" s="50"/>
      <c r="AL725" s="23">
        <f t="shared" ref="AL725" si="152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25">+AL725/AP724</f>
        <v>4.6004288090588166E-3</v>
      </c>
      <c r="AS725" s="25"/>
      <c r="AT725" s="25"/>
      <c r="AU725" s="24"/>
      <c r="AV725" s="298">
        <f t="shared" ref="AV725" si="1526">+AP725/H725</f>
        <v>0.76729216841880099</v>
      </c>
      <c r="AW725" s="298"/>
      <c r="AX725" s="24">
        <f t="shared" ref="AX725" si="1527">+AP725/BW725</f>
        <v>76249.921787709492</v>
      </c>
      <c r="AY725" s="308"/>
      <c r="BA725" s="65">
        <f t="shared" ref="BA725" si="1528">+BC725-BC724</f>
        <v>553786</v>
      </c>
      <c r="BB725" s="66"/>
      <c r="BC725" s="66">
        <v>956334581</v>
      </c>
      <c r="BD725" s="66"/>
      <c r="BE725" s="66">
        <f t="shared" ref="BE725" si="1529">+D725</f>
        <v>16213</v>
      </c>
      <c r="BF725" s="66"/>
      <c r="BG725" s="144">
        <f t="shared" ref="BG725" si="153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31">+BC725/BW725</f>
        <v>1335662.8226256983</v>
      </c>
      <c r="BO725" s="66"/>
      <c r="BP725" s="66">
        <f t="shared" ref="BP725" si="1532">+BP724+BE725</f>
        <v>70245767</v>
      </c>
      <c r="BQ725" s="66"/>
      <c r="BR725" s="435">
        <f t="shared" ref="BR725" si="1533">+BP725/BC725</f>
        <v>7.3453128638877485E-2</v>
      </c>
      <c r="BS725" s="66"/>
      <c r="BT725" s="75"/>
      <c r="BU725" s="170"/>
      <c r="BV725" s="1"/>
      <c r="BW725" s="61">
        <f t="shared" si="407"/>
        <v>716</v>
      </c>
      <c r="BZ725" s="1"/>
      <c r="CA725" s="61"/>
    </row>
    <row r="726" spans="2:79" x14ac:dyDescent="0.3">
      <c r="B726" s="347">
        <f t="shared" si="1073"/>
        <v>44626</v>
      </c>
      <c r="C726" s="61"/>
      <c r="D726" s="17">
        <v>4903</v>
      </c>
      <c r="E726" s="16"/>
      <c r="F726" s="16"/>
      <c r="G726" s="16"/>
      <c r="H726" s="16">
        <f t="shared" ref="H726" si="1534">+H725+D726</f>
        <v>71157648</v>
      </c>
      <c r="I726" s="16"/>
      <c r="J726" s="436">
        <f t="shared" ref="J726" si="1535">+D726/H725</f>
        <v>6.8908093426332315E-5</v>
      </c>
      <c r="K726" s="16"/>
      <c r="L726" s="16"/>
      <c r="M726" s="16"/>
      <c r="N726" s="16">
        <f t="shared" ref="N726" si="1536">SUM(D720:D726)</f>
        <v>241421</v>
      </c>
      <c r="O726" s="16">
        <f t="shared" ref="O726" si="1537">+H726/BW726</f>
        <v>99243.581589958165</v>
      </c>
      <c r="P726" s="41"/>
      <c r="Q726" s="17">
        <f t="shared" ref="Q726" si="1538">SUM(D720:D726)</f>
        <v>241421</v>
      </c>
      <c r="R726" s="16"/>
      <c r="S726" s="60">
        <f t="shared" ref="S726" si="1539">+(Q726-Q719)/Q719</f>
        <v>-0.30138524355342317</v>
      </c>
      <c r="T726" s="16"/>
      <c r="U726" s="41"/>
      <c r="V726" s="10">
        <f t="shared" si="568"/>
        <v>618</v>
      </c>
      <c r="W726" s="34">
        <v>183</v>
      </c>
      <c r="X726" s="33">
        <v>4256</v>
      </c>
      <c r="Y726" s="33"/>
      <c r="Z726" s="33">
        <f t="shared" ref="Z726" si="1540">SUM(W721:W726)</f>
        <v>6452</v>
      </c>
      <c r="AA726" s="33">
        <f t="shared" ref="AA726" si="1541">+AA725+W726</f>
        <v>868560</v>
      </c>
      <c r="AB726" s="33"/>
      <c r="AC726" s="46">
        <f t="shared" ref="AC726" si="1542">+AA726/H726</f>
        <v>1.2206136998794564E-2</v>
      </c>
      <c r="AD726" s="33"/>
      <c r="AE726" s="33">
        <f t="shared" ref="AE726" si="1543">+AA726/BW726</f>
        <v>1211.3807531380753</v>
      </c>
      <c r="AF726" s="50"/>
      <c r="AG726" s="33"/>
      <c r="AH726" s="33"/>
      <c r="AI726" s="213"/>
      <c r="AJ726" s="50"/>
      <c r="AL726" s="23">
        <f t="shared" ref="AL726" si="154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45">+AL726/AP725</f>
        <v>2.8983819454050544E-3</v>
      </c>
      <c r="AS726" s="25"/>
      <c r="AT726" s="25"/>
      <c r="AU726" s="24"/>
      <c r="AV726" s="298">
        <f t="shared" ref="AV726" si="1546">+AP726/H726</f>
        <v>0.76946305195472453</v>
      </c>
      <c r="AW726" s="298"/>
      <c r="AX726" s="24">
        <f t="shared" ref="AX726" si="1547">+AP726/BW726</f>
        <v>76364.269177126916</v>
      </c>
      <c r="AY726" s="308"/>
      <c r="BA726" s="65">
        <f t="shared" ref="BA726" si="1548">+BC726-BC725</f>
        <v>195077</v>
      </c>
      <c r="BB726" s="66"/>
      <c r="BC726" s="66">
        <v>956529658</v>
      </c>
      <c r="BD726" s="66"/>
      <c r="BE726" s="66">
        <f t="shared" ref="BE726" si="1549">+D726</f>
        <v>4903</v>
      </c>
      <c r="BF726" s="66"/>
      <c r="BG726" s="144">
        <f t="shared" ref="BG726" si="155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51">+BC726/BW726</f>
        <v>1334072.0474198048</v>
      </c>
      <c r="BO726" s="66"/>
      <c r="BP726" s="66">
        <f t="shared" ref="BP726" si="1552">+BP725+BE726</f>
        <v>70250670</v>
      </c>
      <c r="BQ726" s="66"/>
      <c r="BR726" s="435">
        <f t="shared" ref="BR726" si="1553">+BP726/BC726</f>
        <v>7.3443274249213084E-2</v>
      </c>
      <c r="BS726" s="66"/>
      <c r="BT726" s="75"/>
      <c r="BU726" s="170"/>
      <c r="BV726" s="1"/>
      <c r="BW726" s="61">
        <f t="shared" ref="BW726:BW831" si="1554">+BW725+1</f>
        <v>717</v>
      </c>
      <c r="BZ726" s="1"/>
      <c r="CA726" s="61"/>
    </row>
    <row r="727" spans="2:79" x14ac:dyDescent="0.3">
      <c r="B727" s="158">
        <f t="shared" si="1073"/>
        <v>44627</v>
      </c>
      <c r="C727" s="61"/>
      <c r="D727" s="17">
        <v>25751</v>
      </c>
      <c r="E727" s="16"/>
      <c r="F727" s="16"/>
      <c r="G727" s="16"/>
      <c r="H727" s="16">
        <f t="shared" ref="H727" si="1555">+H726+D727</f>
        <v>71183399</v>
      </c>
      <c r="I727" s="16"/>
      <c r="J727" s="436">
        <f t="shared" ref="J727" si="1556">+D727/H726</f>
        <v>3.6188660985534543E-4</v>
      </c>
      <c r="K727" s="16"/>
      <c r="L727" s="16"/>
      <c r="M727" s="16"/>
      <c r="N727" s="16">
        <f t="shared" ref="N727" si="1557">SUM(D721:D727)</f>
        <v>234254</v>
      </c>
      <c r="O727" s="16">
        <f t="shared" ref="O727" si="1558">+H727/BW727</f>
        <v>99141.224233983288</v>
      </c>
      <c r="P727" s="41"/>
      <c r="Q727" s="17">
        <f t="shared" ref="Q727" si="1559">SUM(D721:D727)</f>
        <v>234254</v>
      </c>
      <c r="R727" s="16"/>
      <c r="S727" s="60">
        <f t="shared" ref="S727" si="1560">+(Q727-Q720)/Q720</f>
        <v>-0.3320216372818236</v>
      </c>
      <c r="T727" s="16"/>
      <c r="U727" s="41"/>
      <c r="V727" s="10">
        <f t="shared" si="568"/>
        <v>619</v>
      </c>
      <c r="W727" s="34">
        <v>508</v>
      </c>
      <c r="X727" s="33">
        <v>4256</v>
      </c>
      <c r="Y727" s="33"/>
      <c r="Z727" s="33">
        <f t="shared" ref="Z727" si="1561">SUM(W722:W727)</f>
        <v>5509</v>
      </c>
      <c r="AA727" s="33">
        <f t="shared" ref="AA727" si="1562">+AA726+W727</f>
        <v>869068</v>
      </c>
      <c r="AB727" s="33"/>
      <c r="AC727" s="46">
        <f t="shared" ref="AC727" si="1563">+AA727/H727</f>
        <v>1.2208857854624222E-2</v>
      </c>
      <c r="AD727" s="33"/>
      <c r="AE727" s="33">
        <f t="shared" ref="AE727" si="1564">+AA727/BW727</f>
        <v>1210.4011142061281</v>
      </c>
      <c r="AF727" s="50"/>
      <c r="AG727" s="33"/>
      <c r="AH727" s="33"/>
      <c r="AI727" s="213"/>
      <c r="AJ727" s="50"/>
      <c r="AL727" s="23">
        <f t="shared" ref="AL727" si="156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66">+AL727/AP726</f>
        <v>4.745477710235685E-3</v>
      </c>
      <c r="AS727" s="25"/>
      <c r="AT727" s="25"/>
      <c r="AU727" s="24"/>
      <c r="AV727" s="298">
        <f t="shared" ref="AV727" si="1567">+AP727/H727</f>
        <v>0.77283484313526529</v>
      </c>
      <c r="AW727" s="298"/>
      <c r="AX727" s="24">
        <f t="shared" ref="AX727" si="1568">+AP727/BW727</f>
        <v>76619.792479108641</v>
      </c>
      <c r="AY727" s="308"/>
      <c r="BA727" s="65">
        <f t="shared" ref="BA727" si="1569">+BC727-BC726</f>
        <v>1788945</v>
      </c>
      <c r="BB727" s="66"/>
      <c r="BC727" s="66">
        <v>958318603</v>
      </c>
      <c r="BD727" s="66"/>
      <c r="BE727" s="66">
        <f t="shared" ref="BE727" si="1570">+D727</f>
        <v>25751</v>
      </c>
      <c r="BF727" s="66"/>
      <c r="BG727" s="144">
        <f t="shared" ref="BG727" si="157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72">+BC727/BW727</f>
        <v>1334705.5752089135</v>
      </c>
      <c r="BO727" s="66"/>
      <c r="BP727" s="66">
        <f t="shared" ref="BP727" si="1573">+BP726+BE727</f>
        <v>70276421</v>
      </c>
      <c r="BQ727" s="66"/>
      <c r="BR727" s="435">
        <f t="shared" ref="BR727" si="1574">+BP727/BC727</f>
        <v>7.3333044751506302E-2</v>
      </c>
      <c r="BS727" s="66"/>
      <c r="BT727" s="75"/>
      <c r="BU727" s="170"/>
      <c r="BV727" s="1"/>
      <c r="BW727" s="61">
        <f t="shared" si="1554"/>
        <v>718</v>
      </c>
      <c r="BZ727" s="1"/>
      <c r="CA727" s="61"/>
    </row>
    <row r="728" spans="2:79" x14ac:dyDescent="0.3">
      <c r="B728" s="158">
        <f t="shared" si="1073"/>
        <v>44628</v>
      </c>
      <c r="C728" s="61"/>
      <c r="D728" s="17">
        <v>29632</v>
      </c>
      <c r="E728" s="16"/>
      <c r="F728" s="16"/>
      <c r="G728" s="16"/>
      <c r="H728" s="16">
        <f t="shared" ref="H728" si="1575">+H727+D728</f>
        <v>71213031</v>
      </c>
      <c r="I728" s="16"/>
      <c r="J728" s="436">
        <f t="shared" ref="J728" si="1576">+D728/H727</f>
        <v>4.1627683443438827E-4</v>
      </c>
      <c r="K728" s="16"/>
      <c r="L728" s="16"/>
      <c r="M728" s="16"/>
      <c r="N728" s="16">
        <f t="shared" ref="N728" si="1577">SUM(D722:D728)</f>
        <v>221987</v>
      </c>
      <c r="O728" s="16">
        <f t="shared" ref="O728" si="1578">+H728/BW728</f>
        <v>99044.549374130744</v>
      </c>
      <c r="P728" s="41"/>
      <c r="Q728" s="17">
        <f t="shared" ref="Q728" si="1579">SUM(D722:D728)</f>
        <v>221987</v>
      </c>
      <c r="R728" s="16"/>
      <c r="S728" s="60">
        <f t="shared" ref="S728" si="1580">+(Q728-Q721)/Q721</f>
        <v>-0.3287908153854992</v>
      </c>
      <c r="T728" s="16"/>
      <c r="U728" s="41"/>
      <c r="V728" s="10">
        <f t="shared" si="568"/>
        <v>620</v>
      </c>
      <c r="W728" s="34">
        <v>1128</v>
      </c>
      <c r="X728" s="33">
        <v>4256</v>
      </c>
      <c r="Y728" s="33"/>
      <c r="Z728" s="33">
        <f t="shared" ref="Z728" si="1581">SUM(W723:W728)</f>
        <v>4859</v>
      </c>
      <c r="AA728" s="33">
        <f t="shared" ref="AA728" si="1582">+AA727+W728</f>
        <v>870196</v>
      </c>
      <c r="AB728" s="33"/>
      <c r="AC728" s="46">
        <f t="shared" ref="AC728" si="1583">+AA728/H728</f>
        <v>1.221961750230797E-2</v>
      </c>
      <c r="AD728" s="33"/>
      <c r="AE728" s="33">
        <f t="shared" ref="AE728" si="1584">+AA728/BW728</f>
        <v>1210.2865090403338</v>
      </c>
      <c r="AF728" s="50"/>
      <c r="AG728" s="33"/>
      <c r="AH728" s="33"/>
      <c r="AI728" s="213"/>
      <c r="AJ728" s="50"/>
      <c r="AL728" s="23">
        <f t="shared" ref="AL728" si="158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86">+AL728/AP727</f>
        <v>3.6838376288838288E-3</v>
      </c>
      <c r="AS728" s="25"/>
      <c r="AT728" s="25"/>
      <c r="AU728" s="24"/>
      <c r="AV728" s="298">
        <f t="shared" ref="AV728" si="1587">+AP728/H728</f>
        <v>0.77535907718911723</v>
      </c>
      <c r="AW728" s="298"/>
      <c r="AX728" s="24">
        <f t="shared" ref="AX728" si="1588">+AP728/BW728</f>
        <v>76795.090403337963</v>
      </c>
      <c r="AY728" s="308"/>
      <c r="BA728" s="65">
        <f t="shared" ref="BA728" si="1589">+BC728-BC727</f>
        <v>1742227</v>
      </c>
      <c r="BB728" s="66"/>
      <c r="BC728" s="66">
        <v>960060830</v>
      </c>
      <c r="BD728" s="66"/>
      <c r="BE728" s="66">
        <f t="shared" ref="BE728" si="1590">+D728</f>
        <v>29632</v>
      </c>
      <c r="BF728" s="66"/>
      <c r="BG728" s="144">
        <f t="shared" ref="BG728" si="159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92">+BC728/BW728</f>
        <v>1335272.3643949931</v>
      </c>
      <c r="BO728" s="66"/>
      <c r="BP728" s="66">
        <f t="shared" ref="BP728" si="1593">+BP727+BE728</f>
        <v>70306053</v>
      </c>
      <c r="BQ728" s="66"/>
      <c r="BR728" s="435">
        <f t="shared" ref="BR728" si="1594">+BP728/BC728</f>
        <v>7.3230831633866372E-2</v>
      </c>
      <c r="BS728" s="66"/>
      <c r="BT728" s="75"/>
      <c r="BU728" s="170"/>
      <c r="BV728" s="1"/>
      <c r="BW728" s="61">
        <f t="shared" si="1554"/>
        <v>719</v>
      </c>
      <c r="BZ728" s="1"/>
      <c r="CA728" s="61"/>
    </row>
    <row r="729" spans="2:79" x14ac:dyDescent="0.3">
      <c r="B729" s="158">
        <f t="shared" si="1073"/>
        <v>44629</v>
      </c>
      <c r="C729" s="61"/>
      <c r="D729" s="17">
        <v>39200</v>
      </c>
      <c r="E729" s="16"/>
      <c r="F729" s="16"/>
      <c r="G729" s="16"/>
      <c r="H729" s="16">
        <f t="shared" ref="H729" si="1595">+H728+D729</f>
        <v>71252231</v>
      </c>
      <c r="I729" s="16"/>
      <c r="J729" s="436">
        <f t="shared" ref="J729" si="1596">+D729/H728</f>
        <v>5.5046105255651873E-4</v>
      </c>
      <c r="K729" s="16"/>
      <c r="L729" s="16"/>
      <c r="M729" s="16"/>
      <c r="N729" s="16">
        <f t="shared" ref="N729" si="1597">SUM(D723:D729)</f>
        <v>210488</v>
      </c>
      <c r="O729" s="16">
        <f t="shared" ref="O729" si="1598">+H729/BW729</f>
        <v>98961.431944444441</v>
      </c>
      <c r="P729" s="41"/>
      <c r="Q729" s="17">
        <f t="shared" ref="Q729" si="1599">SUM(D723:D729)</f>
        <v>210488</v>
      </c>
      <c r="R729" s="16"/>
      <c r="S729" s="60">
        <f t="shared" ref="S729" si="1600">+(Q729-Q722)/Q722</f>
        <v>-0.31241384266609173</v>
      </c>
      <c r="T729" s="16"/>
      <c r="U729" s="41"/>
      <c r="V729" s="10">
        <f t="shared" si="568"/>
        <v>621</v>
      </c>
      <c r="W729" s="34">
        <v>1265</v>
      </c>
      <c r="X729" s="33">
        <v>4256</v>
      </c>
      <c r="Y729" s="33"/>
      <c r="Z729" s="33">
        <f t="shared" ref="Z729" si="1601">SUM(W724:W729)</f>
        <v>4866</v>
      </c>
      <c r="AA729" s="33">
        <f t="shared" ref="AA729" si="1602">+AA728+W729</f>
        <v>871461</v>
      </c>
      <c r="AB729" s="33"/>
      <c r="AC729" s="46">
        <f t="shared" ref="AC729" si="1603">+AA729/H729</f>
        <v>1.2230648609444944E-2</v>
      </c>
      <c r="AD729" s="33"/>
      <c r="AE729" s="33">
        <f t="shared" ref="AE729" si="1604">+AA729/BW729</f>
        <v>1210.3625</v>
      </c>
      <c r="AF729" s="50"/>
      <c r="AG729" s="33"/>
      <c r="AH729" s="33"/>
      <c r="AI729" s="213"/>
      <c r="AJ729" s="50"/>
      <c r="AL729" s="23">
        <f t="shared" ref="AL729" si="160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606">+AL729/AP728</f>
        <v>3.881579269073435E-3</v>
      </c>
      <c r="AS729" s="25"/>
      <c r="AT729" s="25"/>
      <c r="AU729" s="24"/>
      <c r="AV729" s="298">
        <f t="shared" ref="AV729" si="1607">+AP729/H729</f>
        <v>0.77794046897984148</v>
      </c>
      <c r="AW729" s="298"/>
      <c r="AX729" s="24">
        <f t="shared" ref="AX729" si="1608">+AP729/BW729</f>
        <v>76986.102777777778</v>
      </c>
      <c r="AY729" s="308"/>
      <c r="BA729" s="65">
        <f t="shared" ref="BA729" si="1609">+BC729-BC728</f>
        <v>1387984</v>
      </c>
      <c r="BB729" s="66"/>
      <c r="BC729" s="66">
        <v>961448814</v>
      </c>
      <c r="BD729" s="66"/>
      <c r="BE729" s="66">
        <f t="shared" ref="BE729" si="1610">+D729</f>
        <v>39200</v>
      </c>
      <c r="BF729" s="66"/>
      <c r="BG729" s="144">
        <f t="shared" ref="BG729" si="161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12">+BC729/BW729</f>
        <v>1335345.575</v>
      </c>
      <c r="BO729" s="66"/>
      <c r="BP729" s="66">
        <f t="shared" ref="BP729" si="1613">+BP728+BE729</f>
        <v>70345253</v>
      </c>
      <c r="BQ729" s="66"/>
      <c r="BR729" s="435">
        <f t="shared" ref="BR729" si="1614">+BP729/BC729</f>
        <v>7.316588462711443E-2</v>
      </c>
      <c r="BS729" s="66"/>
      <c r="BT729" s="75"/>
      <c r="BU729" s="170"/>
      <c r="BV729" s="1"/>
      <c r="BW729" s="61">
        <f t="shared" si="1554"/>
        <v>720</v>
      </c>
      <c r="BZ729" s="1"/>
      <c r="CA729" s="61"/>
    </row>
    <row r="730" spans="2:79" x14ac:dyDescent="0.3">
      <c r="B730" s="158">
        <f t="shared" si="1073"/>
        <v>44630</v>
      </c>
      <c r="C730" s="61"/>
      <c r="D730" s="17">
        <v>38038</v>
      </c>
      <c r="E730" s="16"/>
      <c r="F730" s="16"/>
      <c r="G730" s="16"/>
      <c r="H730" s="16">
        <f t="shared" ref="H730" si="1615">+H729+D730</f>
        <v>71290269</v>
      </c>
      <c r="I730" s="16"/>
      <c r="J730" s="436">
        <f t="shared" ref="J730" si="1616">+D730/H729</f>
        <v>5.3384995060716067E-4</v>
      </c>
      <c r="K730" s="16"/>
      <c r="L730" s="16"/>
      <c r="M730" s="16"/>
      <c r="N730" s="16">
        <f t="shared" ref="N730" si="1617">SUM(D724:D730)</f>
        <v>199435</v>
      </c>
      <c r="O730" s="16">
        <f t="shared" ref="O730" si="1618">+H730/BW730</f>
        <v>98876.933425797499</v>
      </c>
      <c r="P730" s="41"/>
      <c r="Q730" s="17">
        <f t="shared" ref="Q730" si="1619">SUM(D724:D730)</f>
        <v>199435</v>
      </c>
      <c r="R730" s="16"/>
      <c r="S730" s="60">
        <f t="shared" ref="S730" si="1620">+(Q730-Q723)/Q723</f>
        <v>-0.29858404963212021</v>
      </c>
      <c r="T730" s="16"/>
      <c r="U730" s="41"/>
      <c r="V730" s="10">
        <f t="shared" si="568"/>
        <v>622</v>
      </c>
      <c r="W730" s="34">
        <v>1247</v>
      </c>
      <c r="X730" s="33">
        <v>4256</v>
      </c>
      <c r="Y730" s="33"/>
      <c r="Z730" s="33">
        <f t="shared" ref="Z730" si="1621">SUM(W725:W730)</f>
        <v>4659</v>
      </c>
      <c r="AA730" s="33">
        <f t="shared" ref="AA730" si="1622">+AA729+W730</f>
        <v>872708</v>
      </c>
      <c r="AB730" s="33"/>
      <c r="AC730" s="46">
        <f t="shared" ref="AC730" si="1623">+AA730/H730</f>
        <v>1.2241614630462399E-2</v>
      </c>
      <c r="AD730" s="33"/>
      <c r="AE730" s="33">
        <f t="shared" ref="AE730" si="1624">+AA730/BW730</f>
        <v>1210.4133148404992</v>
      </c>
      <c r="AF730" s="50"/>
      <c r="AG730" s="33"/>
      <c r="AH730" s="33"/>
      <c r="AI730" s="213"/>
      <c r="AJ730" s="50"/>
      <c r="AL730" s="23">
        <f t="shared" ref="AL730" si="162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26">+AL730/AP729</f>
        <v>3.0701969767487256E-3</v>
      </c>
      <c r="AS730" s="25"/>
      <c r="AT730" s="25"/>
      <c r="AU730" s="24"/>
      <c r="AV730" s="298">
        <f t="shared" ref="AV730" si="1627">+AP730/H730</f>
        <v>0.77991254318313763</v>
      </c>
      <c r="AW730" s="298"/>
      <c r="AX730" s="24">
        <f t="shared" ref="AX730" si="1628">+AP730/BW730</f>
        <v>77115.360610263524</v>
      </c>
      <c r="AY730" s="308"/>
      <c r="BA730" s="65">
        <f t="shared" ref="BA730" si="1629">+BC730-BC729</f>
        <v>1168400</v>
      </c>
      <c r="BB730" s="66"/>
      <c r="BC730" s="66">
        <v>962617214</v>
      </c>
      <c r="BD730" s="66"/>
      <c r="BE730" s="66">
        <f t="shared" ref="BE730" si="1630">+D730</f>
        <v>38038</v>
      </c>
      <c r="BF730" s="66"/>
      <c r="BG730" s="144">
        <f t="shared" ref="BG730" si="163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32">+BC730/BW730</f>
        <v>1335114.027739251</v>
      </c>
      <c r="BO730" s="66"/>
      <c r="BP730" s="66">
        <f t="shared" ref="BP730" si="1633">+BP729+BE730</f>
        <v>70383291</v>
      </c>
      <c r="BQ730" s="66"/>
      <c r="BR730" s="435">
        <f t="shared" ref="BR730" si="1634">+BP730/BC730</f>
        <v>7.3116592947194067E-2</v>
      </c>
      <c r="BS730" s="66"/>
      <c r="BT730" s="75"/>
      <c r="BU730" s="170"/>
      <c r="BV730" s="1"/>
      <c r="BW730" s="61">
        <f t="shared" si="1554"/>
        <v>721</v>
      </c>
      <c r="BZ730" s="1"/>
      <c r="CA730" s="61"/>
    </row>
    <row r="731" spans="2:79" x14ac:dyDescent="0.3">
      <c r="B731" s="158">
        <f t="shared" si="1073"/>
        <v>44631</v>
      </c>
      <c r="C731" s="61"/>
      <c r="D731" s="17">
        <v>39254</v>
      </c>
      <c r="E731" s="16"/>
      <c r="F731" s="16"/>
      <c r="G731" s="16"/>
      <c r="H731" s="16">
        <f t="shared" ref="H731" si="1635">+H730+D731</f>
        <v>71329523</v>
      </c>
      <c r="I731" s="16"/>
      <c r="J731" s="436">
        <f t="shared" ref="J731" si="1636">+D731/H730</f>
        <v>5.5062213329563957E-4</v>
      </c>
      <c r="K731" s="16"/>
      <c r="L731" s="16"/>
      <c r="M731" s="16"/>
      <c r="N731" s="16">
        <f t="shared" ref="N731" si="1637">SUM(D725:D731)</f>
        <v>192991</v>
      </c>
      <c r="O731" s="16">
        <f t="shared" ref="O731" si="1638">+H731/BW731</f>
        <v>98794.353185595566</v>
      </c>
      <c r="P731" s="41"/>
      <c r="Q731" s="17">
        <f t="shared" ref="Q731" si="1639">SUM(D725:D731)</f>
        <v>192991</v>
      </c>
      <c r="R731" s="16"/>
      <c r="S731" s="60">
        <f t="shared" ref="S731" si="1640">+(Q731-Q724)/Q724</f>
        <v>-0.23951026906041645</v>
      </c>
      <c r="T731" s="16"/>
      <c r="U731" s="41"/>
      <c r="V731" s="10">
        <f t="shared" si="568"/>
        <v>623</v>
      </c>
      <c r="W731" s="34">
        <v>1022</v>
      </c>
      <c r="X731" s="33">
        <v>4256</v>
      </c>
      <c r="Y731" s="33"/>
      <c r="Z731" s="33">
        <f t="shared" ref="Z731" si="1641">SUM(W726:W731)</f>
        <v>5353</v>
      </c>
      <c r="AA731" s="33">
        <f t="shared" ref="AA731" si="1642">+AA730+W731</f>
        <v>873730</v>
      </c>
      <c r="AB731" s="33"/>
      <c r="AC731" s="46">
        <f t="shared" ref="AC731" si="1643">+AA731/H731</f>
        <v>1.2249205704067305E-2</v>
      </c>
      <c r="AD731" s="33"/>
      <c r="AE731" s="33">
        <f t="shared" ref="AE731" si="1644">+AA731/BW731</f>
        <v>1210.152354570637</v>
      </c>
      <c r="AF731" s="50"/>
      <c r="AG731" s="33"/>
      <c r="AH731" s="33"/>
      <c r="AI731" s="213"/>
      <c r="AJ731" s="50"/>
      <c r="AL731" s="23">
        <f t="shared" ref="AL731" si="164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46">+AL731/AP730</f>
        <v>2.8272932594186977E-3</v>
      </c>
      <c r="AS731" s="25"/>
      <c r="AT731" s="25"/>
      <c r="AU731" s="24"/>
      <c r="AV731" s="298">
        <f t="shared" ref="AV731" si="1647">+AP731/H731</f>
        <v>0.7816871704020788</v>
      </c>
      <c r="AW731" s="298"/>
      <c r="AX731" s="24">
        <f t="shared" ref="AX731" si="1648">+AP731/BW731</f>
        <v>77226.278393351808</v>
      </c>
      <c r="AY731" s="308"/>
      <c r="BA731" s="65">
        <f t="shared" ref="BA731" si="1649">+BC731-BC730</f>
        <v>1188666</v>
      </c>
      <c r="BB731" s="66"/>
      <c r="BC731" s="66">
        <v>963805880</v>
      </c>
      <c r="BD731" s="66"/>
      <c r="BE731" s="66">
        <f t="shared" ref="BE731" si="1650">+D731</f>
        <v>39254</v>
      </c>
      <c r="BF731" s="66"/>
      <c r="BG731" s="144">
        <f t="shared" ref="BG731" si="165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52">+BC731/BW731</f>
        <v>1334911.1911357341</v>
      </c>
      <c r="BO731" s="66"/>
      <c r="BP731" s="66">
        <f t="shared" ref="BP731" si="1653">+BP730+BE731</f>
        <v>70422545</v>
      </c>
      <c r="BQ731" s="66"/>
      <c r="BR731" s="435">
        <f t="shared" ref="BR731" si="1654">+BP731/BC731</f>
        <v>7.3067146052273518E-2</v>
      </c>
      <c r="BS731" s="66"/>
      <c r="BT731" s="75"/>
      <c r="BU731" s="170"/>
      <c r="BV731" s="1"/>
      <c r="BW731" s="61">
        <f t="shared" si="1554"/>
        <v>722</v>
      </c>
      <c r="BZ731" s="1"/>
      <c r="CA731" s="61"/>
    </row>
    <row r="732" spans="2:79" x14ac:dyDescent="0.3">
      <c r="B732" s="158">
        <f t="shared" si="1073"/>
        <v>44632</v>
      </c>
      <c r="C732" s="61"/>
      <c r="D732" s="17">
        <v>12261</v>
      </c>
      <c r="E732" s="16"/>
      <c r="F732" s="16"/>
      <c r="G732" s="16"/>
      <c r="H732" s="16">
        <f t="shared" ref="H732" si="1655">+H731+D732</f>
        <v>71341784</v>
      </c>
      <c r="I732" s="16"/>
      <c r="J732" s="436">
        <f t="shared" ref="J732" si="1656">+D732/H731</f>
        <v>1.71892359353083E-4</v>
      </c>
      <c r="K732" s="16"/>
      <c r="L732" s="16"/>
      <c r="M732" s="16"/>
      <c r="N732" s="16">
        <f t="shared" ref="N732" si="1657">SUM(D726:D732)</f>
        <v>189039</v>
      </c>
      <c r="O732" s="16">
        <f t="shared" ref="O732" si="1658">+H732/BW732</f>
        <v>98674.666666666672</v>
      </c>
      <c r="P732" s="41"/>
      <c r="Q732" s="17">
        <f t="shared" ref="Q732" si="1659">SUM(D726:D732)</f>
        <v>189039</v>
      </c>
      <c r="R732" s="16"/>
      <c r="S732" s="60">
        <f t="shared" ref="S732" si="1660">+(Q732-Q725)/Q725</f>
        <v>-0.22519284209490864</v>
      </c>
      <c r="T732" s="16"/>
      <c r="U732" s="41"/>
      <c r="V732" s="10">
        <f t="shared" si="568"/>
        <v>624</v>
      </c>
      <c r="W732" s="34">
        <v>460</v>
      </c>
      <c r="X732" s="33">
        <v>4256</v>
      </c>
      <c r="Y732" s="33"/>
      <c r="Z732" s="33">
        <f t="shared" ref="Z732" si="1661">SUM(W727:W732)</f>
        <v>5630</v>
      </c>
      <c r="AA732" s="33">
        <f t="shared" ref="AA732" si="1662">+AA731+W732</f>
        <v>874190</v>
      </c>
      <c r="AB732" s="33"/>
      <c r="AC732" s="46">
        <f t="shared" ref="AC732" si="1663">+AA732/H732</f>
        <v>1.2253548355336895E-2</v>
      </c>
      <c r="AD732" s="33"/>
      <c r="AE732" s="33">
        <f t="shared" ref="AE732" si="1664">+AA732/BW732</f>
        <v>1209.1147994467497</v>
      </c>
      <c r="AF732" s="50"/>
      <c r="AG732" s="33"/>
      <c r="AH732" s="33"/>
      <c r="AI732" s="213"/>
      <c r="AJ732" s="50"/>
      <c r="AL732" s="23">
        <f t="shared" ref="AL732" si="166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66">+AL732/AP731</f>
        <v>2.8294912674598212E-3</v>
      </c>
      <c r="AS732" s="25"/>
      <c r="AT732" s="25"/>
      <c r="AU732" s="24"/>
      <c r="AV732" s="298">
        <f t="shared" ref="AV732" si="1667">+AP732/H732</f>
        <v>0.78376422434291804</v>
      </c>
      <c r="AW732" s="298"/>
      <c r="AX732" s="24">
        <f t="shared" ref="AX732" si="1668">+AP732/BW732</f>
        <v>77337.673582295989</v>
      </c>
      <c r="AY732" s="308"/>
      <c r="BA732" s="65">
        <f t="shared" ref="BA732" si="1669">+BC732-BC731</f>
        <v>348507</v>
      </c>
      <c r="BB732" s="66"/>
      <c r="BC732" s="66">
        <v>964154387</v>
      </c>
      <c r="BD732" s="66"/>
      <c r="BE732" s="66">
        <f t="shared" ref="BE732" si="1670">+D732</f>
        <v>12261</v>
      </c>
      <c r="BF732" s="66"/>
      <c r="BG732" s="144">
        <f t="shared" ref="BG732" si="167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72">+BC732/BW732</f>
        <v>1333546.8699861688</v>
      </c>
      <c r="BO732" s="66"/>
      <c r="BP732" s="66">
        <f t="shared" ref="BP732" si="1673">+BP731+BE732</f>
        <v>70434806</v>
      </c>
      <c r="BQ732" s="66"/>
      <c r="BR732" s="435">
        <f t="shared" ref="BR732" si="1674">+BP732/BC732</f>
        <v>7.3053451760106969E-2</v>
      </c>
      <c r="BS732" s="66"/>
      <c r="BT732" s="75"/>
      <c r="BU732" s="170"/>
      <c r="BV732" s="1"/>
      <c r="BW732" s="61">
        <f t="shared" si="1554"/>
        <v>723</v>
      </c>
      <c r="BZ732" s="1"/>
      <c r="CA732" s="61"/>
    </row>
    <row r="733" spans="2:79" x14ac:dyDescent="0.3">
      <c r="B733" s="347">
        <f t="shared" si="1073"/>
        <v>44633</v>
      </c>
      <c r="C733" s="61"/>
      <c r="D733" s="17">
        <v>5143</v>
      </c>
      <c r="E733" s="16"/>
      <c r="F733" s="16"/>
      <c r="G733" s="16"/>
      <c r="H733" s="16">
        <f t="shared" ref="H733" si="1675">+H732+D733</f>
        <v>71346927</v>
      </c>
      <c r="I733" s="16"/>
      <c r="J733" s="436">
        <f t="shared" ref="J733" si="1676">+D733/H732</f>
        <v>7.2089590582708165E-5</v>
      </c>
      <c r="K733" s="16"/>
      <c r="L733" s="16"/>
      <c r="M733" s="16"/>
      <c r="N733" s="16">
        <f t="shared" ref="N733" si="1677">SUM(D727:D733)</f>
        <v>189279</v>
      </c>
      <c r="O733" s="16">
        <f t="shared" ref="O733" si="1678">+H733/BW733</f>
        <v>98545.479281767955</v>
      </c>
      <c r="P733" s="41"/>
      <c r="Q733" s="17">
        <f t="shared" ref="Q733" si="1679">SUM(D727:D733)</f>
        <v>189279</v>
      </c>
      <c r="R733" s="16"/>
      <c r="S733" s="60">
        <f t="shared" ref="S733" si="1680">+(Q733-Q726)/Q726</f>
        <v>-0.21597955438839206</v>
      </c>
      <c r="T733" s="16"/>
      <c r="U733" s="41"/>
      <c r="V733" s="10">
        <f t="shared" si="568"/>
        <v>625</v>
      </c>
      <c r="W733" s="34">
        <v>118</v>
      </c>
      <c r="X733" s="33">
        <v>4256</v>
      </c>
      <c r="Y733" s="33"/>
      <c r="Z733" s="33">
        <f t="shared" ref="Z733" si="1681">SUM(W728:W733)</f>
        <v>5240</v>
      </c>
      <c r="AA733" s="33">
        <f t="shared" ref="AA733" si="1682">+AA732+W733</f>
        <v>874308</v>
      </c>
      <c r="AB733" s="33"/>
      <c r="AC733" s="46">
        <f t="shared" ref="AC733" si="1683">+AA733/H733</f>
        <v>1.225431895616191E-2</v>
      </c>
      <c r="AD733" s="33"/>
      <c r="AE733" s="33">
        <f t="shared" ref="AE733" si="1684">+AA733/BW733</f>
        <v>1207.6077348066299</v>
      </c>
      <c r="AF733" s="50"/>
      <c r="AG733" s="33"/>
      <c r="AH733" s="33"/>
      <c r="AI733" s="213"/>
      <c r="AJ733" s="50"/>
      <c r="AL733" s="23">
        <f t="shared" ref="AL733" si="168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86">+AL733/AP732</f>
        <v>2.78931619555334E-3</v>
      </c>
      <c r="AS733" s="25"/>
      <c r="AT733" s="25"/>
      <c r="AU733" s="24"/>
      <c r="AV733" s="298">
        <f t="shared" ref="AV733" si="1687">+AP733/H733</f>
        <v>0.78589373582971556</v>
      </c>
      <c r="AW733" s="298"/>
      <c r="AX733" s="24">
        <f t="shared" ref="AX733" si="1688">+AP733/BW733</f>
        <v>77446.274861878454</v>
      </c>
      <c r="AY733" s="308"/>
      <c r="BA733" s="65">
        <f t="shared" ref="BA733" si="1689">+BC733-BC732</f>
        <v>232268</v>
      </c>
      <c r="BB733" s="66"/>
      <c r="BC733" s="66">
        <v>964386655</v>
      </c>
      <c r="BD733" s="66"/>
      <c r="BE733" s="66">
        <f t="shared" ref="BE733" si="1690">+D733</f>
        <v>5143</v>
      </c>
      <c r="BF733" s="66"/>
      <c r="BG733" s="144">
        <f t="shared" ref="BG733" si="169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92">+BC733/BW733</f>
        <v>1332025.7665745856</v>
      </c>
      <c r="BO733" s="66"/>
      <c r="BP733" s="66">
        <f t="shared" ref="BP733" si="1693">+BP732+BE733</f>
        <v>70439949</v>
      </c>
      <c r="BQ733" s="66"/>
      <c r="BR733" s="435">
        <f t="shared" ref="BR733" si="1694">+BP733/BC733</f>
        <v>7.3041190102324668E-2</v>
      </c>
      <c r="BS733" s="66"/>
      <c r="BT733" s="75"/>
      <c r="BU733" s="170"/>
      <c r="BV733" s="1"/>
      <c r="BW733" s="61">
        <f t="shared" si="1554"/>
        <v>724</v>
      </c>
      <c r="BZ733" s="1"/>
      <c r="CA733" s="61"/>
    </row>
    <row r="734" spans="2:79" x14ac:dyDescent="0.3">
      <c r="B734" s="158">
        <f t="shared" si="1073"/>
        <v>44634</v>
      </c>
      <c r="C734" s="61"/>
      <c r="D734" s="17">
        <v>19474</v>
      </c>
      <c r="E734" s="16"/>
      <c r="F734" s="16"/>
      <c r="G734" s="16"/>
      <c r="H734" s="16">
        <f t="shared" ref="H734" si="1695">+H733+D734</f>
        <v>71366401</v>
      </c>
      <c r="I734" s="16"/>
      <c r="J734" s="436">
        <f t="shared" ref="J734" si="1696">+D734/H733</f>
        <v>2.7294798555234199E-4</v>
      </c>
      <c r="K734" s="16"/>
      <c r="L734" s="16"/>
      <c r="M734" s="16"/>
      <c r="N734" s="16">
        <f t="shared" ref="N734" si="1697">SUM(D728:D734)</f>
        <v>183002</v>
      </c>
      <c r="O734" s="16">
        <f t="shared" ref="O734" si="1698">+H734/BW734</f>
        <v>98436.415172413792</v>
      </c>
      <c r="P734" s="41"/>
      <c r="Q734" s="17">
        <f t="shared" ref="Q734" si="1699">SUM(D728:D734)</f>
        <v>183002</v>
      </c>
      <c r="R734" s="16"/>
      <c r="S734" s="60">
        <f t="shared" ref="S734" si="1700">+(Q734-Q727)/Q727</f>
        <v>-0.21878815303047119</v>
      </c>
      <c r="T734" s="16"/>
      <c r="U734" s="41"/>
      <c r="V734" s="10">
        <f t="shared" si="568"/>
        <v>626</v>
      </c>
      <c r="W734" s="34">
        <v>408</v>
      </c>
      <c r="X734" s="33">
        <v>4256</v>
      </c>
      <c r="Y734" s="33"/>
      <c r="Z734" s="33">
        <f t="shared" ref="Z734" si="1701">SUM(W729:W734)</f>
        <v>4520</v>
      </c>
      <c r="AA734" s="33">
        <f t="shared" ref="AA734" si="1702">+AA733+W734</f>
        <v>874716</v>
      </c>
      <c r="AB734" s="33"/>
      <c r="AC734" s="46">
        <f t="shared" ref="AC734" si="1703">+AA734/H734</f>
        <v>1.225669205316939E-2</v>
      </c>
      <c r="AD734" s="33"/>
      <c r="AE734" s="33">
        <f t="shared" ref="AE734" si="1704">+AA734/BW734</f>
        <v>1206.5048275862068</v>
      </c>
      <c r="AF734" s="50"/>
      <c r="AG734" s="33"/>
      <c r="AH734" s="33"/>
      <c r="AI734" s="213"/>
      <c r="AJ734" s="50"/>
      <c r="AL734" s="23">
        <f t="shared" ref="AL734" si="170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706">+AL734/AP733</f>
        <v>3.7613492283181944E-3</v>
      </c>
      <c r="AS734" s="25"/>
      <c r="AT734" s="25"/>
      <c r="AU734" s="24"/>
      <c r="AV734" s="298">
        <f t="shared" ref="AV734" si="1707">+AP734/H734</f>
        <v>0.78863450042828975</v>
      </c>
      <c r="AW734" s="298"/>
      <c r="AX734" s="24">
        <f t="shared" ref="AX734" si="1708">+AP734/BW734</f>
        <v>77630.353103448273</v>
      </c>
      <c r="AY734" s="308"/>
      <c r="BA734" s="65">
        <f t="shared" ref="BA734" si="1709">+BC734-BC733</f>
        <v>2389969</v>
      </c>
      <c r="BB734" s="66"/>
      <c r="BC734" s="66">
        <v>966776624</v>
      </c>
      <c r="BD734" s="66"/>
      <c r="BE734" s="66">
        <f t="shared" ref="BE734" si="1710">+D734</f>
        <v>19474</v>
      </c>
      <c r="BF734" s="66"/>
      <c r="BG734" s="144">
        <f t="shared" ref="BG734" si="171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12">+BC734/BW734</f>
        <v>1333484.9986206896</v>
      </c>
      <c r="BO734" s="66"/>
      <c r="BP734" s="66">
        <f t="shared" ref="BP734" si="1713">+BP733+BE734</f>
        <v>70459423</v>
      </c>
      <c r="BQ734" s="66"/>
      <c r="BR734" s="435">
        <f t="shared" ref="BR734" si="1714">+BP734/BC734</f>
        <v>7.2880768163877327E-2</v>
      </c>
      <c r="BS734" s="66"/>
      <c r="BT734" s="75"/>
      <c r="BU734" s="170"/>
      <c r="BV734" s="1"/>
      <c r="BW734" s="61">
        <f t="shared" si="1554"/>
        <v>725</v>
      </c>
      <c r="BZ734" s="1"/>
      <c r="CA734" s="61"/>
    </row>
    <row r="735" spans="2:79" x14ac:dyDescent="0.3">
      <c r="B735" s="158">
        <f t="shared" si="1073"/>
        <v>44635</v>
      </c>
      <c r="C735" s="61"/>
      <c r="D735" s="17">
        <v>25359</v>
      </c>
      <c r="E735" s="16"/>
      <c r="F735" s="16"/>
      <c r="G735" s="16"/>
      <c r="H735" s="16">
        <f t="shared" ref="H735" si="1715">+H734+D735</f>
        <v>71391760</v>
      </c>
      <c r="I735" s="16"/>
      <c r="J735" s="436">
        <f t="shared" ref="J735" si="1716">+D735/H734</f>
        <v>3.5533527885201887E-4</v>
      </c>
      <c r="K735" s="16"/>
      <c r="L735" s="16"/>
      <c r="M735" s="16"/>
      <c r="N735" s="16">
        <f t="shared" ref="N735" si="1717">SUM(D729:D735)</f>
        <v>178729</v>
      </c>
      <c r="O735" s="16">
        <f t="shared" ref="O735" si="1718">+H735/BW735</f>
        <v>98335.757575757569</v>
      </c>
      <c r="P735" s="41"/>
      <c r="Q735" s="17">
        <f t="shared" ref="Q735" si="1719">SUM(D729:D735)</f>
        <v>178729</v>
      </c>
      <c r="R735" s="16"/>
      <c r="S735" s="60">
        <f t="shared" ref="S735" si="1720">+(Q735-Q728)/Q728</f>
        <v>-0.19486726700212176</v>
      </c>
      <c r="T735" s="16"/>
      <c r="U735" s="41"/>
      <c r="V735" s="10">
        <f t="shared" si="568"/>
        <v>627</v>
      </c>
      <c r="W735" s="34">
        <v>901</v>
      </c>
      <c r="X735" s="33">
        <v>4256</v>
      </c>
      <c r="Y735" s="33"/>
      <c r="Z735" s="33">
        <f t="shared" ref="Z735" si="1721">SUM(W730:W735)</f>
        <v>4156</v>
      </c>
      <c r="AA735" s="33">
        <f t="shared" ref="AA735" si="1722">+AA734+W735</f>
        <v>875617</v>
      </c>
      <c r="AB735" s="33"/>
      <c r="AC735" s="46">
        <f t="shared" ref="AC735" si="1723">+AA735/H735</f>
        <v>1.2264958869202832E-2</v>
      </c>
      <c r="AD735" s="33"/>
      <c r="AE735" s="33">
        <f t="shared" ref="AE735" si="1724">+AA735/BW735</f>
        <v>1206.0840220385676</v>
      </c>
      <c r="AF735" s="50"/>
      <c r="AG735" s="33"/>
      <c r="AH735" s="33"/>
      <c r="AI735" s="213"/>
      <c r="AJ735" s="50"/>
      <c r="AL735" s="23">
        <f t="shared" ref="AL735" si="172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26">+AL735/AP734</f>
        <v>3.0994630859461549E-3</v>
      </c>
      <c r="AS735" s="25"/>
      <c r="AT735" s="25"/>
      <c r="AU735" s="24"/>
      <c r="AV735" s="298">
        <f t="shared" ref="AV735" si="1727">+AP735/H735</f>
        <v>0.79079784557769695</v>
      </c>
      <c r="AW735" s="298"/>
      <c r="AX735" s="24">
        <f t="shared" ref="AX735" si="1728">+AP735/BW735</f>
        <v>77763.705234159774</v>
      </c>
      <c r="AY735" s="308"/>
      <c r="BA735" s="65">
        <f t="shared" ref="BA735" si="1729">+BC735-BC734</f>
        <v>630014</v>
      </c>
      <c r="BB735" s="66"/>
      <c r="BC735" s="66">
        <v>967406638</v>
      </c>
      <c r="BD735" s="66"/>
      <c r="BE735" s="66">
        <f t="shared" ref="BE735" si="1730">+D735</f>
        <v>25359</v>
      </c>
      <c r="BF735" s="66"/>
      <c r="BG735" s="144">
        <f t="shared" ref="BG735" si="173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32">+BC735/BW735</f>
        <v>1332516.0303030303</v>
      </c>
      <c r="BO735" s="66"/>
      <c r="BP735" s="66">
        <f t="shared" ref="BP735" si="1733">+BP734+BE735</f>
        <v>70484782</v>
      </c>
      <c r="BQ735" s="66"/>
      <c r="BR735" s="435">
        <f t="shared" ref="BR735" si="1734">+BP735/BC735</f>
        <v>7.2859518667061279E-2</v>
      </c>
      <c r="BS735" s="66"/>
      <c r="BT735" s="75"/>
      <c r="BU735" s="170"/>
      <c r="BV735" s="1"/>
      <c r="BW735" s="61">
        <f t="shared" si="1554"/>
        <v>726</v>
      </c>
      <c r="BZ735" s="1"/>
      <c r="CA735" s="61"/>
    </row>
    <row r="736" spans="2:79" x14ac:dyDescent="0.3">
      <c r="B736" s="158">
        <f t="shared" si="1073"/>
        <v>44636</v>
      </c>
      <c r="C736" s="61"/>
      <c r="D736" s="17">
        <v>30508</v>
      </c>
      <c r="E736" s="16"/>
      <c r="F736" s="16"/>
      <c r="G736" s="16"/>
      <c r="H736" s="16">
        <f t="shared" ref="H736" si="1735">+H735+D736</f>
        <v>71422268</v>
      </c>
      <c r="I736" s="16"/>
      <c r="J736" s="436">
        <f t="shared" ref="J736" si="1736">+D736/H735</f>
        <v>4.2733222993802087E-4</v>
      </c>
      <c r="K736" s="16"/>
      <c r="L736" s="16"/>
      <c r="M736" s="16"/>
      <c r="N736" s="16">
        <f t="shared" ref="N736" si="1737">SUM(D730:D736)</f>
        <v>170037</v>
      </c>
      <c r="O736" s="16">
        <f t="shared" ref="O736" si="1738">+H736/BW736</f>
        <v>98242.459422283355</v>
      </c>
      <c r="P736" s="41"/>
      <c r="Q736" s="17">
        <f t="shared" ref="Q736" si="1739">SUM(D730:D736)</f>
        <v>170037</v>
      </c>
      <c r="R736" s="16"/>
      <c r="S736" s="60">
        <f t="shared" ref="S736" si="1740">+(Q736-Q729)/Q729</f>
        <v>-0.19217722625517844</v>
      </c>
      <c r="T736" s="16"/>
      <c r="U736" s="41"/>
      <c r="V736" s="10">
        <f t="shared" si="568"/>
        <v>628</v>
      </c>
      <c r="W736" s="34">
        <v>982</v>
      </c>
      <c r="X736" s="33">
        <v>4256</v>
      </c>
      <c r="Y736" s="33"/>
      <c r="Z736" s="33">
        <f t="shared" ref="Z736" si="1741">SUM(W731:W736)</f>
        <v>3891</v>
      </c>
      <c r="AA736" s="33">
        <f t="shared" ref="AA736" si="1742">+AA735+W736</f>
        <v>876599</v>
      </c>
      <c r="AB736" s="33"/>
      <c r="AC736" s="46">
        <f t="shared" ref="AC736" si="1743">+AA736/H736</f>
        <v>1.227346910910194E-2</v>
      </c>
      <c r="AD736" s="33"/>
      <c r="AE736" s="33">
        <f t="shared" ref="AE736" si="1744">+AA736/BW736</f>
        <v>1205.7757909215957</v>
      </c>
      <c r="AF736" s="50"/>
      <c r="AG736" s="33"/>
      <c r="AH736" s="33"/>
      <c r="AI736" s="213"/>
      <c r="AJ736" s="50"/>
      <c r="AL736" s="23">
        <f t="shared" ref="AL736" si="174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46">+AL736/AP735</f>
        <v>3.0938360453057179E-3</v>
      </c>
      <c r="AS736" s="25"/>
      <c r="AT736" s="25"/>
      <c r="AU736" s="24"/>
      <c r="AV736" s="298">
        <f t="shared" ref="AV736" si="1747">+AP736/H736</f>
        <v>0.79290561033430074</v>
      </c>
      <c r="AW736" s="298"/>
      <c r="AX736" s="24">
        <f t="shared" ref="AX736" si="1748">+AP736/BW736</f>
        <v>77896.997248968357</v>
      </c>
      <c r="AY736" s="308"/>
      <c r="BA736" s="65">
        <f t="shared" ref="BA736" si="1749">+BC736-BC735</f>
        <v>1301559</v>
      </c>
      <c r="BB736" s="66"/>
      <c r="BC736" s="66">
        <v>968708197</v>
      </c>
      <c r="BD736" s="66"/>
      <c r="BE736" s="66">
        <f t="shared" ref="BE736" si="1750">+D736</f>
        <v>30508</v>
      </c>
      <c r="BF736" s="66"/>
      <c r="BG736" s="144">
        <f t="shared" ref="BG736" si="175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52">+BC736/BW736</f>
        <v>1332473.4484181567</v>
      </c>
      <c r="BO736" s="66"/>
      <c r="BP736" s="66">
        <f t="shared" ref="BP736" si="1753">+BP735+BE736</f>
        <v>70515290</v>
      </c>
      <c r="BQ736" s="66"/>
      <c r="BR736" s="435">
        <f t="shared" ref="BR736" si="1754">+BP736/BC736</f>
        <v>7.2793117905246757E-2</v>
      </c>
      <c r="BS736" s="66"/>
      <c r="BT736" s="75"/>
      <c r="BU736" s="170"/>
      <c r="BV736" s="1"/>
      <c r="BW736" s="61">
        <f t="shared" si="1554"/>
        <v>727</v>
      </c>
      <c r="BZ736" s="1"/>
      <c r="CA736" s="61"/>
    </row>
    <row r="737" spans="2:93" x14ac:dyDescent="0.3">
      <c r="B737" s="158">
        <f t="shared" si="1073"/>
        <v>44637</v>
      </c>
      <c r="C737" s="61"/>
      <c r="D737" s="17">
        <v>35474</v>
      </c>
      <c r="E737" s="16"/>
      <c r="F737" s="16"/>
      <c r="G737" s="16"/>
      <c r="H737" s="16">
        <f t="shared" ref="H737" si="1755">+H736+D737</f>
        <v>71457742</v>
      </c>
      <c r="I737" s="16"/>
      <c r="J737" s="436">
        <f t="shared" ref="J737" si="1756">+D737/H736</f>
        <v>4.9667983100172629E-4</v>
      </c>
      <c r="K737" s="16"/>
      <c r="L737" s="16"/>
      <c r="M737" s="16"/>
      <c r="N737" s="16">
        <f t="shared" ref="N737" si="1757">SUM(D731:D737)</f>
        <v>167473</v>
      </c>
      <c r="O737" s="16">
        <f t="shared" ref="O737" si="1758">+H737/BW737</f>
        <v>98156.239010989011</v>
      </c>
      <c r="P737" s="41"/>
      <c r="Q737" s="17">
        <f t="shared" ref="Q737" si="1759">SUM(D731:D737)</f>
        <v>167473</v>
      </c>
      <c r="R737" s="16"/>
      <c r="S737" s="60">
        <f t="shared" ref="S737" si="1760">+(Q737-Q730)/Q730</f>
        <v>-0.16026274224684733</v>
      </c>
      <c r="T737" s="16"/>
      <c r="U737" s="41"/>
      <c r="V737" s="10">
        <f t="shared" si="568"/>
        <v>629</v>
      </c>
      <c r="W737" s="34">
        <v>931</v>
      </c>
      <c r="X737" s="33">
        <v>4256</v>
      </c>
      <c r="Y737" s="33"/>
      <c r="Z737" s="33">
        <f t="shared" ref="Z737" si="1761">SUM(W732:W737)</f>
        <v>3800</v>
      </c>
      <c r="AA737" s="33">
        <f t="shared" ref="AA737" si="1762">+AA736+W737</f>
        <v>877530</v>
      </c>
      <c r="AB737" s="33"/>
      <c r="AC737" s="46">
        <f t="shared" ref="AC737" si="1763">+AA737/H737</f>
        <v>1.2280404830032272E-2</v>
      </c>
      <c r="AD737" s="33"/>
      <c r="AE737" s="33">
        <f t="shared" ref="AE737" si="1764">+AA737/BW737</f>
        <v>1205.3983516483515</v>
      </c>
      <c r="AF737" s="50"/>
      <c r="AG737" s="33"/>
      <c r="AH737" s="33"/>
      <c r="AI737" s="213"/>
      <c r="AJ737" s="50"/>
      <c r="AL737" s="23">
        <f t="shared" ref="AL737" si="176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66">+AL737/AP736</f>
        <v>3.3808798085335312E-3</v>
      </c>
      <c r="AS737" s="25"/>
      <c r="AT737" s="25"/>
      <c r="AU737" s="24"/>
      <c r="AV737" s="298">
        <f t="shared" ref="AV737" si="1767">+AP737/H737</f>
        <v>0.79519137338540591</v>
      </c>
      <c r="AW737" s="298"/>
      <c r="AX737" s="24">
        <f t="shared" ref="AX737" si="1768">+AP737/BW737</f>
        <v>78052.994505494498</v>
      </c>
      <c r="AY737" s="308"/>
      <c r="BA737" s="65">
        <f t="shared" ref="BA737" si="1769">+BC737-BC736</f>
        <v>992876</v>
      </c>
      <c r="BB737" s="66"/>
      <c r="BC737" s="66">
        <v>969701073</v>
      </c>
      <c r="BD737" s="66"/>
      <c r="BE737" s="66">
        <f t="shared" ref="BE737" si="1770">+D737</f>
        <v>35474</v>
      </c>
      <c r="BF737" s="66"/>
      <c r="BG737" s="144">
        <f t="shared" ref="BG737" si="177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72">+BC737/BW737</f>
        <v>1332006.9684065934</v>
      </c>
      <c r="BO737" s="66"/>
      <c r="BP737" s="66">
        <f t="shared" ref="BP737" si="1773">+BP736+BE737</f>
        <v>70550764</v>
      </c>
      <c r="BQ737" s="66"/>
      <c r="BR737" s="435">
        <f t="shared" ref="BR737" si="1774">+BP737/BC737</f>
        <v>7.275516750923508E-2</v>
      </c>
      <c r="BS737" s="66"/>
      <c r="BT737" s="75"/>
      <c r="BU737" s="170"/>
      <c r="BV737" s="1"/>
      <c r="BW737" s="61">
        <f t="shared" si="1554"/>
        <v>728</v>
      </c>
      <c r="BZ737" s="1"/>
      <c r="CA737" s="61"/>
    </row>
    <row r="738" spans="2:93" x14ac:dyDescent="0.3">
      <c r="B738" s="158">
        <f t="shared" si="1073"/>
        <v>44638</v>
      </c>
      <c r="C738" s="61"/>
      <c r="D738" s="17">
        <v>32236</v>
      </c>
      <c r="E738" s="16"/>
      <c r="F738" s="16"/>
      <c r="G738" s="16"/>
      <c r="H738" s="16">
        <f t="shared" ref="H738" si="1775">+H737+D738</f>
        <v>71489978</v>
      </c>
      <c r="I738" s="16"/>
      <c r="J738" s="436">
        <f t="shared" ref="J738" si="1776">+D738/H737</f>
        <v>4.5111976810014511E-4</v>
      </c>
      <c r="K738" s="16"/>
      <c r="L738" s="16"/>
      <c r="M738" s="16"/>
      <c r="N738" s="16">
        <f t="shared" ref="N738" si="1777">SUM(D732:D738)</f>
        <v>160455</v>
      </c>
      <c r="O738" s="16">
        <f t="shared" ref="O738" si="1778">+H738/BW738</f>
        <v>98065.813443072708</v>
      </c>
      <c r="P738" s="41"/>
      <c r="Q738" s="17">
        <f t="shared" ref="Q738" si="1779">SUM(D732:D738)</f>
        <v>160455</v>
      </c>
      <c r="R738" s="16"/>
      <c r="S738" s="60">
        <f t="shared" ref="S738" si="1780">+(Q738-Q731)/Q731</f>
        <v>-0.16858817250545363</v>
      </c>
      <c r="T738" s="16"/>
      <c r="U738" s="41"/>
      <c r="V738" s="10">
        <f t="shared" si="568"/>
        <v>630</v>
      </c>
      <c r="W738" s="34">
        <v>721</v>
      </c>
      <c r="X738" s="33">
        <v>4256</v>
      </c>
      <c r="Y738" s="33"/>
      <c r="Z738" s="33">
        <f t="shared" ref="Z738" si="1781">SUM(W733:W738)</f>
        <v>4061</v>
      </c>
      <c r="AA738" s="33">
        <f t="shared" ref="AA738" si="1782">+AA737+W738</f>
        <v>878251</v>
      </c>
      <c r="AB738" s="33"/>
      <c r="AC738" s="46">
        <f t="shared" ref="AC738" si="1783">+AA738/H738</f>
        <v>1.2284952724422435E-2</v>
      </c>
      <c r="AD738" s="33"/>
      <c r="AE738" s="33">
        <f t="shared" ref="AE738" si="1784">+AA738/BW738</f>
        <v>1204.7338820301784</v>
      </c>
      <c r="AF738" s="50"/>
      <c r="AG738" s="33"/>
      <c r="AH738" s="33"/>
      <c r="AI738" s="213"/>
      <c r="AJ738" s="50"/>
      <c r="AL738" s="23">
        <f t="shared" ref="AL738" si="178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86">+AL738/AP737</f>
        <v>2.6907789121859657E-3</v>
      </c>
      <c r="AS738" s="25"/>
      <c r="AT738" s="25"/>
      <c r="AU738" s="24"/>
      <c r="AV738" s="298">
        <f t="shared" ref="AV738" si="1787">+AP738/H738</f>
        <v>0.79697152795319082</v>
      </c>
      <c r="AW738" s="298"/>
      <c r="AX738" s="24">
        <f t="shared" ref="AX738" si="1788">+AP738/BW738</f>
        <v>78155.661179698218</v>
      </c>
      <c r="AY738" s="308"/>
      <c r="BA738" s="65">
        <f t="shared" ref="BA738" si="1789">+BC738-BC737</f>
        <v>1217534</v>
      </c>
      <c r="BB738" s="66"/>
      <c r="BC738" s="66">
        <v>970918607</v>
      </c>
      <c r="BD738" s="66"/>
      <c r="BE738" s="66">
        <f t="shared" ref="BE738" si="1790">+D738</f>
        <v>32236</v>
      </c>
      <c r="BF738" s="66"/>
      <c r="BG738" s="144">
        <f t="shared" ref="BG738" si="179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92">+BC738/BW738</f>
        <v>1331849.9410150892</v>
      </c>
      <c r="BO738" s="66"/>
      <c r="BP738" s="66">
        <f t="shared" ref="BP738" si="1793">+BP737+BE738</f>
        <v>70583000</v>
      </c>
      <c r="BQ738" s="66"/>
      <c r="BR738" s="435">
        <f t="shared" ref="BR738" si="1794">+BP738/BC738</f>
        <v>7.2697133921546114E-2</v>
      </c>
      <c r="BS738" s="66"/>
      <c r="BT738" s="75"/>
      <c r="BU738" s="170"/>
      <c r="BV738" s="1"/>
      <c r="BW738" s="61">
        <f t="shared" si="1554"/>
        <v>729</v>
      </c>
      <c r="BZ738" s="1"/>
      <c r="CA738" s="61"/>
    </row>
    <row r="739" spans="2:93" x14ac:dyDescent="0.3">
      <c r="B739" s="158">
        <f t="shared" si="1073"/>
        <v>44639</v>
      </c>
      <c r="C739" s="61"/>
      <c r="D739" s="17">
        <v>12362</v>
      </c>
      <c r="E739" s="16"/>
      <c r="F739" s="16"/>
      <c r="G739" s="16"/>
      <c r="H739" s="16">
        <f t="shared" ref="H739" si="1795">+H738+D739</f>
        <v>71502340</v>
      </c>
      <c r="I739" s="16"/>
      <c r="J739" s="436">
        <f t="shared" ref="J739" si="1796">+D739/H738</f>
        <v>1.7291934262450047E-4</v>
      </c>
      <c r="K739" s="16"/>
      <c r="L739" s="16"/>
      <c r="M739" s="16"/>
      <c r="N739" s="16">
        <f t="shared" ref="N739" si="1797">SUM(D733:D739)</f>
        <v>160556</v>
      </c>
      <c r="O739" s="16">
        <f t="shared" ref="O739" si="1798">+H739/BW739</f>
        <v>97948.410958904104</v>
      </c>
      <c r="P739" s="41"/>
      <c r="Q739" s="17">
        <f t="shared" ref="Q739" si="1799">SUM(D733:D739)</f>
        <v>160556</v>
      </c>
      <c r="R739" s="16"/>
      <c r="S739" s="60">
        <f t="shared" ref="S739" si="1800">+(Q739-Q732)/Q732</f>
        <v>-0.15067261252968964</v>
      </c>
      <c r="T739" s="16"/>
      <c r="U739" s="41"/>
      <c r="V739" s="10">
        <f t="shared" si="568"/>
        <v>631</v>
      </c>
      <c r="W739" s="34">
        <v>327</v>
      </c>
      <c r="X739" s="33">
        <v>4256</v>
      </c>
      <c r="Y739" s="33"/>
      <c r="Z739" s="33">
        <f t="shared" ref="Z739" si="1801">SUM(W734:W739)</f>
        <v>4270</v>
      </c>
      <c r="AA739" s="33">
        <f t="shared" ref="AA739" si="1802">+AA738+W739</f>
        <v>878578</v>
      </c>
      <c r="AB739" s="33"/>
      <c r="AC739" s="46">
        <f t="shared" ref="AC739" si="1803">+AA739/H739</f>
        <v>1.2287402062645782E-2</v>
      </c>
      <c r="AD739" s="33"/>
      <c r="AE739" s="33">
        <f t="shared" ref="AE739" si="1804">+AA739/BW739</f>
        <v>1203.5315068493151</v>
      </c>
      <c r="AF739" s="50"/>
      <c r="AG739" s="33"/>
      <c r="AH739" s="33"/>
      <c r="AI739" s="213"/>
      <c r="AJ739" s="50"/>
      <c r="AL739" s="23">
        <f t="shared" ref="AL739" si="180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806">+AL739/AP738</f>
        <v>2.5903425082338494E-3</v>
      </c>
      <c r="AS739" s="25"/>
      <c r="AT739" s="25"/>
      <c r="AU739" s="24"/>
      <c r="AV739" s="298">
        <f t="shared" ref="AV739" si="1807">+AP739/H739</f>
        <v>0.79889781229537382</v>
      </c>
      <c r="AW739" s="298"/>
      <c r="AX739" s="24">
        <f t="shared" ref="AX739" si="1808">+AP739/BW739</f>
        <v>78250.771232876708</v>
      </c>
      <c r="AY739" s="308"/>
      <c r="BA739" s="65">
        <f t="shared" ref="BA739" si="1809">+BC739-BC738</f>
        <v>274904</v>
      </c>
      <c r="BB739" s="66"/>
      <c r="BC739" s="66">
        <v>971193511</v>
      </c>
      <c r="BD739" s="66"/>
      <c r="BE739" s="66">
        <f t="shared" ref="BE739" si="1810">+D739</f>
        <v>12362</v>
      </c>
      <c r="BF739" s="66"/>
      <c r="BG739" s="144">
        <f t="shared" ref="BG739" si="181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12">+BC739/BW739</f>
        <v>1330402.0698630137</v>
      </c>
      <c r="BO739" s="66"/>
      <c r="BP739" s="66">
        <f t="shared" ref="BP739" si="1813">+BP738+BE739</f>
        <v>70595362</v>
      </c>
      <c r="BQ739" s="66"/>
      <c r="BR739" s="435">
        <f t="shared" ref="BR739" si="1814">+BP739/BC739</f>
        <v>7.2689285091403377E-2</v>
      </c>
      <c r="BS739" s="66"/>
      <c r="BT739" s="75"/>
      <c r="BU739" s="170"/>
      <c r="BV739" s="1"/>
      <c r="BW739" s="61">
        <f t="shared" si="1554"/>
        <v>730</v>
      </c>
      <c r="BZ739" s="1"/>
      <c r="CA739" s="61"/>
    </row>
    <row r="740" spans="2:93" x14ac:dyDescent="0.3">
      <c r="B740" s="347">
        <f t="shared" si="1073"/>
        <v>44640</v>
      </c>
      <c r="C740" s="61"/>
      <c r="D740" s="17">
        <v>5966</v>
      </c>
      <c r="E740" s="16"/>
      <c r="F740" s="16"/>
      <c r="G740" s="16"/>
      <c r="H740" s="16">
        <f t="shared" ref="H740" si="1815">+H739+D740</f>
        <v>71508306</v>
      </c>
      <c r="I740" s="16"/>
      <c r="J740" s="436">
        <f t="shared" ref="J740" si="1816">+D740/H739</f>
        <v>8.3437828747982235E-5</v>
      </c>
      <c r="K740" s="16"/>
      <c r="L740" s="16"/>
      <c r="M740" s="16"/>
      <c r="N740" s="16">
        <f t="shared" ref="N740" si="1817">SUM(D734:D740)</f>
        <v>161379</v>
      </c>
      <c r="O740" s="16">
        <f t="shared" ref="O740" si="1818">+H740/BW740</f>
        <v>97822.580027359785</v>
      </c>
      <c r="P740" s="41"/>
      <c r="Q740" s="17">
        <f t="shared" ref="Q740" si="1819">SUM(D734:D740)</f>
        <v>161379</v>
      </c>
      <c r="R740" s="16"/>
      <c r="S740" s="60">
        <f t="shared" ref="S740" si="1820">+(Q740-Q733)/Q733</f>
        <v>-0.14740145499500737</v>
      </c>
      <c r="T740" s="16"/>
      <c r="U740" s="41"/>
      <c r="V740" s="10">
        <f t="shared" si="568"/>
        <v>632</v>
      </c>
      <c r="W740" s="34">
        <v>88</v>
      </c>
      <c r="X740" s="33">
        <v>4256</v>
      </c>
      <c r="Y740" s="33"/>
      <c r="Z740" s="33">
        <f t="shared" ref="Z740" si="1821">SUM(W735:W740)</f>
        <v>3950</v>
      </c>
      <c r="AA740" s="33">
        <f t="shared" ref="AA740" si="1822">+AA739+W740</f>
        <v>878666</v>
      </c>
      <c r="AB740" s="33"/>
      <c r="AC740" s="46">
        <f t="shared" ref="AC740" si="1823">+AA740/H740</f>
        <v>1.2287607540304479E-2</v>
      </c>
      <c r="AD740" s="33"/>
      <c r="AE740" s="33">
        <f t="shared" ref="AE740" si="1824">+AA740/BW740</f>
        <v>1202.0054719562243</v>
      </c>
      <c r="AF740" s="50"/>
      <c r="AG740" s="33"/>
      <c r="AH740" s="33"/>
      <c r="AI740" s="213"/>
      <c r="AJ740" s="50"/>
      <c r="AL740" s="23">
        <f t="shared" ref="AL740" si="182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26">+AL740/AP739</f>
        <v>0.10300041158507205</v>
      </c>
      <c r="AS740" s="25"/>
      <c r="AT740" s="25"/>
      <c r="AU740" s="24"/>
      <c r="AV740" s="298">
        <f t="shared" ref="AV740" si="1827">+AP740/H740</f>
        <v>0.8811110977793265</v>
      </c>
      <c r="AW740" s="298"/>
      <c r="AX740" s="24">
        <f t="shared" ref="AX740" si="1828">+AP740/BW740</f>
        <v>86192.560875512994</v>
      </c>
      <c r="AY740" s="308"/>
      <c r="BA740" s="65">
        <f t="shared" ref="BA740" si="1829">+BC740-BC739</f>
        <v>412853</v>
      </c>
      <c r="BB740" s="66"/>
      <c r="BC740" s="66">
        <v>971606364</v>
      </c>
      <c r="BD740" s="66"/>
      <c r="BE740" s="66">
        <f t="shared" ref="BE740" si="1830">+D740</f>
        <v>5966</v>
      </c>
      <c r="BF740" s="66"/>
      <c r="BG740" s="144">
        <f t="shared" ref="BG740" si="183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32">+BC740/BW740</f>
        <v>1329146.8727770178</v>
      </c>
      <c r="BO740" s="66"/>
      <c r="BP740" s="66">
        <f t="shared" ref="BP740" si="1833">+BP739+BE740</f>
        <v>70601328</v>
      </c>
      <c r="BQ740" s="66"/>
      <c r="BR740" s="435">
        <f t="shared" ref="BR740" si="1834">+BP740/BC740</f>
        <v>7.2664538454999247E-2</v>
      </c>
      <c r="BS740" s="66"/>
      <c r="BT740" s="75"/>
      <c r="BU740" s="170"/>
      <c r="BV740" s="1"/>
      <c r="BW740" s="61">
        <f t="shared" si="1554"/>
        <v>731</v>
      </c>
      <c r="BZ740" s="1"/>
      <c r="CA740" s="61"/>
    </row>
    <row r="741" spans="2:93" x14ac:dyDescent="0.3">
      <c r="B741" s="158">
        <f t="shared" si="1073"/>
        <v>44641</v>
      </c>
      <c r="C741" s="61"/>
      <c r="D741" s="17">
        <v>16435</v>
      </c>
      <c r="E741" s="16"/>
      <c r="F741" s="16"/>
      <c r="G741" s="16"/>
      <c r="H741" s="16">
        <f t="shared" ref="H741" si="1835">+H740+D741</f>
        <v>71524741</v>
      </c>
      <c r="I741" s="16"/>
      <c r="J741" s="436">
        <f t="shared" ref="J741" si="1836">+D741/H740</f>
        <v>2.2983344060758479E-4</v>
      </c>
      <c r="K741" s="16"/>
      <c r="L741" s="16"/>
      <c r="M741" s="16"/>
      <c r="N741" s="16">
        <f t="shared" ref="N741" si="1837">SUM(D735:D741)</f>
        <v>158340</v>
      </c>
      <c r="O741" s="16">
        <f t="shared" ref="O741" si="1838">+H741/BW741</f>
        <v>97711.394808743164</v>
      </c>
      <c r="P741" s="41"/>
      <c r="Q741" s="17">
        <f t="shared" ref="Q741" si="1839">SUM(D735:D741)</f>
        <v>158340</v>
      </c>
      <c r="R741" s="16"/>
      <c r="S741" s="60">
        <f t="shared" ref="S741" si="1840">+(Q741-Q734)/Q734</f>
        <v>-0.13476355449667216</v>
      </c>
      <c r="T741" s="16"/>
      <c r="U741" s="41"/>
      <c r="V741" s="10">
        <f t="shared" si="568"/>
        <v>633</v>
      </c>
      <c r="W741" s="34">
        <v>232</v>
      </c>
      <c r="X741" s="33">
        <v>4256</v>
      </c>
      <c r="Y741" s="33"/>
      <c r="Z741" s="33">
        <f t="shared" ref="Z741" si="1841">SUM(W736:W741)</f>
        <v>3281</v>
      </c>
      <c r="AA741" s="33">
        <f t="shared" ref="AA741" si="1842">+AA740+W741</f>
        <v>878898</v>
      </c>
      <c r="AB741" s="33"/>
      <c r="AC741" s="46">
        <f t="shared" ref="AC741" si="1843">+AA741/H741</f>
        <v>1.2288027718967903E-2</v>
      </c>
      <c r="AD741" s="33"/>
      <c r="AE741" s="33">
        <f t="shared" ref="AE741" si="1844">+AA741/BW741</f>
        <v>1200.6803278688524</v>
      </c>
      <c r="AF741" s="50"/>
      <c r="AG741" s="33"/>
      <c r="AH741" s="33"/>
      <c r="AI741" s="213"/>
      <c r="AJ741" s="50"/>
      <c r="AL741" s="23">
        <f t="shared" ref="AL741" si="184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46">+AL741/AP740</f>
        <v>3.9385613880618085E-3</v>
      </c>
      <c r="AS741" s="25"/>
      <c r="AT741" s="25"/>
      <c r="AU741" s="24"/>
      <c r="AV741" s="298">
        <f t="shared" ref="AV741" si="1847">+AP741/H741</f>
        <v>0.88437814825502126</v>
      </c>
      <c r="AW741" s="298"/>
      <c r="AX741" s="24">
        <f t="shared" ref="AX741" si="1848">+AP741/BW741</f>
        <v>86413.822404371589</v>
      </c>
      <c r="AY741" s="308"/>
      <c r="BA741" s="65">
        <f t="shared" ref="BA741" si="1849">+BC741-BC740</f>
        <v>1240438</v>
      </c>
      <c r="BB741" s="66"/>
      <c r="BC741" s="66">
        <v>972846802</v>
      </c>
      <c r="BD741" s="66"/>
      <c r="BE741" s="66">
        <f t="shared" ref="BE741" si="1850">+D741</f>
        <v>16435</v>
      </c>
      <c r="BF741" s="66"/>
      <c r="BG741" s="144">
        <f t="shared" ref="BG741" si="185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52">+BC741/BW741</f>
        <v>1329025.6857923497</v>
      </c>
      <c r="BO741" s="66"/>
      <c r="BP741" s="66">
        <f t="shared" ref="BP741" si="1853">+BP740+BE741</f>
        <v>70617763</v>
      </c>
      <c r="BQ741" s="66"/>
      <c r="BR741" s="435">
        <f t="shared" ref="BR741" si="1854">+BP741/BC741</f>
        <v>7.2588780530318281E-2</v>
      </c>
      <c r="BS741" s="66"/>
      <c r="BT741" s="75"/>
      <c r="BU741" s="170"/>
      <c r="BV741" s="1"/>
      <c r="BW741" s="61">
        <f t="shared" si="1554"/>
        <v>732</v>
      </c>
      <c r="BZ741" s="1"/>
      <c r="CA741" s="61"/>
      <c r="CO741" s="56"/>
    </row>
    <row r="742" spans="2:93" x14ac:dyDescent="0.3">
      <c r="B742" s="158">
        <f t="shared" si="1073"/>
        <v>44642</v>
      </c>
      <c r="C742" s="61"/>
      <c r="D742" s="17">
        <v>23607</v>
      </c>
      <c r="E742" s="16"/>
      <c r="F742" s="16"/>
      <c r="G742" s="16"/>
      <c r="H742" s="16">
        <f t="shared" ref="H742" si="1855">+H741+D742</f>
        <v>71548348</v>
      </c>
      <c r="I742" s="16"/>
      <c r="J742" s="436">
        <f t="shared" ref="J742" si="1856">+D742/H741</f>
        <v>3.3005362438152697E-4</v>
      </c>
      <c r="K742" s="16"/>
      <c r="L742" s="16"/>
      <c r="M742" s="16"/>
      <c r="N742" s="16">
        <f t="shared" ref="N742" si="1857">SUM(D736:D742)</f>
        <v>156588</v>
      </c>
      <c r="O742" s="16">
        <f t="shared" ref="O742" si="1858">+H742/BW742</f>
        <v>97610.297407912687</v>
      </c>
      <c r="P742" s="41"/>
      <c r="Q742" s="17">
        <f t="shared" ref="Q742" si="1859">SUM(D736:D742)</f>
        <v>156588</v>
      </c>
      <c r="R742" s="16"/>
      <c r="S742" s="60">
        <f t="shared" ref="S742" si="1860">+(Q742-Q735)/Q735</f>
        <v>-0.12388028803383894</v>
      </c>
      <c r="T742" s="16"/>
      <c r="U742" s="41"/>
      <c r="V742" s="10">
        <f t="shared" si="568"/>
        <v>634</v>
      </c>
      <c r="W742" s="34">
        <v>817</v>
      </c>
      <c r="X742" s="33">
        <v>4256</v>
      </c>
      <c r="Y742" s="33"/>
      <c r="Z742" s="33">
        <f t="shared" ref="Z742" si="1861">SUM(W737:W742)</f>
        <v>3116</v>
      </c>
      <c r="AA742" s="33">
        <f t="shared" ref="AA742" si="1862">+AA741+W742</f>
        <v>879715</v>
      </c>
      <c r="AB742" s="33"/>
      <c r="AC742" s="46">
        <f t="shared" ref="AC742" si="1863">+AA742/H742</f>
        <v>1.2295392201088976E-2</v>
      </c>
      <c r="AD742" s="33"/>
      <c r="AE742" s="33">
        <f t="shared" ref="AE742" si="1864">+AA742/BW742</f>
        <v>1200.1568894952252</v>
      </c>
      <c r="AF742" s="50"/>
      <c r="AG742" s="33"/>
      <c r="AH742" s="33"/>
      <c r="AI742" s="213"/>
      <c r="AJ742" s="50"/>
      <c r="AL742" s="23">
        <f t="shared" ref="AL742" si="186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66">+AL742/AP741</f>
        <v>3.0939570580108887E-3</v>
      </c>
      <c r="AS742" s="25"/>
      <c r="AT742" s="25"/>
      <c r="AU742" s="24"/>
      <c r="AV742" s="298">
        <f t="shared" ref="AV742" si="1867">+AP742/H742</f>
        <v>0.88682167755990682</v>
      </c>
      <c r="AW742" s="298"/>
      <c r="AX742" s="24">
        <f t="shared" ref="AX742" si="1868">+AP742/BW742</f>
        <v>86562.92769440655</v>
      </c>
      <c r="AY742" s="308"/>
      <c r="BA742" s="65">
        <f t="shared" ref="BA742" si="1869">+BC742-BC741</f>
        <v>1594124</v>
      </c>
      <c r="BB742" s="66"/>
      <c r="BC742" s="66">
        <v>974440926</v>
      </c>
      <c r="BD742" s="66"/>
      <c r="BE742" s="66">
        <f t="shared" ref="BE742" si="1870">+D742</f>
        <v>23607</v>
      </c>
      <c r="BF742" s="66"/>
      <c r="BG742" s="144">
        <f t="shared" ref="BG742" si="187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72">+BC742/BW742</f>
        <v>1329387.3478854024</v>
      </c>
      <c r="BO742" s="66"/>
      <c r="BP742" s="66">
        <f t="shared" ref="BP742" si="1873">+BP741+BE742</f>
        <v>70641370</v>
      </c>
      <c r="BQ742" s="66"/>
      <c r="BR742" s="435">
        <f t="shared" ref="BR742" si="1874">+BP742/BC742</f>
        <v>7.2494256055086914E-2</v>
      </c>
      <c r="BS742" s="66"/>
      <c r="BT742" s="75"/>
      <c r="BU742" s="170"/>
      <c r="BV742" s="1"/>
      <c r="BW742" s="61">
        <f t="shared" si="1554"/>
        <v>733</v>
      </c>
      <c r="BZ742" s="1"/>
      <c r="CA742" s="61"/>
    </row>
    <row r="743" spans="2:93" x14ac:dyDescent="0.3">
      <c r="B743" s="158">
        <f t="shared" si="1073"/>
        <v>44643</v>
      </c>
      <c r="C743" s="61"/>
      <c r="D743" s="17">
        <v>32023</v>
      </c>
      <c r="E743" s="16"/>
      <c r="F743" s="16"/>
      <c r="G743" s="16"/>
      <c r="H743" s="16">
        <f t="shared" ref="H743" si="1875">+H742+D743</f>
        <v>71580371</v>
      </c>
      <c r="I743" s="16"/>
      <c r="J743" s="436">
        <f t="shared" ref="J743" si="1876">+D743/H742</f>
        <v>4.4757147991732806E-4</v>
      </c>
      <c r="K743" s="16"/>
      <c r="L743" s="16"/>
      <c r="M743" s="16"/>
      <c r="N743" s="16">
        <f t="shared" ref="N743" si="1877">SUM(D737:D743)</f>
        <v>158103</v>
      </c>
      <c r="O743" s="16">
        <f t="shared" ref="O743" si="1878">+H743/BW743</f>
        <v>97520.941416893736</v>
      </c>
      <c r="P743" s="41"/>
      <c r="Q743" s="17">
        <f t="shared" ref="Q743" si="1879">SUM(D737:D743)</f>
        <v>158103</v>
      </c>
      <c r="R743" s="16"/>
      <c r="S743" s="60">
        <f t="shared" ref="S743" si="1880">+(Q743-Q736)/Q736</f>
        <v>-7.0184724501137982E-2</v>
      </c>
      <c r="T743" s="16"/>
      <c r="U743" s="41"/>
      <c r="V743" s="10">
        <f t="shared" si="568"/>
        <v>635</v>
      </c>
      <c r="W743" s="34">
        <v>771</v>
      </c>
      <c r="X743" s="33">
        <v>4256</v>
      </c>
      <c r="Y743" s="33"/>
      <c r="Z743" s="33">
        <f t="shared" ref="Z743" si="1881">SUM(W738:W743)</f>
        <v>2956</v>
      </c>
      <c r="AA743" s="33">
        <f t="shared" ref="AA743" si="1882">+AA742+W743</f>
        <v>880486</v>
      </c>
      <c r="AB743" s="33"/>
      <c r="AC743" s="46">
        <f t="shared" ref="AC743" si="1883">+AA743/H743</f>
        <v>1.2300662705422412E-2</v>
      </c>
      <c r="AD743" s="33"/>
      <c r="AE743" s="33">
        <f t="shared" ref="AE743" si="1884">+AA743/BW743</f>
        <v>1199.5722070844686</v>
      </c>
      <c r="AF743" s="50"/>
      <c r="AG743" s="33"/>
      <c r="AH743" s="33"/>
      <c r="AI743" s="213"/>
      <c r="AJ743" s="50"/>
      <c r="AL743" s="23">
        <f t="shared" ref="AL743" si="188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86">+AL743/AP742</f>
        <v>2.7192797120709259E-3</v>
      </c>
      <c r="AS743" s="25"/>
      <c r="AT743" s="25"/>
      <c r="AU743" s="24"/>
      <c r="AV743" s="298">
        <f t="shared" ref="AV743" si="1887">+AP743/H743</f>
        <v>0.88883537639110588</v>
      </c>
      <c r="AW743" s="298"/>
      <c r="AX743" s="24">
        <f t="shared" ref="AX743" si="1888">+AP743/BW743</f>
        <v>86680.062670299725</v>
      </c>
      <c r="AY743" s="308"/>
      <c r="BA743" s="65">
        <f t="shared" ref="BA743" si="1889">+BC743-BC742</f>
        <v>1359862</v>
      </c>
      <c r="BB743" s="66"/>
      <c r="BC743" s="66">
        <v>975800788</v>
      </c>
      <c r="BD743" s="66"/>
      <c r="BE743" s="66">
        <f t="shared" ref="BE743" si="1890">+D743</f>
        <v>32023</v>
      </c>
      <c r="BF743" s="66"/>
      <c r="BG743" s="144">
        <f t="shared" ref="BG743" si="189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92">+BC743/BW743</f>
        <v>1329428.8664850136</v>
      </c>
      <c r="BO743" s="66"/>
      <c r="BP743" s="66">
        <f t="shared" ref="BP743" si="1893">+BP742+BE743</f>
        <v>70673393</v>
      </c>
      <c r="BQ743" s="66"/>
      <c r="BR743" s="435">
        <f t="shared" ref="BR743" si="1894">+BP743/BC743</f>
        <v>7.2426046247464196E-2</v>
      </c>
      <c r="BS743" s="66"/>
      <c r="BT743" s="75"/>
      <c r="BU743" s="170"/>
      <c r="BV743" s="1"/>
      <c r="BW743" s="61">
        <f t="shared" si="1554"/>
        <v>734</v>
      </c>
      <c r="BZ743" s="1"/>
      <c r="CA743" s="61"/>
    </row>
    <row r="744" spans="2:93" x14ac:dyDescent="0.3">
      <c r="B744" s="158">
        <f t="shared" si="1073"/>
        <v>44644</v>
      </c>
      <c r="C744" s="61"/>
      <c r="D744" s="17">
        <v>31796</v>
      </c>
      <c r="E744" s="16"/>
      <c r="F744" s="16"/>
      <c r="G744" s="16"/>
      <c r="H744" s="16">
        <f t="shared" ref="H744" si="1895">+H743+D744</f>
        <v>71612167</v>
      </c>
      <c r="I744" s="16"/>
      <c r="J744" s="436">
        <f t="shared" ref="J744" si="1896">+D744/H743</f>
        <v>4.4419998884889827E-4</v>
      </c>
      <c r="K744" s="16"/>
      <c r="L744" s="16"/>
      <c r="M744" s="16"/>
      <c r="N744" s="16">
        <f t="shared" ref="N744" si="1897">SUM(D738:D744)</f>
        <v>154425</v>
      </c>
      <c r="O744" s="16">
        <f t="shared" ref="O744" si="1898">+H744/BW744</f>
        <v>97431.519727891151</v>
      </c>
      <c r="P744" s="41"/>
      <c r="Q744" s="17">
        <f t="shared" ref="Q744" si="1899">SUM(D738:D744)</f>
        <v>154425</v>
      </c>
      <c r="R744" s="16"/>
      <c r="S744" s="60">
        <f t="shared" ref="S744" si="1900">+(Q744-Q737)/Q737</f>
        <v>-7.7911066261427214E-2</v>
      </c>
      <c r="T744" s="16"/>
      <c r="U744" s="41"/>
      <c r="V744" s="10">
        <f t="shared" si="568"/>
        <v>636</v>
      </c>
      <c r="W744" s="34">
        <v>649</v>
      </c>
      <c r="X744" s="33">
        <v>4256</v>
      </c>
      <c r="Y744" s="33"/>
      <c r="Z744" s="33">
        <f t="shared" ref="Z744" si="1901">SUM(W739:W744)</f>
        <v>2884</v>
      </c>
      <c r="AA744" s="33">
        <f t="shared" ref="AA744" si="1902">+AA743+W744</f>
        <v>881135</v>
      </c>
      <c r="AB744" s="33"/>
      <c r="AC744" s="46">
        <f t="shared" ref="AC744" si="1903">+AA744/H744</f>
        <v>1.230426388297955E-2</v>
      </c>
      <c r="AD744" s="33"/>
      <c r="AE744" s="33">
        <f t="shared" ref="AE744" si="1904">+AA744/BW744</f>
        <v>1198.8231292517007</v>
      </c>
      <c r="AF744" s="50"/>
      <c r="AG744" s="33"/>
      <c r="AH744" s="33"/>
      <c r="AI744" s="213"/>
      <c r="AJ744" s="50"/>
      <c r="AL744" s="23">
        <f t="shared" ref="AL744" si="190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906">+AL744/AP743</f>
        <v>3.1628102254452413E-3</v>
      </c>
      <c r="AS744" s="25"/>
      <c r="AT744" s="25"/>
      <c r="AU744" s="24"/>
      <c r="AV744" s="298">
        <f t="shared" ref="AV744" si="1907">+AP744/H744</f>
        <v>0.89125070045708854</v>
      </c>
      <c r="AW744" s="298"/>
      <c r="AX744" s="24">
        <f t="shared" ref="AX744" si="1908">+AP744/BW744</f>
        <v>86835.910204081636</v>
      </c>
      <c r="AY744" s="308"/>
      <c r="BA744" s="65">
        <f t="shared" ref="BA744" si="1909">+BC744-BC743</f>
        <v>1054255</v>
      </c>
      <c r="BB744" s="66"/>
      <c r="BC744" s="66">
        <v>976855043</v>
      </c>
      <c r="BD744" s="66"/>
      <c r="BE744" s="66">
        <f t="shared" ref="BE744" si="1910">+D744</f>
        <v>31796</v>
      </c>
      <c r="BF744" s="66"/>
      <c r="BG744" s="144">
        <f t="shared" ref="BG744" si="191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12">+BC744/BW744</f>
        <v>1329054.4802721089</v>
      </c>
      <c r="BO744" s="66"/>
      <c r="BP744" s="66">
        <f t="shared" ref="BP744" si="1913">+BP743+BE744</f>
        <v>70705189</v>
      </c>
      <c r="BQ744" s="66"/>
      <c r="BR744" s="435">
        <f t="shared" ref="BR744" si="1914">+BP744/BC744</f>
        <v>7.2380430962263043E-2</v>
      </c>
      <c r="BS744" s="66"/>
      <c r="BT744" s="75"/>
      <c r="BU744" s="170"/>
      <c r="BV744" s="1"/>
      <c r="BW744" s="61">
        <f t="shared" si="1554"/>
        <v>735</v>
      </c>
      <c r="BZ744" s="1"/>
      <c r="CA744" s="61"/>
    </row>
    <row r="745" spans="2:93" x14ac:dyDescent="0.3">
      <c r="B745" s="158">
        <f t="shared" si="1073"/>
        <v>44645</v>
      </c>
      <c r="C745" s="61"/>
      <c r="D745" s="17">
        <v>31927</v>
      </c>
      <c r="E745" s="16"/>
      <c r="F745" s="16"/>
      <c r="G745" s="16"/>
      <c r="H745" s="16">
        <f t="shared" ref="H745" si="1915">+H744+D745</f>
        <v>71644094</v>
      </c>
      <c r="I745" s="16"/>
      <c r="J745" s="436">
        <f t="shared" ref="J745" si="1916">+D745/H744</f>
        <v>4.4583206091221902E-4</v>
      </c>
      <c r="K745" s="16"/>
      <c r="L745" s="16"/>
      <c r="M745" s="16"/>
      <c r="N745" s="16">
        <f t="shared" ref="N745" si="1917">SUM(D739:D745)</f>
        <v>154116</v>
      </c>
      <c r="O745" s="16">
        <f t="shared" ref="O745" si="1918">+H745/BW745</f>
        <v>97342.519021739135</v>
      </c>
      <c r="P745" s="41"/>
      <c r="Q745" s="17">
        <f t="shared" ref="Q745" si="1919">SUM(D739:D745)</f>
        <v>154116</v>
      </c>
      <c r="R745" s="16"/>
      <c r="S745" s="60">
        <f t="shared" ref="S745" si="1920">+(Q745-Q738)/Q738</f>
        <v>-3.9506403664578853E-2</v>
      </c>
      <c r="T745" s="16"/>
      <c r="U745" s="41"/>
      <c r="V745" s="10">
        <f t="shared" si="568"/>
        <v>637</v>
      </c>
      <c r="W745" s="34">
        <v>692</v>
      </c>
      <c r="X745" s="33">
        <v>4256</v>
      </c>
      <c r="Y745" s="33"/>
      <c r="Z745" s="33">
        <f t="shared" ref="Z745" si="1921">SUM(W740:W745)</f>
        <v>3249</v>
      </c>
      <c r="AA745" s="33">
        <f t="shared" ref="AA745" si="1922">+AA744+W745</f>
        <v>881827</v>
      </c>
      <c r="AB745" s="33"/>
      <c r="AC745" s="46">
        <f t="shared" ref="AC745" si="1923">+AA745/H745</f>
        <v>1.2308439548415533E-2</v>
      </c>
      <c r="AD745" s="33"/>
      <c r="AE745" s="33">
        <f t="shared" ref="AE745" si="1924">+AA745/BW745</f>
        <v>1198.1345108695652</v>
      </c>
      <c r="AF745" s="50"/>
      <c r="AG745" s="33"/>
      <c r="AH745" s="33"/>
      <c r="AI745" s="213"/>
      <c r="AJ745" s="50"/>
      <c r="AL745" s="23">
        <f t="shared" ref="AL745" si="192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26">+AL745/AP744</f>
        <v>3.8507063615833156E-3</v>
      </c>
      <c r="AS745" s="25"/>
      <c r="AT745" s="25"/>
      <c r="AU745" s="24"/>
      <c r="AV745" s="298">
        <f t="shared" ref="AV745" si="1927">+AP745/H745</f>
        <v>0.89428394474497785</v>
      </c>
      <c r="AW745" s="298"/>
      <c r="AX745" s="24">
        <f t="shared" ref="AX745" si="1928">+AP745/BW745</f>
        <v>87051.851902173919</v>
      </c>
      <c r="AY745" s="308"/>
      <c r="BA745" s="65">
        <f t="shared" ref="BA745" si="1929">+BC745-BC744</f>
        <v>1092488</v>
      </c>
      <c r="BB745" s="66"/>
      <c r="BC745" s="66">
        <v>977947531</v>
      </c>
      <c r="BD745" s="66"/>
      <c r="BE745" s="66">
        <f t="shared" ref="BE745" si="1930">+D745</f>
        <v>31927</v>
      </c>
      <c r="BF745" s="66"/>
      <c r="BG745" s="144">
        <f t="shared" ref="BG745" si="193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32">+BC745/BW745</f>
        <v>1328733.0584239131</v>
      </c>
      <c r="BO745" s="66"/>
      <c r="BP745" s="66">
        <f t="shared" ref="BP745" si="1933">+BP744+BE745</f>
        <v>70737116</v>
      </c>
      <c r="BQ745" s="66"/>
      <c r="BR745" s="435">
        <f t="shared" ref="BR745" si="1934">+BP745/BC745</f>
        <v>7.2332220040136286E-2</v>
      </c>
      <c r="BS745" s="66"/>
      <c r="BT745" s="75"/>
      <c r="BU745" s="170"/>
      <c r="BV745" s="1"/>
      <c r="BW745" s="61">
        <f t="shared" si="1554"/>
        <v>736</v>
      </c>
      <c r="BZ745" s="1"/>
      <c r="CA745" s="61"/>
    </row>
    <row r="746" spans="2:93" x14ac:dyDescent="0.3">
      <c r="B746" s="158">
        <f t="shared" si="1073"/>
        <v>44646</v>
      </c>
      <c r="C746" s="61"/>
      <c r="D746" s="17">
        <v>15510</v>
      </c>
      <c r="E746" s="16"/>
      <c r="F746" s="16"/>
      <c r="G746" s="16"/>
      <c r="H746" s="16">
        <f t="shared" ref="H746" si="1935">+H745+D746</f>
        <v>71659604</v>
      </c>
      <c r="I746" s="16"/>
      <c r="J746" s="436">
        <f t="shared" ref="J746" si="1936">+D746/H745</f>
        <v>2.1648679094190233E-4</v>
      </c>
      <c r="K746" s="16"/>
      <c r="L746" s="16"/>
      <c r="M746" s="16"/>
      <c r="N746" s="16">
        <f t="shared" ref="N746" si="1937">SUM(D740:D746)</f>
        <v>157264</v>
      </c>
      <c r="O746" s="16">
        <f t="shared" ref="O746" si="1938">+H746/BW746</f>
        <v>97231.484396200816</v>
      </c>
      <c r="P746" s="41"/>
      <c r="Q746" s="17">
        <f t="shared" ref="Q746" si="1939">SUM(D740:D746)</f>
        <v>157264</v>
      </c>
      <c r="R746" s="16"/>
      <c r="S746" s="60">
        <f t="shared" ref="S746" si="1940">+(Q746-Q739)/Q739</f>
        <v>-2.0503749470589701E-2</v>
      </c>
      <c r="T746" s="16"/>
      <c r="U746" s="41"/>
      <c r="V746" s="10">
        <f t="shared" si="568"/>
        <v>638</v>
      </c>
      <c r="W746" s="34">
        <v>221</v>
      </c>
      <c r="X746" s="33">
        <v>4256</v>
      </c>
      <c r="Y746" s="33"/>
      <c r="Z746" s="33">
        <f t="shared" ref="Z746" si="1941">SUM(W741:W746)</f>
        <v>3382</v>
      </c>
      <c r="AA746" s="33">
        <f t="shared" ref="AA746" si="1942">+AA745+W746</f>
        <v>882048</v>
      </c>
      <c r="AB746" s="33"/>
      <c r="AC746" s="46">
        <f t="shared" ref="AC746" si="1943">+AA746/H746</f>
        <v>1.2308859535422495E-2</v>
      </c>
      <c r="AD746" s="33"/>
      <c r="AE746" s="33">
        <f t="shared" ref="AE746" si="1944">+AA746/BW746</f>
        <v>1196.80868385346</v>
      </c>
      <c r="AF746" s="50"/>
      <c r="AG746" s="33"/>
      <c r="AH746" s="33"/>
      <c r="AI746" s="213"/>
      <c r="AJ746" s="50"/>
      <c r="AL746" s="23">
        <f t="shared" ref="AL746" si="194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46">+AL746/AP745</f>
        <v>3.1030512596011343E-3</v>
      </c>
      <c r="AS746" s="25"/>
      <c r="AT746" s="25"/>
      <c r="AU746" s="24"/>
      <c r="AV746" s="298">
        <f t="shared" ref="AV746" si="1947">+AP746/H746</f>
        <v>0.89686479428493637</v>
      </c>
      <c r="AW746" s="298"/>
      <c r="AX746" s="24">
        <f t="shared" ref="AX746" si="1948">+AP746/BW746</f>
        <v>87203.495251017637</v>
      </c>
      <c r="AY746" s="308"/>
      <c r="BA746" s="65">
        <f t="shared" ref="BA746" si="1949">+BC746-BC745</f>
        <v>345814</v>
      </c>
      <c r="BB746" s="66"/>
      <c r="BC746" s="66">
        <v>978293345</v>
      </c>
      <c r="BD746" s="66"/>
      <c r="BE746" s="66">
        <f t="shared" ref="BE746" si="1950">+D746</f>
        <v>15510</v>
      </c>
      <c r="BF746" s="66"/>
      <c r="BG746" s="144">
        <f t="shared" ref="BG746" si="195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52">+BC746/BW746</f>
        <v>1327399.382632293</v>
      </c>
      <c r="BO746" s="66"/>
      <c r="BP746" s="66">
        <f t="shared" ref="BP746" si="1953">+BP745+BE746</f>
        <v>70752626</v>
      </c>
      <c r="BQ746" s="66"/>
      <c r="BR746" s="435">
        <f t="shared" ref="BR746" si="1954">+BP746/BC746</f>
        <v>7.2322505679520907E-2</v>
      </c>
      <c r="BS746" s="66"/>
      <c r="BT746" s="75"/>
      <c r="BU746" s="170"/>
      <c r="BV746" s="1"/>
      <c r="BW746" s="61">
        <f t="shared" si="1554"/>
        <v>737</v>
      </c>
      <c r="BZ746" s="1"/>
      <c r="CA746" s="61"/>
    </row>
    <row r="747" spans="2:93" x14ac:dyDescent="0.3">
      <c r="B747" s="347">
        <f t="shared" si="1073"/>
        <v>44647</v>
      </c>
      <c r="C747" s="61"/>
      <c r="D747" s="17">
        <v>4952</v>
      </c>
      <c r="E747" s="16"/>
      <c r="F747" s="16"/>
      <c r="G747" s="16"/>
      <c r="H747" s="16">
        <f t="shared" ref="H747" si="1955">+H746+D747</f>
        <v>71664556</v>
      </c>
      <c r="I747" s="16"/>
      <c r="J747" s="436">
        <f t="shared" ref="J747" si="1956">+D747/H746</f>
        <v>6.9104484585206469E-5</v>
      </c>
      <c r="K747" s="16"/>
      <c r="L747" s="16"/>
      <c r="M747" s="16"/>
      <c r="N747" s="16">
        <f t="shared" ref="N747" si="1957">SUM(D741:D747)</f>
        <v>156250</v>
      </c>
      <c r="O747" s="16">
        <f t="shared" ref="O747" si="1958">+H747/BW747</f>
        <v>97106.444444444438</v>
      </c>
      <c r="P747" s="41"/>
      <c r="Q747" s="17">
        <f t="shared" ref="Q747" si="1959">SUM(D741:D747)</f>
        <v>156250</v>
      </c>
      <c r="R747" s="16"/>
      <c r="S747" s="60">
        <f t="shared" ref="S747" si="1960">+(Q747-Q740)/Q740</f>
        <v>-3.1782326077122801E-2</v>
      </c>
      <c r="T747" s="16"/>
      <c r="U747" s="41"/>
      <c r="V747" s="10">
        <f t="shared" si="568"/>
        <v>639</v>
      </c>
      <c r="W747" s="34">
        <v>42</v>
      </c>
      <c r="X747" s="33">
        <v>4256</v>
      </c>
      <c r="Y747" s="33"/>
      <c r="Z747" s="33">
        <f t="shared" ref="Z747" si="1961">SUM(W742:W747)</f>
        <v>3192</v>
      </c>
      <c r="AA747" s="33">
        <f t="shared" ref="AA747" si="1962">+AA746+W747</f>
        <v>882090</v>
      </c>
      <c r="AB747" s="33"/>
      <c r="AC747" s="46">
        <f t="shared" ref="AC747" si="1963">+AA747/H747</f>
        <v>1.2308595060576388E-2</v>
      </c>
      <c r="AD747" s="33"/>
      <c r="AE747" s="33">
        <f t="shared" ref="AE747" si="1964">+AA747/BW747</f>
        <v>1195.2439024390244</v>
      </c>
      <c r="AF747" s="50"/>
      <c r="AG747" s="33"/>
      <c r="AH747" s="33"/>
      <c r="AI747" s="213"/>
      <c r="AJ747" s="50"/>
      <c r="AL747" s="23">
        <f t="shared" ref="AL747" si="196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66">+AL747/AP746</f>
        <v>2.9259840704479248E-3</v>
      </c>
      <c r="AS747" s="25"/>
      <c r="AT747" s="25"/>
      <c r="AU747" s="24"/>
      <c r="AV747" s="298">
        <f t="shared" ref="AV747" si="1967">+AP747/H747</f>
        <v>0.89942685195733296</v>
      </c>
      <c r="AW747" s="298"/>
      <c r="AX747" s="24">
        <f t="shared" ref="AX747" si="1968">+AP747/BW747</f>
        <v>87340.143631436309</v>
      </c>
      <c r="AY747" s="308"/>
      <c r="BA747" s="65">
        <f t="shared" ref="BA747" si="1969">+BC747-BC746</f>
        <v>190454</v>
      </c>
      <c r="BB747" s="66"/>
      <c r="BC747" s="66">
        <v>978483799</v>
      </c>
      <c r="BD747" s="66"/>
      <c r="BE747" s="66">
        <f t="shared" ref="BE747" si="1970">+D747</f>
        <v>4952</v>
      </c>
      <c r="BF747" s="66"/>
      <c r="BG747" s="144">
        <f t="shared" ref="BG747" si="197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72">+BC747/BW747</f>
        <v>1325858.8062330624</v>
      </c>
      <c r="BO747" s="66"/>
      <c r="BP747" s="66">
        <f t="shared" ref="BP747" si="1973">+BP746+BE747</f>
        <v>70757578</v>
      </c>
      <c r="BQ747" s="66"/>
      <c r="BR747" s="435">
        <f t="shared" ref="BR747" si="1974">+BP747/BC747</f>
        <v>7.2313489576744647E-2</v>
      </c>
      <c r="BS747" s="66"/>
      <c r="BT747" s="75"/>
      <c r="BU747" s="170"/>
      <c r="BV747" s="1"/>
      <c r="BW747" s="61">
        <f t="shared" si="1554"/>
        <v>738</v>
      </c>
      <c r="BZ747" s="1"/>
      <c r="CA747" s="61"/>
    </row>
    <row r="748" spans="2:93" x14ac:dyDescent="0.3">
      <c r="B748" s="158">
        <f t="shared" si="1073"/>
        <v>44648</v>
      </c>
      <c r="C748" s="61"/>
      <c r="D748" s="17">
        <v>16886</v>
      </c>
      <c r="E748" s="16"/>
      <c r="F748" s="16"/>
      <c r="G748" s="16"/>
      <c r="H748" s="16">
        <f t="shared" ref="H748" si="1975">+H747+D748</f>
        <v>71681442</v>
      </c>
      <c r="I748" s="16"/>
      <c r="J748" s="436">
        <f t="shared" ref="J748" si="1976">+D748/H747</f>
        <v>2.3562554409741965E-4</v>
      </c>
      <c r="K748" s="16"/>
      <c r="L748" s="16"/>
      <c r="M748" s="16"/>
      <c r="N748" s="16">
        <f t="shared" ref="N748" si="1977">SUM(D742:D748)</f>
        <v>156701</v>
      </c>
      <c r="O748" s="16">
        <f t="shared" ref="O748" si="1978">+H748/BW748</f>
        <v>96997.891745602159</v>
      </c>
      <c r="P748" s="41"/>
      <c r="Q748" s="17">
        <f t="shared" ref="Q748" si="1979">SUM(D742:D748)</f>
        <v>156701</v>
      </c>
      <c r="R748" s="16"/>
      <c r="S748" s="60">
        <f t="shared" ref="S748" si="1980">+(Q748-Q741)/Q741</f>
        <v>-1.0351143109763799E-2</v>
      </c>
      <c r="T748" s="16"/>
      <c r="U748" s="41"/>
      <c r="V748" s="10">
        <f t="shared" si="568"/>
        <v>640</v>
      </c>
      <c r="W748" s="34">
        <v>215</v>
      </c>
      <c r="X748" s="33">
        <v>4256</v>
      </c>
      <c r="Y748" s="33"/>
      <c r="Z748" s="33">
        <f t="shared" ref="Z748" si="1981">SUM(W743:W748)</f>
        <v>2590</v>
      </c>
      <c r="AA748" s="33">
        <f t="shared" ref="AA748" si="1982">+AA747+W748</f>
        <v>882305</v>
      </c>
      <c r="AB748" s="33"/>
      <c r="AC748" s="46">
        <f t="shared" ref="AC748" si="1983">+AA748/H748</f>
        <v>1.2308694905998124E-2</v>
      </c>
      <c r="AD748" s="33"/>
      <c r="AE748" s="33">
        <f t="shared" ref="AE748" si="1984">+AA748/BW748</f>
        <v>1193.9174560216509</v>
      </c>
      <c r="AF748" s="50"/>
      <c r="AG748" s="33"/>
      <c r="AH748" s="33"/>
      <c r="AI748" s="213"/>
      <c r="AJ748" s="50"/>
      <c r="AL748" s="23">
        <f t="shared" ref="AL748" si="198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86">+AL748/AP747</f>
        <v>3.5084305627132097E-3</v>
      </c>
      <c r="AS748" s="25"/>
      <c r="AT748" s="25"/>
      <c r="AU748" s="24"/>
      <c r="AV748" s="298">
        <f t="shared" ref="AV748" si="1987">+AP748/H748</f>
        <v>0.90236980723685778</v>
      </c>
      <c r="AW748" s="298"/>
      <c r="AX748" s="24">
        <f t="shared" ref="AX748" si="1988">+AP748/BW748</f>
        <v>87527.968876860628</v>
      </c>
      <c r="AY748" s="308"/>
      <c r="BA748" s="65">
        <f t="shared" ref="BA748" si="1989">+BC748-BC747</f>
        <v>1217028</v>
      </c>
      <c r="BB748" s="66"/>
      <c r="BC748" s="66">
        <v>979700827</v>
      </c>
      <c r="BD748" s="66"/>
      <c r="BE748" s="66">
        <f t="shared" ref="BE748" si="1990">+D748</f>
        <v>16886</v>
      </c>
      <c r="BF748" s="66"/>
      <c r="BG748" s="144">
        <f t="shared" ref="BG748" si="199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92">+BC748/BW748</f>
        <v>1325711.5385656292</v>
      </c>
      <c r="BO748" s="66"/>
      <c r="BP748" s="66">
        <f t="shared" ref="BP748" si="1993">+BP747+BE748</f>
        <v>70774464</v>
      </c>
      <c r="BQ748" s="66"/>
      <c r="BR748" s="435">
        <f t="shared" ref="BR748" si="1994">+BP748/BC748</f>
        <v>7.2240894413371767E-2</v>
      </c>
      <c r="BS748" s="66"/>
      <c r="BT748" s="75"/>
      <c r="BU748" s="170"/>
      <c r="BV748" s="1"/>
      <c r="BW748" s="61">
        <f t="shared" si="1554"/>
        <v>739</v>
      </c>
      <c r="BZ748" s="1"/>
      <c r="CA748" s="61"/>
    </row>
    <row r="749" spans="2:93" x14ac:dyDescent="0.3">
      <c r="B749" s="158">
        <f t="shared" si="1073"/>
        <v>44649</v>
      </c>
      <c r="C749" s="61"/>
      <c r="D749" s="17">
        <v>23974</v>
      </c>
      <c r="E749" s="16"/>
      <c r="F749" s="16"/>
      <c r="G749" s="16"/>
      <c r="H749" s="16">
        <f t="shared" ref="H749" si="1995">+H748+D749</f>
        <v>71705416</v>
      </c>
      <c r="I749" s="16"/>
      <c r="J749" s="436">
        <f t="shared" ref="J749" si="1996">+D749/H748</f>
        <v>3.344519771240093E-4</v>
      </c>
      <c r="K749" s="16"/>
      <c r="L749" s="16"/>
      <c r="M749" s="16"/>
      <c r="N749" s="16">
        <f t="shared" ref="N749" si="1997">SUM(D743:D749)</f>
        <v>157068</v>
      </c>
      <c r="O749" s="16">
        <f t="shared" ref="O749" si="1998">+H749/BW749</f>
        <v>96899.210810810808</v>
      </c>
      <c r="P749" s="41"/>
      <c r="Q749" s="17">
        <f t="shared" ref="Q749" si="1999">SUM(D743:D749)</f>
        <v>157068</v>
      </c>
      <c r="R749" s="16"/>
      <c r="S749" s="60">
        <f t="shared" ref="S749" si="2000">+(Q749-Q742)/Q742</f>
        <v>3.0653689937926278E-3</v>
      </c>
      <c r="T749" s="16"/>
      <c r="U749" s="41"/>
      <c r="V749" s="10">
        <f t="shared" si="568"/>
        <v>641</v>
      </c>
      <c r="W749" s="34">
        <v>716</v>
      </c>
      <c r="X749" s="33">
        <v>4256</v>
      </c>
      <c r="Y749" s="33"/>
      <c r="Z749" s="33">
        <f t="shared" ref="Z749" si="2001">SUM(W744:W749)</f>
        <v>2535</v>
      </c>
      <c r="AA749" s="33">
        <f t="shared" ref="AA749" si="2002">+AA748+W749</f>
        <v>883021</v>
      </c>
      <c r="AB749" s="33"/>
      <c r="AC749" s="46">
        <f t="shared" ref="AC749" si="2003">+AA749/H749</f>
        <v>1.23145649137577E-2</v>
      </c>
      <c r="AD749" s="33"/>
      <c r="AE749" s="33">
        <f t="shared" ref="AE749" si="2004">+AA749/BW749</f>
        <v>1193.2716216216215</v>
      </c>
      <c r="AF749" s="50"/>
      <c r="AG749" s="33"/>
      <c r="AH749" s="33"/>
      <c r="AI749" s="213"/>
      <c r="AJ749" s="50"/>
      <c r="AL749" s="23">
        <f t="shared" ref="AL749" si="200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2006">+AL749/AP748</f>
        <v>2.9962199285566852E-3</v>
      </c>
      <c r="AS749" s="25"/>
      <c r="AT749" s="25"/>
      <c r="AU749" s="24"/>
      <c r="AV749" s="298">
        <f t="shared" ref="AV749" si="2007">+AP749/H749</f>
        <v>0.90477090321880294</v>
      </c>
      <c r="AW749" s="298"/>
      <c r="AX749" s="24">
        <f t="shared" ref="AX749" si="2008">+AP749/BW749</f>
        <v>87671.586486486485</v>
      </c>
      <c r="AY749" s="308"/>
      <c r="BA749" s="65">
        <f t="shared" ref="BA749" si="2009">+BC749-BC748</f>
        <v>1565986</v>
      </c>
      <c r="BB749" s="66"/>
      <c r="BC749" s="66">
        <v>981266813</v>
      </c>
      <c r="BD749" s="66"/>
      <c r="BE749" s="66">
        <f t="shared" ref="BE749" si="2010">+D749</f>
        <v>23974</v>
      </c>
      <c r="BF749" s="66"/>
      <c r="BG749" s="144">
        <f t="shared" ref="BG749" si="201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12">+BC749/BW749</f>
        <v>1326036.2337837839</v>
      </c>
      <c r="BO749" s="66"/>
      <c r="BP749" s="66">
        <f t="shared" ref="BP749" si="2013">+BP748+BE749</f>
        <v>70798438</v>
      </c>
      <c r="BQ749" s="66"/>
      <c r="BR749" s="435">
        <f t="shared" ref="BR749" si="2014">+BP749/BC749</f>
        <v>7.2150038156849394E-2</v>
      </c>
      <c r="BS749" s="66"/>
      <c r="BT749" s="75"/>
      <c r="BU749" s="170"/>
      <c r="BV749" s="1"/>
      <c r="BW749" s="61">
        <f t="shared" si="1554"/>
        <v>740</v>
      </c>
      <c r="BZ749" s="1"/>
      <c r="CA749" s="61"/>
    </row>
    <row r="750" spans="2:93" x14ac:dyDescent="0.3">
      <c r="B750" s="158">
        <f t="shared" si="1073"/>
        <v>44650</v>
      </c>
      <c r="C750" s="61"/>
      <c r="D750" s="17">
        <v>32194</v>
      </c>
      <c r="E750" s="16"/>
      <c r="F750" s="16"/>
      <c r="G750" s="16"/>
      <c r="H750" s="16">
        <f t="shared" ref="H750" si="2015">+H749+D750</f>
        <v>71737610</v>
      </c>
      <c r="I750" s="16"/>
      <c r="J750" s="436">
        <f t="shared" ref="J750" si="2016">+D750/H749</f>
        <v>4.4897584863045768E-4</v>
      </c>
      <c r="K750" s="16"/>
      <c r="L750" s="16"/>
      <c r="M750" s="16"/>
      <c r="N750" s="16">
        <f t="shared" ref="N750" si="2017">SUM(D744:D750)</f>
        <v>157239</v>
      </c>
      <c r="O750" s="16">
        <f t="shared" ref="O750" si="2018">+H750/BW750</f>
        <v>96811.889338731446</v>
      </c>
      <c r="P750" s="41"/>
      <c r="Q750" s="17">
        <f t="shared" ref="Q750" si="2019">SUM(D744:D750)</f>
        <v>157239</v>
      </c>
      <c r="R750" s="16"/>
      <c r="S750" s="60">
        <f t="shared" ref="S750" si="2020">+(Q750-Q743)/Q743</f>
        <v>-5.4647919394318891E-3</v>
      </c>
      <c r="T750" s="16"/>
      <c r="U750" s="41"/>
      <c r="V750" s="10">
        <f t="shared" si="568"/>
        <v>642</v>
      </c>
      <c r="W750" s="34">
        <v>741</v>
      </c>
      <c r="X750" s="33">
        <v>4256</v>
      </c>
      <c r="Y750" s="33"/>
      <c r="Z750" s="33">
        <f t="shared" ref="Z750" si="2021">SUM(W745:W750)</f>
        <v>2627</v>
      </c>
      <c r="AA750" s="33">
        <f t="shared" ref="AA750" si="2022">+AA749+W750</f>
        <v>883762</v>
      </c>
      <c r="AB750" s="33"/>
      <c r="AC750" s="46">
        <f t="shared" ref="AC750" si="2023">+AA750/H750</f>
        <v>1.2319367762600399E-2</v>
      </c>
      <c r="AD750" s="33"/>
      <c r="AE750" s="33">
        <f t="shared" ref="AE750" si="2024">+AA750/BW750</f>
        <v>1192.6612685560053</v>
      </c>
      <c r="AF750" s="50"/>
      <c r="AG750" s="33"/>
      <c r="AH750" s="33"/>
      <c r="AI750" s="213"/>
      <c r="AJ750" s="50"/>
      <c r="AL750" s="23">
        <f t="shared" ref="AL750" si="202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26">+AL750/AP749</f>
        <v>3.1135854147574761E-3</v>
      </c>
      <c r="AS750" s="25"/>
      <c r="AT750" s="25"/>
      <c r="AU750" s="24"/>
      <c r="AV750" s="298">
        <f t="shared" ref="AV750" si="2027">+AP750/H750</f>
        <v>0.90718068248997985</v>
      </c>
      <c r="AW750" s="298"/>
      <c r="AX750" s="24">
        <f t="shared" ref="AX750" si="2028">+AP750/BW750</f>
        <v>87825.875843454793</v>
      </c>
      <c r="AY750" s="308"/>
      <c r="BA750" s="65">
        <f t="shared" ref="BA750" si="2029">+BC750-BC749</f>
        <v>1279965</v>
      </c>
      <c r="BB750" s="66"/>
      <c r="BC750" s="66">
        <v>982546778</v>
      </c>
      <c r="BD750" s="66"/>
      <c r="BE750" s="66">
        <f t="shared" ref="BE750" si="2030">+D750</f>
        <v>32194</v>
      </c>
      <c r="BF750" s="66"/>
      <c r="BG750" s="144">
        <f t="shared" ref="BG750" si="203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32">+BC750/BW750</f>
        <v>1325974.0593792172</v>
      </c>
      <c r="BO750" s="66"/>
      <c r="BP750" s="66">
        <f t="shared" ref="BP750" si="2033">+BP749+BE750</f>
        <v>70830632</v>
      </c>
      <c r="BQ750" s="66"/>
      <c r="BR750" s="435">
        <f t="shared" ref="BR750" si="2034">+BP750/BC750</f>
        <v>7.2088814075781341E-2</v>
      </c>
      <c r="BS750" s="66"/>
      <c r="BT750" s="75"/>
      <c r="BU750" s="170"/>
      <c r="BV750" s="1"/>
      <c r="BW750" s="61">
        <f t="shared" si="1554"/>
        <v>741</v>
      </c>
      <c r="BZ750" s="1"/>
      <c r="CA750" s="61"/>
    </row>
    <row r="751" spans="2:93" x14ac:dyDescent="0.3">
      <c r="B751" s="158">
        <f t="shared" si="1073"/>
        <v>44651</v>
      </c>
      <c r="C751" s="61"/>
      <c r="D751" s="17">
        <v>34561</v>
      </c>
      <c r="E751" s="16"/>
      <c r="F751" s="16"/>
      <c r="G751" s="16"/>
      <c r="H751" s="16">
        <f t="shared" ref="H751" si="2035">+H750+D751</f>
        <v>71772171</v>
      </c>
      <c r="I751" s="16"/>
      <c r="J751" s="436">
        <f t="shared" ref="J751" si="2036">+D751/H750</f>
        <v>4.8176960453519431E-4</v>
      </c>
      <c r="K751" s="16"/>
      <c r="L751" s="16"/>
      <c r="M751" s="16"/>
      <c r="N751" s="16">
        <f t="shared" ref="N751" si="2037">SUM(D745:D751)</f>
        <v>160004</v>
      </c>
      <c r="O751" s="16">
        <f t="shared" ref="O751" si="2038">+H751/BW751</f>
        <v>96727.993261455529</v>
      </c>
      <c r="P751" s="41"/>
      <c r="Q751" s="17">
        <f t="shared" ref="Q751" si="2039">SUM(D745:D751)</f>
        <v>160004</v>
      </c>
      <c r="R751" s="16"/>
      <c r="S751" s="60">
        <f t="shared" ref="S751" si="2040">+(Q751-Q744)/Q744</f>
        <v>3.6127570017807996E-2</v>
      </c>
      <c r="T751" s="16"/>
      <c r="U751" s="41"/>
      <c r="V751" s="10">
        <f t="shared" si="568"/>
        <v>643</v>
      </c>
      <c r="W751" s="34">
        <v>439</v>
      </c>
      <c r="X751" s="33">
        <v>4256</v>
      </c>
      <c r="Y751" s="33"/>
      <c r="Z751" s="33">
        <f t="shared" ref="Z751" si="2041">SUM(W746:W751)</f>
        <v>2374</v>
      </c>
      <c r="AA751" s="33">
        <f t="shared" ref="AA751" si="2042">+AA750+W751</f>
        <v>884201</v>
      </c>
      <c r="AB751" s="33"/>
      <c r="AC751" s="46">
        <f t="shared" ref="AC751" si="2043">+AA751/H751</f>
        <v>1.2319552100493101E-2</v>
      </c>
      <c r="AD751" s="33"/>
      <c r="AE751" s="33">
        <f t="shared" ref="AE751" si="2044">+AA751/BW751</f>
        <v>1191.6455525606468</v>
      </c>
      <c r="AF751" s="50"/>
      <c r="AG751" s="33"/>
      <c r="AH751" s="33"/>
      <c r="AI751" s="213"/>
      <c r="AJ751" s="50"/>
      <c r="AL751" s="23">
        <f t="shared" ref="AL751" si="204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46">+AL751/AP750</f>
        <v>2.4257604307037785E-3</v>
      </c>
      <c r="AS751" s="25"/>
      <c r="AT751" s="25"/>
      <c r="AU751" s="24"/>
      <c r="AV751" s="298">
        <f t="shared" ref="AV751" si="2047">+AP751/H751</f>
        <v>0.90894338419831278</v>
      </c>
      <c r="AW751" s="298"/>
      <c r="AX751" s="24">
        <f t="shared" ref="AX751" si="2048">+AP751/BW751</f>
        <v>87920.26954177898</v>
      </c>
      <c r="AY751" s="308"/>
      <c r="BA751" s="65">
        <f t="shared" ref="BA751" si="2049">+BC751-BC750</f>
        <v>1151116</v>
      </c>
      <c r="BB751" s="66"/>
      <c r="BC751" s="66">
        <v>983697894</v>
      </c>
      <c r="BD751" s="66"/>
      <c r="BE751" s="66">
        <f t="shared" ref="BE751" si="2050">+D751</f>
        <v>34561</v>
      </c>
      <c r="BF751" s="66"/>
      <c r="BG751" s="144">
        <f t="shared" ref="BG751" si="205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52">+BC751/BW751</f>
        <v>1325738.4016172506</v>
      </c>
      <c r="BO751" s="66"/>
      <c r="BP751" s="66">
        <f t="shared" ref="BP751" si="2053">+BP750+BE751</f>
        <v>70865193</v>
      </c>
      <c r="BQ751" s="66"/>
      <c r="BR751" s="435">
        <f t="shared" ref="BR751" si="2054">+BP751/BC751</f>
        <v>7.2039590032913089E-2</v>
      </c>
      <c r="BS751" s="66"/>
      <c r="BT751" s="75"/>
      <c r="BU751" s="170"/>
      <c r="BV751" s="1"/>
      <c r="BW751" s="61">
        <f t="shared" si="1554"/>
        <v>742</v>
      </c>
      <c r="BZ751" s="1"/>
      <c r="CA751" s="61"/>
    </row>
    <row r="752" spans="2:93" x14ac:dyDescent="0.3">
      <c r="B752" s="158">
        <f t="shared" si="1073"/>
        <v>44652</v>
      </c>
      <c r="C752" s="61"/>
      <c r="D752" s="17">
        <v>30655</v>
      </c>
      <c r="E752" s="16"/>
      <c r="F752" s="16"/>
      <c r="G752" s="16"/>
      <c r="H752" s="16">
        <f t="shared" ref="H752" si="2055">+H751+D752</f>
        <v>71802826</v>
      </c>
      <c r="I752" s="16"/>
      <c r="J752" s="436">
        <f t="shared" ref="J752" si="2056">+D752/H751</f>
        <v>4.2711540661073216E-4</v>
      </c>
      <c r="K752" s="16"/>
      <c r="L752" s="16"/>
      <c r="M752" s="16"/>
      <c r="N752" s="16">
        <f t="shared" ref="N752" si="2057">SUM(D746:D752)</f>
        <v>158732</v>
      </c>
      <c r="O752" s="16">
        <f t="shared" ref="O752" si="2058">+H752/BW752</f>
        <v>96639.06594885599</v>
      </c>
      <c r="P752" s="41"/>
      <c r="Q752" s="17">
        <f t="shared" ref="Q752" si="2059">SUM(D746:D752)</f>
        <v>158732</v>
      </c>
      <c r="R752" s="16"/>
      <c r="S752" s="60">
        <f t="shared" ref="S752" si="2060">+(Q752-Q745)/Q745</f>
        <v>2.9951465130161697E-2</v>
      </c>
      <c r="T752" s="16"/>
      <c r="U752" s="41"/>
      <c r="V752" s="10">
        <f t="shared" si="568"/>
        <v>644</v>
      </c>
      <c r="W752" s="34">
        <v>498</v>
      </c>
      <c r="X752" s="33">
        <v>4256</v>
      </c>
      <c r="Y752" s="33"/>
      <c r="Z752" s="33">
        <f t="shared" ref="Z752" si="2061">SUM(W747:W752)</f>
        <v>2651</v>
      </c>
      <c r="AA752" s="33">
        <f t="shared" ref="AA752" si="2062">+AA751+W752</f>
        <v>884699</v>
      </c>
      <c r="AB752" s="33"/>
      <c r="AC752" s="46">
        <f t="shared" ref="AC752" si="2063">+AA752/H752</f>
        <v>1.232122813661958E-2</v>
      </c>
      <c r="AD752" s="33"/>
      <c r="AE752" s="33">
        <f t="shared" ref="AE752" si="2064">+AA752/BW752</f>
        <v>1190.7119784656797</v>
      </c>
      <c r="AF752" s="50"/>
      <c r="AG752" s="33"/>
      <c r="AH752" s="33"/>
      <c r="AI752" s="213"/>
      <c r="AJ752" s="50"/>
      <c r="AL752" s="23">
        <f t="shared" ref="AL752" si="206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66">+AL752/AP751</f>
        <v>2.2403139085216267E-3</v>
      </c>
      <c r="AS752" s="25"/>
      <c r="AT752" s="25"/>
      <c r="AU752" s="24"/>
      <c r="AV752" s="298">
        <f t="shared" ref="AV752" si="2067">+AP752/H752</f>
        <v>0.91059077535471933</v>
      </c>
      <c r="AW752" s="298"/>
      <c r="AX752" s="24">
        <f t="shared" ref="AX752" si="2068">+AP752/BW752</f>
        <v>87998.641991924625</v>
      </c>
      <c r="AY752" s="308"/>
      <c r="BA752" s="65">
        <f t="shared" ref="BA752" si="2069">+BC752-BC751</f>
        <v>938305</v>
      </c>
      <c r="BB752" s="66"/>
      <c r="BC752" s="66">
        <v>984636199</v>
      </c>
      <c r="BD752" s="66"/>
      <c r="BE752" s="66">
        <f t="shared" ref="BE752" si="2070">+D752</f>
        <v>30655</v>
      </c>
      <c r="BF752" s="66"/>
      <c r="BG752" s="144">
        <f t="shared" ref="BG752" si="207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72">+BC752/BW752</f>
        <v>1325216.9569313594</v>
      </c>
      <c r="BO752" s="66"/>
      <c r="BP752" s="66">
        <f t="shared" ref="BP752" si="2073">+BP751+BE752</f>
        <v>70895848</v>
      </c>
      <c r="BQ752" s="66"/>
      <c r="BR752" s="435">
        <f t="shared" ref="BR752" si="2074">+BP752/BC752</f>
        <v>7.2002073529291402E-2</v>
      </c>
      <c r="BS752" s="66"/>
      <c r="BT752" s="75"/>
      <c r="BU752" s="170"/>
      <c r="BV752" s="1"/>
      <c r="BW752" s="61">
        <f t="shared" si="1554"/>
        <v>743</v>
      </c>
      <c r="BZ752" s="1"/>
      <c r="CA752" s="61"/>
    </row>
    <row r="753" spans="2:79" x14ac:dyDescent="0.3">
      <c r="B753" s="158">
        <f t="shared" si="1073"/>
        <v>44653</v>
      </c>
      <c r="C753" s="61"/>
      <c r="D753" s="17">
        <v>12661</v>
      </c>
      <c r="E753" s="16"/>
      <c r="F753" s="16"/>
      <c r="G753" s="16"/>
      <c r="H753" s="16">
        <f t="shared" ref="H753" si="2075">+H752+D753</f>
        <v>71815487</v>
      </c>
      <c r="I753" s="16"/>
      <c r="J753" s="436">
        <f t="shared" ref="J753" si="2076">+D753/H752</f>
        <v>1.763301071186251E-4</v>
      </c>
      <c r="K753" s="16"/>
      <c r="L753" s="16"/>
      <c r="M753" s="16"/>
      <c r="N753" s="16">
        <f t="shared" ref="N753" si="2077">SUM(D747:D753)</f>
        <v>155883</v>
      </c>
      <c r="O753" s="16">
        <f t="shared" ref="O753" si="2078">+H753/BW753</f>
        <v>96526.192204301071</v>
      </c>
      <c r="P753" s="41"/>
      <c r="Q753" s="17">
        <f t="shared" ref="Q753" si="2079">SUM(D747:D753)</f>
        <v>155883</v>
      </c>
      <c r="R753" s="16"/>
      <c r="S753" s="60">
        <f t="shared" ref="S753" si="2080">+(Q753-Q746)/Q746</f>
        <v>-8.7814121477261167E-3</v>
      </c>
      <c r="T753" s="16"/>
      <c r="U753" s="41"/>
      <c r="V753" s="10">
        <f t="shared" si="568"/>
        <v>645</v>
      </c>
      <c r="W753" s="34">
        <v>150</v>
      </c>
      <c r="X753" s="33">
        <v>4256</v>
      </c>
      <c r="Y753" s="33"/>
      <c r="Z753" s="33">
        <f t="shared" ref="Z753" si="2081">SUM(W748:W753)</f>
        <v>2759</v>
      </c>
      <c r="AA753" s="33">
        <f t="shared" ref="AA753" si="2082">+AA752+W753</f>
        <v>884849</v>
      </c>
      <c r="AB753" s="33"/>
      <c r="AC753" s="46">
        <f t="shared" ref="AC753" si="2083">+AA753/H753</f>
        <v>1.2321144602138533E-2</v>
      </c>
      <c r="AD753" s="33"/>
      <c r="AE753" s="33">
        <f t="shared" ref="AE753" si="2084">+AA753/BW753</f>
        <v>1189.3131720430108</v>
      </c>
      <c r="AF753" s="50"/>
      <c r="AG753" s="33"/>
      <c r="AH753" s="33"/>
      <c r="AI753" s="213"/>
      <c r="AJ753" s="50"/>
      <c r="AL753" s="23">
        <f t="shared" ref="AL753" si="208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86">+AL753/AP752</f>
        <v>2.1868531526800295E-3</v>
      </c>
      <c r="AS753" s="25"/>
      <c r="AT753" s="25"/>
      <c r="AU753" s="24"/>
      <c r="AV753" s="298">
        <f t="shared" ref="AV753" si="2087">+AP753/H753</f>
        <v>0.91242121633179207</v>
      </c>
      <c r="AW753" s="298"/>
      <c r="AX753" s="24">
        <f t="shared" ref="AX753" si="2088">+AP753/BW753</f>
        <v>88072.545698924732</v>
      </c>
      <c r="AY753" s="308"/>
      <c r="BA753" s="65">
        <f t="shared" ref="BA753" si="2089">+BC753-BC752</f>
        <v>273166</v>
      </c>
      <c r="BB753" s="66"/>
      <c r="BC753" s="66">
        <v>984909365</v>
      </c>
      <c r="BD753" s="66"/>
      <c r="BE753" s="66">
        <f t="shared" ref="BE753" si="2090">+D753</f>
        <v>12661</v>
      </c>
      <c r="BF753" s="66"/>
      <c r="BG753" s="144">
        <f t="shared" ref="BG753" si="209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92">+BC753/BW753</f>
        <v>1323802.9099462365</v>
      </c>
      <c r="BO753" s="66"/>
      <c r="BP753" s="66">
        <f t="shared" ref="BP753" si="2093">+BP752+BE753</f>
        <v>70908509</v>
      </c>
      <c r="BQ753" s="66"/>
      <c r="BR753" s="435">
        <f t="shared" ref="BR753" si="2094">+BP753/BC753</f>
        <v>7.1994958642717349E-2</v>
      </c>
      <c r="BS753" s="66"/>
      <c r="BT753" s="75"/>
      <c r="BU753" s="170"/>
      <c r="BV753" s="1"/>
      <c r="BW753" s="61">
        <f t="shared" si="1554"/>
        <v>744</v>
      </c>
      <c r="BZ753" s="1"/>
      <c r="CA753" s="61"/>
    </row>
    <row r="754" spans="2:79" x14ac:dyDescent="0.3">
      <c r="B754" s="347">
        <f t="shared" si="1073"/>
        <v>44654</v>
      </c>
      <c r="C754" s="61"/>
      <c r="D754" s="17">
        <v>6241</v>
      </c>
      <c r="E754" s="16"/>
      <c r="F754" s="16"/>
      <c r="G754" s="16"/>
      <c r="H754" s="16">
        <f t="shared" ref="H754" si="2095">+H753+D754</f>
        <v>71821728</v>
      </c>
      <c r="I754" s="16"/>
      <c r="J754" s="436">
        <f t="shared" ref="J754" si="2096">+D754/H753</f>
        <v>8.6903260852356267E-5</v>
      </c>
      <c r="K754" s="16"/>
      <c r="L754" s="16"/>
      <c r="M754" s="16"/>
      <c r="N754" s="16">
        <f t="shared" ref="N754" si="2097">SUM(D748:D754)</f>
        <v>157172</v>
      </c>
      <c r="O754" s="16">
        <f t="shared" ref="O754" si="2098">+H754/BW754</f>
        <v>96405.004026845636</v>
      </c>
      <c r="P754" s="41"/>
      <c r="Q754" s="17">
        <f t="shared" ref="Q754" si="2099">SUM(D748:D754)</f>
        <v>157172</v>
      </c>
      <c r="R754" s="16"/>
      <c r="S754" s="60">
        <f t="shared" ref="S754" si="2100">+(Q754-Q747)/Q747</f>
        <v>5.9008000000000003E-3</v>
      </c>
      <c r="T754" s="16"/>
      <c r="U754" s="41"/>
      <c r="V754" s="10">
        <f t="shared" si="568"/>
        <v>646</v>
      </c>
      <c r="W754" s="34">
        <v>39</v>
      </c>
      <c r="X754" s="33">
        <v>4256</v>
      </c>
      <c r="Y754" s="33"/>
      <c r="Z754" s="33">
        <f t="shared" ref="Z754" si="2101">SUM(W749:W754)</f>
        <v>2583</v>
      </c>
      <c r="AA754" s="33">
        <f t="shared" ref="AA754" si="2102">+AA753+W754</f>
        <v>884888</v>
      </c>
      <c r="AB754" s="33"/>
      <c r="AC754" s="46">
        <f t="shared" ref="AC754" si="2103">+AA754/H754</f>
        <v>1.2320616958700854E-2</v>
      </c>
      <c r="AD754" s="33"/>
      <c r="AE754" s="33">
        <f t="shared" ref="AE754" si="2104">+AA754/BW754</f>
        <v>1187.7691275167786</v>
      </c>
      <c r="AF754" s="50"/>
      <c r="AG754" s="33"/>
      <c r="AH754" s="33"/>
      <c r="AI754" s="213"/>
      <c r="AJ754" s="50"/>
      <c r="AL754" s="23">
        <f t="shared" ref="AL754" si="210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106">+AL754/AP753</f>
        <v>2.2974095737974074E-3</v>
      </c>
      <c r="AS754" s="25"/>
      <c r="AT754" s="25"/>
      <c r="AU754" s="24"/>
      <c r="AV754" s="298">
        <f t="shared" ref="AV754" si="2107">+AP754/H754</f>
        <v>0.91443795392948501</v>
      </c>
      <c r="AW754" s="298"/>
      <c r="AX754" s="24">
        <f t="shared" ref="AX754" si="2108">+AP754/BW754</f>
        <v>88156.394630872484</v>
      </c>
      <c r="AY754" s="308"/>
      <c r="BA754" s="65">
        <f t="shared" ref="BA754" si="2109">+BC754-BC753</f>
        <v>189874</v>
      </c>
      <c r="BB754" s="66"/>
      <c r="BC754" s="66">
        <v>985099239</v>
      </c>
      <c r="BD754" s="66"/>
      <c r="BE754" s="66">
        <f t="shared" ref="BE754" si="2110">+D754</f>
        <v>6241</v>
      </c>
      <c r="BF754" s="66"/>
      <c r="BG754" s="144">
        <f t="shared" ref="BG754" si="211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12">+BC754/BW754</f>
        <v>1322280.8577181208</v>
      </c>
      <c r="BO754" s="66"/>
      <c r="BP754" s="66">
        <f t="shared" ref="BP754" si="2113">+BP753+BE754</f>
        <v>70914750</v>
      </c>
      <c r="BQ754" s="66"/>
      <c r="BR754" s="435">
        <f t="shared" ref="BR754" si="2114">+BP754/BC754</f>
        <v>7.1987417300197504E-2</v>
      </c>
      <c r="BS754" s="66"/>
      <c r="BT754" s="75"/>
      <c r="BU754" s="170"/>
      <c r="BV754" s="1"/>
      <c r="BW754" s="61">
        <f t="shared" si="1554"/>
        <v>745</v>
      </c>
      <c r="BZ754" s="1"/>
      <c r="CA754" s="61"/>
    </row>
    <row r="755" spans="2:79" x14ac:dyDescent="0.3">
      <c r="B755" s="158">
        <f t="shared" si="1073"/>
        <v>44655</v>
      </c>
      <c r="C755" s="61"/>
      <c r="D755" s="17">
        <v>19142</v>
      </c>
      <c r="E755" s="16"/>
      <c r="F755" s="16"/>
      <c r="G755" s="16"/>
      <c r="H755" s="16">
        <f t="shared" ref="H755" si="2115">+H754+D755</f>
        <v>71840870</v>
      </c>
      <c r="I755" s="16"/>
      <c r="J755" s="436">
        <f t="shared" ref="J755" si="2116">+D755/H754</f>
        <v>2.6652101714957346E-4</v>
      </c>
      <c r="K755" s="16"/>
      <c r="L755" s="16"/>
      <c r="M755" s="16"/>
      <c r="N755" s="16">
        <f t="shared" ref="N755" si="2117">SUM(D749:D755)</f>
        <v>159428</v>
      </c>
      <c r="O755" s="16">
        <f t="shared" ref="O755" si="2118">+H755/BW755</f>
        <v>96301.434316353887</v>
      </c>
      <c r="P755" s="41"/>
      <c r="Q755" s="17">
        <f t="shared" ref="Q755" si="2119">SUM(D749:D755)</f>
        <v>159428</v>
      </c>
      <c r="R755" s="16"/>
      <c r="S755" s="60">
        <f t="shared" ref="S755" si="2120">+(Q755-Q748)/Q748</f>
        <v>1.7402569224191294E-2</v>
      </c>
      <c r="T755" s="16"/>
      <c r="U755" s="41"/>
      <c r="V755" s="10">
        <f t="shared" si="568"/>
        <v>647</v>
      </c>
      <c r="W755" s="34">
        <v>180</v>
      </c>
      <c r="X755" s="33">
        <v>4256</v>
      </c>
      <c r="Y755" s="33"/>
      <c r="Z755" s="33">
        <f t="shared" ref="Z755" si="2121">SUM(W750:W755)</f>
        <v>2047</v>
      </c>
      <c r="AA755" s="33">
        <f t="shared" ref="AA755" si="2122">+AA754+W755</f>
        <v>885068</v>
      </c>
      <c r="AB755" s="33"/>
      <c r="AC755" s="46">
        <f t="shared" ref="AC755" si="2123">+AA755/H755</f>
        <v>1.2319839667865937E-2</v>
      </c>
      <c r="AD755" s="33"/>
      <c r="AE755" s="33">
        <f t="shared" ref="AE755" si="2124">+AA755/BW755</f>
        <v>1186.4182305630027</v>
      </c>
      <c r="AF755" s="50"/>
      <c r="AG755" s="33"/>
      <c r="AH755" s="33"/>
      <c r="AI755" s="213"/>
      <c r="AJ755" s="50"/>
      <c r="AL755" s="23">
        <f t="shared" ref="AL755" si="212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26">+AL755/AP754</f>
        <v>2.5087202405413905E-3</v>
      </c>
      <c r="AS755" s="25"/>
      <c r="AT755" s="25"/>
      <c r="AU755" s="24"/>
      <c r="AV755" s="298">
        <f t="shared" ref="AV755" si="2127">+AP755/H755</f>
        <v>0.9164877596833112</v>
      </c>
      <c r="AW755" s="298"/>
      <c r="AX755" s="24">
        <f t="shared" ref="AX755" si="2128">+AP755/BW755</f>
        <v>88259.085790884725</v>
      </c>
      <c r="AY755" s="308"/>
      <c r="BA755" s="65">
        <f t="shared" ref="BA755" si="2129">+BC755-BC754</f>
        <v>1084973</v>
      </c>
      <c r="BB755" s="66"/>
      <c r="BC755" s="66">
        <v>986184212</v>
      </c>
      <c r="BD755" s="66"/>
      <c r="BE755" s="66">
        <f t="shared" ref="BE755" si="2130">+D755</f>
        <v>19142</v>
      </c>
      <c r="BF755" s="66"/>
      <c r="BG755" s="144">
        <f t="shared" ref="BG755" si="213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32">+BC755/BW755</f>
        <v>1321962.7506702412</v>
      </c>
      <c r="BO755" s="66"/>
      <c r="BP755" s="66">
        <f t="shared" ref="BP755" si="2133">+BP754+BE755</f>
        <v>70933892</v>
      </c>
      <c r="BQ755" s="66"/>
      <c r="BR755" s="435">
        <f t="shared" ref="BR755" si="2134">+BP755/BC755</f>
        <v>7.1927628871835958E-2</v>
      </c>
      <c r="BS755" s="66"/>
      <c r="BT755" s="75"/>
      <c r="BU755" s="170"/>
      <c r="BV755" s="1"/>
      <c r="BW755" s="61">
        <f t="shared" si="1554"/>
        <v>746</v>
      </c>
      <c r="BZ755" s="1"/>
      <c r="CA755" s="61"/>
    </row>
    <row r="756" spans="2:79" x14ac:dyDescent="0.3">
      <c r="B756" s="158">
        <f t="shared" si="1073"/>
        <v>44656</v>
      </c>
      <c r="C756" s="61"/>
      <c r="D756" s="17">
        <v>25480</v>
      </c>
      <c r="E756" s="16"/>
      <c r="F756" s="16"/>
      <c r="G756" s="16"/>
      <c r="H756" s="16">
        <f t="shared" ref="H756" si="2135">+H755+D756</f>
        <v>71866350</v>
      </c>
      <c r="I756" s="16"/>
      <c r="J756" s="436">
        <f t="shared" ref="J756" si="2136">+D756/H755</f>
        <v>3.5467276495955576E-4</v>
      </c>
      <c r="K756" s="16"/>
      <c r="L756" s="16"/>
      <c r="M756" s="16"/>
      <c r="N756" s="16">
        <f t="shared" ref="N756" si="2137">SUM(D750:D756)</f>
        <v>160934</v>
      </c>
      <c r="O756" s="16">
        <f t="shared" ref="O756" si="2138">+H756/BW756</f>
        <v>96206.626506024098</v>
      </c>
      <c r="P756" s="41"/>
      <c r="Q756" s="17">
        <f t="shared" ref="Q756" si="2139">SUM(D750:D756)</f>
        <v>160934</v>
      </c>
      <c r="R756" s="16"/>
      <c r="S756" s="60">
        <f t="shared" ref="S756" si="2140">+(Q756-Q749)/Q749</f>
        <v>2.4613543178750606E-2</v>
      </c>
      <c r="T756" s="16"/>
      <c r="U756" s="41"/>
      <c r="V756" s="10">
        <f t="shared" si="568"/>
        <v>648</v>
      </c>
      <c r="W756" s="34">
        <v>466</v>
      </c>
      <c r="X756" s="33">
        <v>4256</v>
      </c>
      <c r="Y756" s="33"/>
      <c r="Z756" s="33">
        <f t="shared" ref="Z756" si="2141">SUM(W751:W756)</f>
        <v>1772</v>
      </c>
      <c r="AA756" s="33">
        <f t="shared" ref="AA756" si="2142">+AA755+W756</f>
        <v>885534</v>
      </c>
      <c r="AB756" s="33"/>
      <c r="AC756" s="46">
        <f t="shared" ref="AC756" si="2143">+AA756/H756</f>
        <v>1.2321955964091679E-2</v>
      </c>
      <c r="AD756" s="33"/>
      <c r="AE756" s="33">
        <f t="shared" ref="AE756" si="2144">+AA756/BW756</f>
        <v>1185.4538152610442</v>
      </c>
      <c r="AF756" s="50"/>
      <c r="AG756" s="33"/>
      <c r="AH756" s="33"/>
      <c r="AI756" s="213"/>
      <c r="AJ756" s="50"/>
      <c r="AL756" s="23">
        <f t="shared" ref="AL756" si="214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46">+AL756/AP755</f>
        <v>1.931751689267028E-3</v>
      </c>
      <c r="AS756" s="25"/>
      <c r="AT756" s="25"/>
      <c r="AU756" s="24"/>
      <c r="AV756" s="298">
        <f t="shared" ref="AV756" si="2147">+AP756/H756</f>
        <v>0.91793262076062021</v>
      </c>
      <c r="AW756" s="298"/>
      <c r="AX756" s="24">
        <f t="shared" ref="AX756" si="2148">+AP756/BW756</f>
        <v>88311.200803212851</v>
      </c>
      <c r="AY756" s="308"/>
      <c r="BA756" s="65">
        <f t="shared" ref="BA756" si="2149">+BC756-BC755</f>
        <v>1178596</v>
      </c>
      <c r="BB756" s="66"/>
      <c r="BC756" s="66">
        <v>987362808</v>
      </c>
      <c r="BD756" s="66"/>
      <c r="BE756" s="66">
        <f t="shared" ref="BE756" si="2150">+D756</f>
        <v>25480</v>
      </c>
      <c r="BF756" s="66"/>
      <c r="BG756" s="144">
        <f t="shared" ref="BG756" si="215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52">+BC756/BW756</f>
        <v>1321770.8273092369</v>
      </c>
      <c r="BO756" s="66"/>
      <c r="BP756" s="66">
        <f t="shared" ref="BP756" si="2153">+BP755+BE756</f>
        <v>70959372</v>
      </c>
      <c r="BQ756" s="66"/>
      <c r="BR756" s="435">
        <f t="shared" ref="BR756" si="2154">+BP756/BC756</f>
        <v>7.1867576361049235E-2</v>
      </c>
      <c r="BS756" s="66"/>
      <c r="BT756" s="75"/>
      <c r="BU756" s="170"/>
      <c r="BV756" s="1"/>
      <c r="BW756" s="61">
        <f t="shared" si="1554"/>
        <v>747</v>
      </c>
      <c r="BZ756" s="1"/>
      <c r="CA756" s="61"/>
    </row>
    <row r="757" spans="2:79" x14ac:dyDescent="0.3">
      <c r="B757" s="158">
        <f t="shared" si="1073"/>
        <v>44657</v>
      </c>
      <c r="C757" s="61"/>
      <c r="D757" s="17">
        <v>31118</v>
      </c>
      <c r="E757" s="16"/>
      <c r="F757" s="16"/>
      <c r="G757" s="16"/>
      <c r="H757" s="16">
        <f t="shared" ref="H757" si="2155">+H756+D757</f>
        <v>71897468</v>
      </c>
      <c r="I757" s="16"/>
      <c r="J757" s="436">
        <f t="shared" ref="J757" si="2156">+D757/H756</f>
        <v>4.3299819734827219E-4</v>
      </c>
      <c r="K757" s="16"/>
      <c r="L757" s="16"/>
      <c r="M757" s="16"/>
      <c r="N757" s="16">
        <f t="shared" ref="N757" si="2157">SUM(D751:D757)</f>
        <v>159858</v>
      </c>
      <c r="O757" s="16">
        <f t="shared" ref="O757" si="2158">+H757/BW757</f>
        <v>96119.609625668454</v>
      </c>
      <c r="P757" s="41"/>
      <c r="Q757" s="17">
        <f t="shared" ref="Q757" si="2159">SUM(D751:D757)</f>
        <v>159858</v>
      </c>
      <c r="R757" s="16"/>
      <c r="S757" s="60">
        <f t="shared" ref="S757" si="2160">+(Q757-Q750)/Q750</f>
        <v>1.6656173086829602E-2</v>
      </c>
      <c r="T757" s="16"/>
      <c r="U757" s="41"/>
      <c r="V757" s="10">
        <f t="shared" si="568"/>
        <v>649</v>
      </c>
      <c r="W757" s="34">
        <v>483</v>
      </c>
      <c r="X757" s="33">
        <v>4256</v>
      </c>
      <c r="Y757" s="33"/>
      <c r="Z757" s="33">
        <f t="shared" ref="Z757" si="2161">SUM(W752:W757)</f>
        <v>1816</v>
      </c>
      <c r="AA757" s="33">
        <f t="shared" ref="AA757" si="2162">+AA756+W757</f>
        <v>886017</v>
      </c>
      <c r="AB757" s="33"/>
      <c r="AC757" s="46">
        <f t="shared" ref="AC757" si="2163">+AA757/H757</f>
        <v>1.2323340788579648E-2</v>
      </c>
      <c r="AD757" s="33"/>
      <c r="AE757" s="33">
        <f t="shared" ref="AE757" si="2164">+AA757/BW757</f>
        <v>1184.5147058823529</v>
      </c>
      <c r="AF757" s="50"/>
      <c r="AG757" s="33"/>
      <c r="AH757" s="33"/>
      <c r="AI757" s="213"/>
      <c r="AJ757" s="50"/>
      <c r="AL757" s="23">
        <f t="shared" ref="AL757" si="216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66">+AL757/AP756</f>
        <v>1.8142607436974396E-3</v>
      </c>
      <c r="AS757" s="25"/>
      <c r="AT757" s="25"/>
      <c r="AU757" s="24"/>
      <c r="AV757" s="298">
        <f t="shared" ref="AV757" si="2167">+AP757/H757</f>
        <v>0.9191999779463722</v>
      </c>
      <c r="AW757" s="298"/>
      <c r="AX757" s="24">
        <f t="shared" ref="AX757" si="2168">+AP757/BW757</f>
        <v>88353.143048128346</v>
      </c>
      <c r="AY757" s="308"/>
      <c r="BA757" s="65">
        <f t="shared" ref="BA757" si="2169">+BC757-BC756</f>
        <v>929803</v>
      </c>
      <c r="BB757" s="66"/>
      <c r="BC757" s="66">
        <v>988292611</v>
      </c>
      <c r="BD757" s="66"/>
      <c r="BE757" s="66">
        <f t="shared" ref="BE757" si="2170">+D757</f>
        <v>31118</v>
      </c>
      <c r="BF757" s="66"/>
      <c r="BG757" s="144">
        <f t="shared" ref="BG757" si="217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72">+BC757/BW757</f>
        <v>1321246.8061497326</v>
      </c>
      <c r="BO757" s="66"/>
      <c r="BP757" s="66">
        <f t="shared" ref="BP757" si="2173">+BP756+BE757</f>
        <v>70990490</v>
      </c>
      <c r="BQ757" s="66"/>
      <c r="BR757" s="435">
        <f t="shared" ref="BR757" si="2174">+BP757/BC757</f>
        <v>7.1831448712510917E-2</v>
      </c>
      <c r="BS757" s="66"/>
      <c r="BT757" s="75"/>
      <c r="BU757" s="170"/>
      <c r="BV757" s="1"/>
      <c r="BW757" s="61">
        <f t="shared" si="1554"/>
        <v>748</v>
      </c>
      <c r="BZ757" s="1"/>
      <c r="CA757" s="61"/>
    </row>
    <row r="758" spans="2:79" x14ac:dyDescent="0.3">
      <c r="B758" s="158">
        <f t="shared" si="1073"/>
        <v>44658</v>
      </c>
      <c r="C758" s="61"/>
      <c r="D758" s="17">
        <v>32659</v>
      </c>
      <c r="E758" s="16"/>
      <c r="F758" s="16"/>
      <c r="G758" s="16"/>
      <c r="H758" s="16">
        <f t="shared" ref="H758" si="2175">+H757+D758</f>
        <v>71930127</v>
      </c>
      <c r="I758" s="16"/>
      <c r="J758" s="436">
        <f t="shared" ref="J758" si="2176">+D758/H757</f>
        <v>4.5424409104365121E-4</v>
      </c>
      <c r="K758" s="16"/>
      <c r="L758" s="16"/>
      <c r="M758" s="16"/>
      <c r="N758" s="16">
        <f t="shared" ref="N758" si="2177">SUM(D752:D758)</f>
        <v>157956</v>
      </c>
      <c r="O758" s="16">
        <f t="shared" ref="O758" si="2178">+H758/BW758</f>
        <v>96034.882510013354</v>
      </c>
      <c r="P758" s="41"/>
      <c r="Q758" s="17">
        <f t="shared" ref="Q758" si="2179">SUM(D752:D758)</f>
        <v>157956</v>
      </c>
      <c r="R758" s="16"/>
      <c r="S758" s="60">
        <f t="shared" ref="S758" si="2180">+(Q758-Q751)/Q751</f>
        <v>-1.27996800079998E-2</v>
      </c>
      <c r="T758" s="16"/>
      <c r="U758" s="41"/>
      <c r="V758" s="10">
        <f t="shared" si="568"/>
        <v>650</v>
      </c>
      <c r="W758" s="34">
        <v>409</v>
      </c>
      <c r="X758" s="33">
        <v>4256</v>
      </c>
      <c r="Y758" s="33"/>
      <c r="Z758" s="33">
        <f t="shared" ref="Z758" si="2181">SUM(W753:W758)</f>
        <v>1727</v>
      </c>
      <c r="AA758" s="33">
        <f t="shared" ref="AA758" si="2182">+AA757+W758</f>
        <v>886426</v>
      </c>
      <c r="AB758" s="33"/>
      <c r="AC758" s="46">
        <f t="shared" ref="AC758" si="2183">+AA758/H758</f>
        <v>1.2323431599112845E-2</v>
      </c>
      <c r="AD758" s="33"/>
      <c r="AE758" s="33">
        <f t="shared" ref="AE758" si="2184">+AA758/BW758</f>
        <v>1183.4793057409879</v>
      </c>
      <c r="AF758" s="50"/>
      <c r="AG758" s="33"/>
      <c r="AH758" s="33"/>
      <c r="AI758" s="213"/>
      <c r="AJ758" s="50"/>
      <c r="AL758" s="23">
        <f t="shared" ref="AL758" si="218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86">+AL758/AP757</f>
        <v>1.9874213155093414E-3</v>
      </c>
      <c r="AS758" s="25"/>
      <c r="AT758" s="25"/>
      <c r="AU758" s="24"/>
      <c r="AV758" s="298">
        <f t="shared" ref="AV758" si="2187">+AP758/H758</f>
        <v>0.9206086345433534</v>
      </c>
      <c r="AW758" s="298"/>
      <c r="AX758" s="24">
        <f t="shared" ref="AX758" si="2188">+AP758/BW758</f>
        <v>88410.542056074773</v>
      </c>
      <c r="AY758" s="308"/>
      <c r="BA758" s="65">
        <f t="shared" ref="BA758" si="2189">+BC758-BC757</f>
        <v>805767</v>
      </c>
      <c r="BB758" s="66"/>
      <c r="BC758" s="66">
        <v>989098378</v>
      </c>
      <c r="BD758" s="66"/>
      <c r="BE758" s="66">
        <f t="shared" ref="BE758" si="2190">+D758</f>
        <v>32659</v>
      </c>
      <c r="BF758" s="66"/>
      <c r="BG758" s="144">
        <f t="shared" ref="BG758" si="219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92">+BC758/BW758</f>
        <v>1320558.5821094792</v>
      </c>
      <c r="BO758" s="66"/>
      <c r="BP758" s="66">
        <f t="shared" ref="BP758" si="2193">+BP757+BE758</f>
        <v>71023149</v>
      </c>
      <c r="BQ758" s="66"/>
      <c r="BR758" s="435">
        <f t="shared" ref="BR758" si="2194">+BP758/BC758</f>
        <v>7.1805950327824719E-2</v>
      </c>
      <c r="BS758" s="66"/>
      <c r="BT758" s="75"/>
      <c r="BU758" s="170"/>
      <c r="BV758" s="1"/>
      <c r="BW758" s="61">
        <f t="shared" si="1554"/>
        <v>749</v>
      </c>
      <c r="BZ758" s="1"/>
      <c r="CA758" s="61"/>
    </row>
    <row r="759" spans="2:79" x14ac:dyDescent="0.3">
      <c r="B759" s="158">
        <f t="shared" si="1073"/>
        <v>44659</v>
      </c>
      <c r="C759" s="61"/>
      <c r="D759" s="17">
        <v>35285</v>
      </c>
      <c r="E759" s="16"/>
      <c r="F759" s="16"/>
      <c r="G759" s="16"/>
      <c r="H759" s="16">
        <f t="shared" ref="H759" si="2195">+H758+D759</f>
        <v>71965412</v>
      </c>
      <c r="I759" s="16"/>
      <c r="J759" s="436">
        <f t="shared" ref="J759" si="2196">+D759/H758</f>
        <v>4.9054549841125682E-4</v>
      </c>
      <c r="K759" s="16"/>
      <c r="L759" s="16"/>
      <c r="M759" s="16"/>
      <c r="N759" s="16">
        <f t="shared" ref="N759" si="2197">SUM(D753:D759)</f>
        <v>162586</v>
      </c>
      <c r="O759" s="16">
        <f t="shared" ref="O759" si="2198">+H759/BW759</f>
        <v>95953.882666666672</v>
      </c>
      <c r="P759" s="41"/>
      <c r="Q759" s="17">
        <f t="shared" ref="Q759" si="2199">SUM(D753:D759)</f>
        <v>162586</v>
      </c>
      <c r="R759" s="16"/>
      <c r="S759" s="60">
        <f t="shared" ref="S759" si="2200">+(Q759-Q752)/Q752</f>
        <v>2.4279918352947107E-2</v>
      </c>
      <c r="T759" s="16"/>
      <c r="U759" s="41"/>
      <c r="V759" s="10">
        <f t="shared" si="568"/>
        <v>651</v>
      </c>
      <c r="W759" s="34">
        <v>404</v>
      </c>
      <c r="X759" s="33">
        <v>4256</v>
      </c>
      <c r="Y759" s="33"/>
      <c r="Z759" s="33">
        <f t="shared" ref="Z759" si="2201">SUM(W754:W759)</f>
        <v>1981</v>
      </c>
      <c r="AA759" s="33">
        <f t="shared" ref="AA759" si="2202">+AA758+W759</f>
        <v>886830</v>
      </c>
      <c r="AB759" s="33"/>
      <c r="AC759" s="46">
        <f t="shared" ref="AC759" si="2203">+AA759/H759</f>
        <v>1.2323003167132567E-2</v>
      </c>
      <c r="AD759" s="33"/>
      <c r="AE759" s="33">
        <f t="shared" ref="AE759" si="2204">+AA759/BW759</f>
        <v>1182.44</v>
      </c>
      <c r="AF759" s="50"/>
      <c r="AG759" s="33"/>
      <c r="AH759" s="33"/>
      <c r="AI759" s="213"/>
      <c r="AJ759" s="50"/>
      <c r="AL759" s="23">
        <f t="shared" ref="AL759" si="220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206">+AL759/AP758</f>
        <v>1.3953141534027984E-3</v>
      </c>
      <c r="AS759" s="25"/>
      <c r="AT759" s="25"/>
      <c r="AU759" s="24"/>
      <c r="AV759" s="298">
        <f t="shared" ref="AV759" si="2207">+AP759/H759</f>
        <v>0.92144116398583253</v>
      </c>
      <c r="AW759" s="298"/>
      <c r="AX759" s="24">
        <f t="shared" ref="AX759" si="2208">+AP759/BW759</f>
        <v>88415.857333333333</v>
      </c>
      <c r="AY759" s="308"/>
      <c r="BA759" s="65">
        <f t="shared" ref="BA759" si="2209">+BC759-BC758</f>
        <v>1604139</v>
      </c>
      <c r="BB759" s="66"/>
      <c r="BC759" s="66">
        <v>990702517</v>
      </c>
      <c r="BD759" s="66"/>
      <c r="BE759" s="66">
        <f t="shared" ref="BE759" si="2210">+D759</f>
        <v>35285</v>
      </c>
      <c r="BF759" s="66"/>
      <c r="BG759" s="144">
        <f t="shared" ref="BG759" si="221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12">+BC759/BW759</f>
        <v>1320936.6893333334</v>
      </c>
      <c r="BO759" s="66"/>
      <c r="BP759" s="66">
        <f t="shared" ref="BP759" si="2213">+BP758+BE759</f>
        <v>71058434</v>
      </c>
      <c r="BQ759" s="66"/>
      <c r="BR759" s="435">
        <f t="shared" ref="BR759" si="2214">+BP759/BC759</f>
        <v>7.1725298745758614E-2</v>
      </c>
      <c r="BS759" s="66"/>
      <c r="BT759" s="75"/>
      <c r="BU759" s="170"/>
      <c r="BV759" s="1"/>
      <c r="BW759" s="61">
        <f t="shared" si="1554"/>
        <v>750</v>
      </c>
      <c r="BZ759" s="1"/>
      <c r="CA759" s="61"/>
    </row>
    <row r="760" spans="2:79" x14ac:dyDescent="0.3">
      <c r="B760" s="158">
        <f t="shared" si="1073"/>
        <v>44660</v>
      </c>
      <c r="C760" s="61"/>
      <c r="D760" s="17">
        <v>15572</v>
      </c>
      <c r="E760" s="16"/>
      <c r="F760" s="16"/>
      <c r="G760" s="16"/>
      <c r="H760" s="16">
        <f t="shared" ref="H760" si="2215">+H759+D760</f>
        <v>71980984</v>
      </c>
      <c r="I760" s="16"/>
      <c r="J760" s="436">
        <f t="shared" ref="J760" si="2216">+D760/H759</f>
        <v>2.1638172515430051E-4</v>
      </c>
      <c r="K760" s="16"/>
      <c r="L760" s="16"/>
      <c r="M760" s="16"/>
      <c r="N760" s="16">
        <f t="shared" ref="N760" si="2217">SUM(D754:D760)</f>
        <v>165497</v>
      </c>
      <c r="O760" s="16">
        <f t="shared" ref="O760" si="2218">+H760/BW760</f>
        <v>95846.849533954723</v>
      </c>
      <c r="P760" s="41"/>
      <c r="Q760" s="17">
        <f t="shared" ref="Q760" si="2219">SUM(D754:D760)</f>
        <v>165497</v>
      </c>
      <c r="R760" s="16"/>
      <c r="S760" s="60">
        <f t="shared" ref="S760" si="2220">+(Q760-Q753)/Q753</f>
        <v>6.1674460973935578E-2</v>
      </c>
      <c r="T760" s="16"/>
      <c r="U760" s="41"/>
      <c r="V760" s="10">
        <f t="shared" si="568"/>
        <v>652</v>
      </c>
      <c r="W760" s="34">
        <v>155</v>
      </c>
      <c r="X760" s="33">
        <v>4256</v>
      </c>
      <c r="Y760" s="33"/>
      <c r="Z760" s="33">
        <f t="shared" ref="Z760" si="2221">SUM(W755:W760)</f>
        <v>2097</v>
      </c>
      <c r="AA760" s="33">
        <f t="shared" ref="AA760" si="2222">+AA759+W760</f>
        <v>886985</v>
      </c>
      <c r="AB760" s="33"/>
      <c r="AC760" s="46">
        <f t="shared" ref="AC760" si="2223">+AA760/H760</f>
        <v>1.2322490617799834E-2</v>
      </c>
      <c r="AD760" s="33"/>
      <c r="AE760" s="33">
        <f t="shared" ref="AE760" si="2224">+AA760/BW760</f>
        <v>1181.0719041278296</v>
      </c>
      <c r="AF760" s="50"/>
      <c r="AG760" s="33"/>
      <c r="AH760" s="33"/>
      <c r="AI760" s="213"/>
      <c r="AJ760" s="50"/>
      <c r="AL760" s="23">
        <f t="shared" ref="AL760" si="222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26">+AL760/AP759</f>
        <v>0.14082502515800596</v>
      </c>
      <c r="AS760" s="25"/>
      <c r="AT760" s="25"/>
      <c r="AU760" s="24"/>
      <c r="AV760" s="298">
        <f t="shared" ref="AV760" si="2227">+AP760/H760</f>
        <v>1.0509757271448248</v>
      </c>
      <c r="AW760" s="298"/>
      <c r="AX760" s="24">
        <f t="shared" ref="AX760" si="2228">+AP760/BW760</f>
        <v>100732.71238348869</v>
      </c>
      <c r="AY760" s="308"/>
      <c r="BA760" s="65">
        <f t="shared" ref="BA760" si="2229">+BC760-BC759</f>
        <v>267173</v>
      </c>
      <c r="BB760" s="66"/>
      <c r="BC760" s="66">
        <v>990969690</v>
      </c>
      <c r="BD760" s="66"/>
      <c r="BE760" s="66">
        <f t="shared" ref="BE760" si="2230">+D760</f>
        <v>15572</v>
      </c>
      <c r="BF760" s="66"/>
      <c r="BG760" s="144">
        <f t="shared" ref="BG760" si="223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32">+BC760/BW760</f>
        <v>1319533.5419440747</v>
      </c>
      <c r="BO760" s="66"/>
      <c r="BP760" s="66">
        <f t="shared" ref="BP760" si="2233">+BP759+BE760</f>
        <v>71074006</v>
      </c>
      <c r="BQ760" s="66"/>
      <c r="BR760" s="435">
        <f t="shared" ref="BR760" si="2234">+BP760/BC760</f>
        <v>7.1721674958595355E-2</v>
      </c>
      <c r="BS760" s="66"/>
      <c r="BT760" s="75"/>
      <c r="BU760" s="170"/>
      <c r="BV760" s="1"/>
      <c r="BW760" s="61">
        <f t="shared" si="1554"/>
        <v>751</v>
      </c>
      <c r="BZ760" s="1"/>
      <c r="CA760" s="61"/>
    </row>
    <row r="761" spans="2:79" x14ac:dyDescent="0.3">
      <c r="B761" s="347">
        <f t="shared" si="1073"/>
        <v>44661</v>
      </c>
      <c r="C761" s="61"/>
      <c r="D761" s="17">
        <v>9747</v>
      </c>
      <c r="E761" s="16"/>
      <c r="F761" s="16"/>
      <c r="G761" s="16"/>
      <c r="H761" s="16">
        <f t="shared" ref="H761" si="2235">+H760+D761</f>
        <v>71990731</v>
      </c>
      <c r="I761" s="16"/>
      <c r="J761" s="436">
        <f t="shared" ref="J761" si="2236">+D761/H760</f>
        <v>1.3541076348720101E-4</v>
      </c>
      <c r="K761" s="16"/>
      <c r="L761" s="16"/>
      <c r="M761" s="16"/>
      <c r="N761" s="16">
        <f t="shared" ref="N761" si="2237">SUM(D755:D761)</f>
        <v>169003</v>
      </c>
      <c r="O761" s="16">
        <f t="shared" ref="O761" si="2238">+H761/BW761</f>
        <v>95732.355053191495</v>
      </c>
      <c r="P761" s="41"/>
      <c r="Q761" s="17">
        <f t="shared" ref="Q761" si="2239">SUM(D755:D761)</f>
        <v>169003</v>
      </c>
      <c r="R761" s="16"/>
      <c r="S761" s="60">
        <f t="shared" ref="S761" si="2240">+(Q761-Q754)/Q754</f>
        <v>7.5274221871580185E-2</v>
      </c>
      <c r="T761" s="16"/>
      <c r="U761" s="41"/>
      <c r="V761" s="10">
        <f t="shared" si="568"/>
        <v>653</v>
      </c>
      <c r="W761" s="34">
        <v>20</v>
      </c>
      <c r="X761" s="33">
        <v>4256</v>
      </c>
      <c r="Y761" s="33"/>
      <c r="Z761" s="33">
        <f t="shared" ref="Z761" si="2241">SUM(W756:W761)</f>
        <v>1937</v>
      </c>
      <c r="AA761" s="33">
        <f t="shared" ref="AA761" si="2242">+AA760+W761</f>
        <v>887005</v>
      </c>
      <c r="AB761" s="33"/>
      <c r="AC761" s="46">
        <f t="shared" ref="AC761" si="2243">+AA761/H761</f>
        <v>1.2321100059395147E-2</v>
      </c>
      <c r="AD761" s="33"/>
      <c r="AE761" s="33">
        <f t="shared" ref="AE761" si="2244">+AA761/BW761</f>
        <v>1179.5279255319149</v>
      </c>
      <c r="AF761" s="50"/>
      <c r="AG761" s="33"/>
      <c r="AH761" s="33"/>
      <c r="AI761" s="213"/>
      <c r="AJ761" s="50"/>
      <c r="AL761" s="23">
        <f t="shared" ref="AL761" si="224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46">+AL761/AP760</f>
        <v>5.6288671129210953E-2</v>
      </c>
      <c r="AS761" s="25"/>
      <c r="AT761" s="25"/>
      <c r="AU761" s="24"/>
      <c r="AV761" s="298">
        <f t="shared" ref="AV761" si="2247">+AP761/H761</f>
        <v>1.1099834505083717</v>
      </c>
      <c r="AW761" s="298"/>
      <c r="AX761" s="24">
        <f t="shared" ref="AX761" si="2248">+AP761/BW761</f>
        <v>106261.32978723405</v>
      </c>
      <c r="AY761" s="308"/>
      <c r="BA761" s="65">
        <f t="shared" ref="BA761" si="2249">+BC761-BC760</f>
        <v>203714</v>
      </c>
      <c r="BB761" s="66"/>
      <c r="BC761" s="66">
        <v>991173404</v>
      </c>
      <c r="BD761" s="66"/>
      <c r="BE761" s="66">
        <f t="shared" ref="BE761" si="2250">+D761</f>
        <v>9747</v>
      </c>
      <c r="BF761" s="66"/>
      <c r="BG761" s="144">
        <f t="shared" ref="BG761" si="225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52">+BC761/BW761</f>
        <v>1318049.7393617022</v>
      </c>
      <c r="BO761" s="66"/>
      <c r="BP761" s="66">
        <f t="shared" ref="BP761" si="2253">+BP760+BE761</f>
        <v>71083753</v>
      </c>
      <c r="BQ761" s="66"/>
      <c r="BR761" s="435">
        <f t="shared" ref="BR761" si="2254">+BP761/BC761</f>
        <v>7.1716767937005696E-2</v>
      </c>
      <c r="BS761" s="66"/>
      <c r="BT761" s="75"/>
      <c r="BU761" s="170"/>
      <c r="BV761" s="1"/>
      <c r="BW761" s="61">
        <f t="shared" si="1554"/>
        <v>752</v>
      </c>
      <c r="BZ761" s="1"/>
      <c r="CA761" s="61"/>
    </row>
    <row r="762" spans="2:79" x14ac:dyDescent="0.3">
      <c r="B762" s="158">
        <f t="shared" si="1073"/>
        <v>44662</v>
      </c>
      <c r="C762" s="61"/>
      <c r="D762" s="17">
        <v>23129</v>
      </c>
      <c r="E762" s="16"/>
      <c r="F762" s="16"/>
      <c r="G762" s="16"/>
      <c r="H762" s="16">
        <f t="shared" ref="H762" si="2255">+H761+D762</f>
        <v>72013860</v>
      </c>
      <c r="I762" s="16"/>
      <c r="J762" s="436">
        <f t="shared" ref="J762" si="2256">+D762/H761</f>
        <v>3.2127747112333112E-4</v>
      </c>
      <c r="K762" s="16"/>
      <c r="L762" s="16"/>
      <c r="M762" s="16"/>
      <c r="N762" s="16">
        <f t="shared" ref="N762" si="2257">SUM(D756:D762)</f>
        <v>172990</v>
      </c>
      <c r="O762" s="16">
        <f t="shared" ref="O762" si="2258">+H762/BW762</f>
        <v>95635.936254980086</v>
      </c>
      <c r="P762" s="41"/>
      <c r="Q762" s="17">
        <f t="shared" ref="Q762" si="2259">SUM(D756:D762)</f>
        <v>172990</v>
      </c>
      <c r="R762" s="16"/>
      <c r="S762" s="60">
        <f t="shared" ref="S762" si="2260">+(Q762-Q755)/Q755</f>
        <v>8.5066613141982592E-2</v>
      </c>
      <c r="T762" s="16"/>
      <c r="U762" s="41"/>
      <c r="V762" s="10">
        <f t="shared" si="568"/>
        <v>654</v>
      </c>
      <c r="W762" s="34">
        <v>149</v>
      </c>
      <c r="X762" s="33">
        <v>4256</v>
      </c>
      <c r="Y762" s="33"/>
      <c r="Z762" s="33">
        <f t="shared" ref="Z762" si="2261">SUM(W757:W762)</f>
        <v>1620</v>
      </c>
      <c r="AA762" s="33">
        <f t="shared" ref="AA762" si="2262">+AA761+W762</f>
        <v>887154</v>
      </c>
      <c r="AB762" s="33"/>
      <c r="AC762" s="46">
        <f t="shared" ref="AC762" si="2263">+AA762/H762</f>
        <v>1.2319211885045462E-2</v>
      </c>
      <c r="AD762" s="33"/>
      <c r="AE762" s="33">
        <f t="shared" ref="AE762" si="2264">+AA762/BW762</f>
        <v>1178.1593625498008</v>
      </c>
      <c r="AF762" s="50"/>
      <c r="AG762" s="33"/>
      <c r="AH762" s="33"/>
      <c r="AI762" s="213"/>
      <c r="AJ762" s="50"/>
      <c r="AL762" s="23">
        <f t="shared" ref="AL762" si="226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66">+AL762/AP761</f>
        <v>6.374288999470895E-4</v>
      </c>
      <c r="AS762" s="25"/>
      <c r="AT762" s="25"/>
      <c r="AU762" s="24"/>
      <c r="AV762" s="298">
        <f t="shared" ref="AV762" si="2267">+AP762/H762</f>
        <v>1.1103342606548239</v>
      </c>
      <c r="AW762" s="298"/>
      <c r="AX762" s="24">
        <f t="shared" ref="AX762" si="2268">+AP762/BW762</f>
        <v>106187.85657370518</v>
      </c>
      <c r="AY762" s="308"/>
      <c r="BA762" s="65">
        <f t="shared" ref="BA762" si="2269">+BC762-BC761</f>
        <v>860652</v>
      </c>
      <c r="BB762" s="66"/>
      <c r="BC762" s="66">
        <v>992034056</v>
      </c>
      <c r="BD762" s="66"/>
      <c r="BE762" s="66">
        <f t="shared" ref="BE762" si="2270">+D762</f>
        <v>23129</v>
      </c>
      <c r="BF762" s="66"/>
      <c r="BG762" s="144">
        <f t="shared" ref="BG762" si="227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72">+BC762/BW762</f>
        <v>1317442.3054448871</v>
      </c>
      <c r="BO762" s="66"/>
      <c r="BP762" s="66">
        <f t="shared" ref="BP762" si="2273">+BP761+BE762</f>
        <v>71106882</v>
      </c>
      <c r="BQ762" s="66"/>
      <c r="BR762" s="435">
        <f t="shared" ref="BR762" si="2274">+BP762/BC762</f>
        <v>7.1677863849464452E-2</v>
      </c>
      <c r="BS762" s="66"/>
      <c r="BT762" s="75"/>
      <c r="BU762" s="170"/>
      <c r="BV762" s="1"/>
      <c r="BW762" s="61">
        <f t="shared" si="1554"/>
        <v>753</v>
      </c>
      <c r="BZ762" s="1"/>
      <c r="CA762" s="61"/>
    </row>
    <row r="763" spans="2:79" x14ac:dyDescent="0.3">
      <c r="B763" s="158">
        <f t="shared" si="1073"/>
        <v>44663</v>
      </c>
      <c r="C763" s="61"/>
      <c r="D763" s="17">
        <v>28944</v>
      </c>
      <c r="E763" s="16"/>
      <c r="F763" s="16"/>
      <c r="G763" s="16"/>
      <c r="H763" s="16">
        <f t="shared" ref="H763" si="2275">+H762+D763</f>
        <v>72042804</v>
      </c>
      <c r="I763" s="16"/>
      <c r="J763" s="436">
        <f t="shared" ref="J763" si="2276">+D763/H762</f>
        <v>4.0192262989374543E-4</v>
      </c>
      <c r="K763" s="16"/>
      <c r="L763" s="16"/>
      <c r="M763" s="16"/>
      <c r="N763" s="16">
        <f t="shared" ref="N763" si="2277">SUM(D757:D763)</f>
        <v>176454</v>
      </c>
      <c r="O763" s="16">
        <f t="shared" ref="O763" si="2278">+H763/BW763</f>
        <v>95547.485411140588</v>
      </c>
      <c r="P763" s="41"/>
      <c r="Q763" s="17">
        <f t="shared" ref="Q763" si="2279">SUM(D757:D763)</f>
        <v>176454</v>
      </c>
      <c r="R763" s="16"/>
      <c r="S763" s="60">
        <f t="shared" ref="S763" si="2280">+(Q763-Q756)/Q756</f>
        <v>9.6437048728050007E-2</v>
      </c>
      <c r="T763" s="16"/>
      <c r="U763" s="41"/>
      <c r="V763" s="10">
        <f t="shared" si="568"/>
        <v>655</v>
      </c>
      <c r="W763" s="34">
        <v>505</v>
      </c>
      <c r="X763" s="33">
        <v>4256</v>
      </c>
      <c r="Y763" s="33"/>
      <c r="Z763" s="33">
        <f t="shared" ref="Z763" si="2281">SUM(W758:W763)</f>
        <v>1642</v>
      </c>
      <c r="AA763" s="33">
        <f t="shared" ref="AA763" si="2282">+AA762+W763</f>
        <v>887659</v>
      </c>
      <c r="AB763" s="33"/>
      <c r="AC763" s="46">
        <f t="shared" ref="AC763" si="2283">+AA763/H763</f>
        <v>1.2321272225883934E-2</v>
      </c>
      <c r="AD763" s="33"/>
      <c r="AE763" s="33">
        <f t="shared" ref="AE763" si="2284">+AA763/BW763</f>
        <v>1177.2665782493368</v>
      </c>
      <c r="AF763" s="50"/>
      <c r="AG763" s="33"/>
      <c r="AH763" s="33"/>
      <c r="AI763" s="213"/>
      <c r="AJ763" s="50"/>
      <c r="AL763" s="23">
        <f t="shared" ref="AL763" si="228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86">+AL763/AP762</f>
        <v>6.9566506305395576E-4</v>
      </c>
      <c r="AS763" s="25"/>
      <c r="AT763" s="25"/>
      <c r="AU763" s="24"/>
      <c r="AV763" s="298">
        <f t="shared" ref="AV763" si="2287">+AP763/H763</f>
        <v>1.1106602819068507</v>
      </c>
      <c r="AW763" s="298"/>
      <c r="AX763" s="24">
        <f t="shared" ref="AX763" si="2288">+AP763/BW763</f>
        <v>106120.79708222812</v>
      </c>
      <c r="AY763" s="308"/>
      <c r="BA763" s="65">
        <f t="shared" ref="BA763" si="2289">+BC763-BC762</f>
        <v>411635</v>
      </c>
      <c r="BB763" s="66"/>
      <c r="BC763" s="66">
        <v>992445691</v>
      </c>
      <c r="BD763" s="66"/>
      <c r="BE763" s="66">
        <f t="shared" ref="BE763" si="2290">+D763</f>
        <v>28944</v>
      </c>
      <c r="BF763" s="66"/>
      <c r="BG763" s="144">
        <f t="shared" ref="BG763" si="229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92">+BC763/BW763</f>
        <v>1316240.9694960213</v>
      </c>
      <c r="BO763" s="66"/>
      <c r="BP763" s="66">
        <f t="shared" ref="BP763" si="2293">+BP762+BE763</f>
        <v>71135826</v>
      </c>
      <c r="BQ763" s="66"/>
      <c r="BR763" s="435">
        <f t="shared" ref="BR763" si="2294">+BP763/BC763</f>
        <v>7.1677298460858546E-2</v>
      </c>
      <c r="BS763" s="66"/>
      <c r="BT763" s="75"/>
      <c r="BU763" s="170"/>
      <c r="BV763" s="1"/>
      <c r="BW763" s="61">
        <f t="shared" si="1554"/>
        <v>754</v>
      </c>
      <c r="BZ763" s="1"/>
      <c r="CA763" s="61"/>
    </row>
    <row r="764" spans="2:79" x14ac:dyDescent="0.3">
      <c r="B764" s="158">
        <f t="shared" si="1073"/>
        <v>44664</v>
      </c>
      <c r="C764" s="61"/>
      <c r="D764" s="17">
        <v>37588</v>
      </c>
      <c r="E764" s="16"/>
      <c r="F764" s="16"/>
      <c r="G764" s="16"/>
      <c r="H764" s="16">
        <f t="shared" ref="H764" si="2295">+H763+D764</f>
        <v>72080392</v>
      </c>
      <c r="I764" s="16"/>
      <c r="J764" s="436">
        <f t="shared" ref="J764" si="2296">+D764/H763</f>
        <v>5.2174537792837718E-4</v>
      </c>
      <c r="K764" s="16"/>
      <c r="L764" s="16"/>
      <c r="M764" s="16"/>
      <c r="N764" s="16">
        <f t="shared" ref="N764" si="2297">SUM(D758:D764)</f>
        <v>182924</v>
      </c>
      <c r="O764" s="16">
        <f t="shared" ref="O764" si="2298">+H764/BW764</f>
        <v>95470.717880794706</v>
      </c>
      <c r="P764" s="41"/>
      <c r="Q764" s="17">
        <f t="shared" ref="Q764" si="2299">SUM(D758:D764)</f>
        <v>182924</v>
      </c>
      <c r="R764" s="16"/>
      <c r="S764" s="60">
        <f t="shared" ref="S764" si="2300">+(Q764-Q757)/Q757</f>
        <v>0.14429055787010972</v>
      </c>
      <c r="T764" s="16"/>
      <c r="U764" s="41"/>
      <c r="V764" s="10">
        <f t="shared" si="568"/>
        <v>656</v>
      </c>
      <c r="W764" s="34">
        <v>331</v>
      </c>
      <c r="X764" s="33">
        <v>4256</v>
      </c>
      <c r="Y764" s="33"/>
      <c r="Z764" s="33">
        <f t="shared" ref="Z764" si="2301">SUM(W759:W764)</f>
        <v>1564</v>
      </c>
      <c r="AA764" s="33">
        <f t="shared" ref="AA764" si="2302">+AA763+W764</f>
        <v>887990</v>
      </c>
      <c r="AB764" s="33"/>
      <c r="AC764" s="46">
        <f t="shared" ref="AC764" si="2303">+AA764/H764</f>
        <v>1.2319439106269011E-2</v>
      </c>
      <c r="AD764" s="33"/>
      <c r="AE764" s="33">
        <f t="shared" ref="AE764" si="2304">+AA764/BW764</f>
        <v>1176.1456953642385</v>
      </c>
      <c r="AF764" s="50"/>
      <c r="AG764" s="33"/>
      <c r="AH764" s="33"/>
      <c r="AI764" s="213"/>
      <c r="AJ764" s="50"/>
      <c r="AL764" s="23">
        <f t="shared" ref="AL764" si="230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306">+AL764/AP763</f>
        <v>4.6834921031948965E-4</v>
      </c>
      <c r="AS764" s="25"/>
      <c r="AT764" s="25"/>
      <c r="AU764" s="24"/>
      <c r="AV764" s="298">
        <f t="shared" ref="AV764" si="2307">+AP764/H764</f>
        <v>1.1106010078302571</v>
      </c>
      <c r="AW764" s="298"/>
      <c r="AX764" s="24">
        <f t="shared" ref="AX764" si="2308">+AP764/BW764</f>
        <v>106029.87549668874</v>
      </c>
      <c r="AY764" s="308"/>
      <c r="BA764" s="65">
        <f t="shared" ref="BA764" si="2309">+BC764-BC763</f>
        <v>839522</v>
      </c>
      <c r="BB764" s="66"/>
      <c r="BC764" s="66">
        <v>993285213</v>
      </c>
      <c r="BD764" s="66"/>
      <c r="BE764" s="66">
        <f t="shared" ref="BE764" si="2310">+D764</f>
        <v>37588</v>
      </c>
      <c r="BF764" s="66"/>
      <c r="BG764" s="144">
        <f t="shared" ref="BG764" si="231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12">+BC764/BW764</f>
        <v>1315609.553642384</v>
      </c>
      <c r="BO764" s="66"/>
      <c r="BP764" s="66">
        <f t="shared" ref="BP764" si="2313">+BP763+BE764</f>
        <v>71173414</v>
      </c>
      <c r="BQ764" s="66"/>
      <c r="BR764" s="435">
        <f t="shared" ref="BR764" si="2314">+BP764/BC764</f>
        <v>7.1654559101948498E-2</v>
      </c>
      <c r="BS764" s="66"/>
      <c r="BT764" s="75"/>
      <c r="BU764" s="170"/>
      <c r="BV764" s="1"/>
      <c r="BW764" s="61">
        <f t="shared" si="1554"/>
        <v>755</v>
      </c>
      <c r="BZ764" s="1"/>
      <c r="CA764" s="61"/>
    </row>
    <row r="765" spans="2:79" x14ac:dyDescent="0.3">
      <c r="B765" s="158">
        <f t="shared" si="1073"/>
        <v>44665</v>
      </c>
      <c r="C765" s="61"/>
      <c r="D765" s="17">
        <v>42436</v>
      </c>
      <c r="E765" s="16"/>
      <c r="F765" s="16"/>
      <c r="G765" s="16"/>
      <c r="H765" s="16">
        <f t="shared" ref="H765" si="2315">+H764+D765</f>
        <v>72122828</v>
      </c>
      <c r="I765" s="16"/>
      <c r="J765" s="436">
        <f t="shared" ref="J765" si="2316">+D765/H764</f>
        <v>5.8873153742005182E-4</v>
      </c>
      <c r="K765" s="16"/>
      <c r="L765" s="16"/>
      <c r="M765" s="16"/>
      <c r="N765" s="16">
        <f t="shared" ref="N765" si="2317">SUM(D759:D765)</f>
        <v>192701</v>
      </c>
      <c r="O765" s="16">
        <f t="shared" ref="O765" si="2318">+H765/BW765</f>
        <v>95400.566137566144</v>
      </c>
      <c r="P765" s="41"/>
      <c r="Q765" s="17">
        <f t="shared" ref="Q765" si="2319">SUM(D759:D765)</f>
        <v>192701</v>
      </c>
      <c r="R765" s="16"/>
      <c r="S765" s="60">
        <f t="shared" ref="S765" si="2320">+(Q765-Q758)/Q758</f>
        <v>0.21996631973460964</v>
      </c>
      <c r="T765" s="16"/>
      <c r="U765" s="41"/>
      <c r="V765" s="10">
        <f t="shared" si="568"/>
        <v>657</v>
      </c>
      <c r="W765" s="34">
        <v>361</v>
      </c>
      <c r="X765" s="33">
        <v>4256</v>
      </c>
      <c r="Y765" s="33"/>
      <c r="Z765" s="33">
        <f t="shared" ref="Z765" si="2321">SUM(W760:W765)</f>
        <v>1521</v>
      </c>
      <c r="AA765" s="33">
        <f t="shared" ref="AA765" si="2322">+AA764+W765</f>
        <v>888351</v>
      </c>
      <c r="AB765" s="33"/>
      <c r="AC765" s="46">
        <f t="shared" ref="AC765" si="2323">+AA765/H765</f>
        <v>1.2317195881448242E-2</v>
      </c>
      <c r="AD765" s="33"/>
      <c r="AE765" s="33">
        <f t="shared" ref="AE765" si="2324">+AA765/BW765</f>
        <v>1175.0674603174602</v>
      </c>
      <c r="AF765" s="50"/>
      <c r="AG765" s="33"/>
      <c r="AH765" s="33"/>
      <c r="AI765" s="213"/>
      <c r="AJ765" s="50"/>
      <c r="AL765" s="23">
        <f t="shared" ref="AL765" si="232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26">+AL765/AP764</f>
        <v>5.3453633635383233E-4</v>
      </c>
      <c r="AS765" s="25"/>
      <c r="AT765" s="25"/>
      <c r="AU765" s="24"/>
      <c r="AV765" s="298">
        <f t="shared" ref="AV765" si="2327">+AP765/H765</f>
        <v>1.1105408539997905</v>
      </c>
      <c r="AW765" s="298"/>
      <c r="AX765" s="24">
        <f t="shared" ref="AX765" si="2328">+AP765/BW765</f>
        <v>105946.22619047618</v>
      </c>
      <c r="AY765" s="308"/>
      <c r="BA765" s="65">
        <f t="shared" ref="BA765" si="2329">+BC765-BC764</f>
        <v>1457636</v>
      </c>
      <c r="BB765" s="66"/>
      <c r="BC765" s="66">
        <v>994742849</v>
      </c>
      <c r="BD765" s="66"/>
      <c r="BE765" s="66">
        <f t="shared" ref="BE765" si="2330">+D765</f>
        <v>42436</v>
      </c>
      <c r="BF765" s="66"/>
      <c r="BG765" s="144">
        <f t="shared" ref="BG765" si="233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32">+BC765/BW765</f>
        <v>1315797.4193121693</v>
      </c>
      <c r="BO765" s="66"/>
      <c r="BP765" s="66">
        <f t="shared" ref="BP765" si="2333">+BP764+BE765</f>
        <v>71215850</v>
      </c>
      <c r="BQ765" s="66"/>
      <c r="BR765" s="435">
        <f t="shared" ref="BR765" si="2334">+BP765/BC765</f>
        <v>7.1592221116836594E-2</v>
      </c>
      <c r="BS765" s="66"/>
      <c r="BT765" s="75"/>
      <c r="BU765" s="170"/>
      <c r="BV765" s="1"/>
      <c r="BW765" s="61">
        <f t="shared" si="1554"/>
        <v>756</v>
      </c>
      <c r="BZ765" s="1"/>
      <c r="CA765" s="61"/>
    </row>
    <row r="766" spans="2:79" x14ac:dyDescent="0.3">
      <c r="B766" s="158">
        <f t="shared" si="1073"/>
        <v>44666</v>
      </c>
      <c r="C766" s="61"/>
      <c r="D766" s="17">
        <v>39583</v>
      </c>
      <c r="E766" s="16"/>
      <c r="F766" s="16"/>
      <c r="G766" s="16"/>
      <c r="H766" s="16">
        <f t="shared" ref="H766" si="2335">+H765+D766</f>
        <v>72162411</v>
      </c>
      <c r="I766" s="16"/>
      <c r="J766" s="436">
        <f t="shared" ref="J766" si="2336">+D766/H765</f>
        <v>5.4882761946051261E-4</v>
      </c>
      <c r="K766" s="16"/>
      <c r="L766" s="16"/>
      <c r="M766" s="16"/>
      <c r="N766" s="16">
        <f t="shared" ref="N766" si="2337">SUM(D760:D766)</f>
        <v>196999</v>
      </c>
      <c r="O766" s="16">
        <f t="shared" ref="O766" si="2338">+H766/BW766</f>
        <v>95326.83091149274</v>
      </c>
      <c r="P766" s="41"/>
      <c r="Q766" s="17">
        <f t="shared" ref="Q766" si="2339">SUM(D760:D766)</f>
        <v>196999</v>
      </c>
      <c r="R766" s="16"/>
      <c r="S766" s="60">
        <f t="shared" ref="S766" si="2340">+(Q766-Q759)/Q759</f>
        <v>0.21166029055392224</v>
      </c>
      <c r="T766" s="16"/>
      <c r="U766" s="41"/>
      <c r="V766" s="10">
        <f t="shared" si="568"/>
        <v>658</v>
      </c>
      <c r="W766" s="34">
        <v>372</v>
      </c>
      <c r="X766" s="33">
        <v>4256</v>
      </c>
      <c r="Y766" s="33"/>
      <c r="Z766" s="33">
        <f t="shared" ref="Z766" si="2341">SUM(W761:W766)</f>
        <v>1738</v>
      </c>
      <c r="AA766" s="33">
        <f t="shared" ref="AA766" si="2342">+AA765+W766</f>
        <v>888723</v>
      </c>
      <c r="AB766" s="33"/>
      <c r="AC766" s="46">
        <f t="shared" ref="AC766" si="2343">+AA766/H766</f>
        <v>1.2315594610606899E-2</v>
      </c>
      <c r="AD766" s="33"/>
      <c r="AE766" s="33">
        <f t="shared" ref="AE766" si="2344">+AA766/BW766</f>
        <v>1174.006605019815</v>
      </c>
      <c r="AF766" s="50"/>
      <c r="AG766" s="33"/>
      <c r="AH766" s="33"/>
      <c r="AI766" s="213"/>
      <c r="AJ766" s="50"/>
      <c r="AL766" s="23">
        <f t="shared" ref="AL766" si="234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46">+AL766/AP765</f>
        <v>4.1153451772922589E-4</v>
      </c>
      <c r="AS766" s="25"/>
      <c r="AT766" s="25"/>
      <c r="AU766" s="24"/>
      <c r="AV766" s="298">
        <f t="shared" ref="AV766" si="2347">+AP766/H766</f>
        <v>1.1103884680349718</v>
      </c>
      <c r="AW766" s="298"/>
      <c r="AX766" s="24">
        <f t="shared" ref="AX766" si="2348">+AP766/BW766</f>
        <v>105849.81373844121</v>
      </c>
      <c r="AY766" s="308"/>
      <c r="BA766" s="65">
        <f t="shared" ref="BA766" si="2349">+BC766-BC765</f>
        <v>833533</v>
      </c>
      <c r="BB766" s="66"/>
      <c r="BC766" s="66">
        <v>995576382</v>
      </c>
      <c r="BD766" s="66"/>
      <c r="BE766" s="66">
        <f t="shared" ref="BE766" si="2350">+D766</f>
        <v>39583</v>
      </c>
      <c r="BF766" s="66"/>
      <c r="BG766" s="144">
        <f t="shared" ref="BG766" si="235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52">+BC766/BW766</f>
        <v>1315160.3461030384</v>
      </c>
      <c r="BO766" s="66"/>
      <c r="BP766" s="66">
        <f t="shared" ref="BP766" si="2353">+BP765+BE766</f>
        <v>71255433</v>
      </c>
      <c r="BQ766" s="66"/>
      <c r="BR766" s="435">
        <f t="shared" ref="BR766" si="2354">+BP766/BC766</f>
        <v>7.1572040366060033E-2</v>
      </c>
      <c r="BS766" s="66"/>
      <c r="BT766" s="75"/>
      <c r="BU766" s="170"/>
      <c r="BV766" s="1"/>
      <c r="BW766" s="61">
        <f t="shared" si="1554"/>
        <v>757</v>
      </c>
      <c r="BZ766" s="1"/>
      <c r="CA766" s="61"/>
    </row>
    <row r="767" spans="2:79" x14ac:dyDescent="0.3">
      <c r="B767" s="158">
        <f t="shared" si="1073"/>
        <v>44667</v>
      </c>
      <c r="C767" s="61"/>
      <c r="D767" s="17">
        <v>12890</v>
      </c>
      <c r="E767" s="16"/>
      <c r="F767" s="16"/>
      <c r="G767" s="16"/>
      <c r="H767" s="16">
        <f t="shared" ref="H767" si="2355">+H766+D767</f>
        <v>72175301</v>
      </c>
      <c r="I767" s="16"/>
      <c r="J767" s="436">
        <f t="shared" ref="J767" si="2356">+D767/H766</f>
        <v>1.7862485221010701E-4</v>
      </c>
      <c r="K767" s="16"/>
      <c r="L767" s="16"/>
      <c r="M767" s="16"/>
      <c r="N767" s="16">
        <f t="shared" ref="N767" si="2357">SUM(D761:D767)</f>
        <v>194317</v>
      </c>
      <c r="O767" s="16">
        <f t="shared" ref="O767" si="2358">+H767/BW767</f>
        <v>95218.075197889179</v>
      </c>
      <c r="P767" s="41"/>
      <c r="Q767" s="17">
        <f t="shared" ref="Q767" si="2359">SUM(D761:D767)</f>
        <v>194317</v>
      </c>
      <c r="R767" s="16"/>
      <c r="S767" s="60">
        <f t="shared" ref="S767" si="2360">+(Q767-Q760)/Q760</f>
        <v>0.17414212946458243</v>
      </c>
      <c r="T767" s="16"/>
      <c r="U767" s="41"/>
      <c r="V767" s="10">
        <f t="shared" si="568"/>
        <v>659</v>
      </c>
      <c r="W767" s="34">
        <v>80</v>
      </c>
      <c r="X767" s="33">
        <v>4256</v>
      </c>
      <c r="Y767" s="33"/>
      <c r="Z767" s="33">
        <f t="shared" ref="Z767" si="2361">SUM(W762:W767)</f>
        <v>1798</v>
      </c>
      <c r="AA767" s="33">
        <f t="shared" ref="AA767" si="2362">+AA766+W767</f>
        <v>888803</v>
      </c>
      <c r="AB767" s="33"/>
      <c r="AC767" s="46">
        <f t="shared" ref="AC767" si="2363">+AA767/H767</f>
        <v>1.231450354464057E-2</v>
      </c>
      <c r="AD767" s="33"/>
      <c r="AE767" s="33">
        <f t="shared" ref="AE767" si="2364">+AA767/BW767</f>
        <v>1172.5633245382585</v>
      </c>
      <c r="AF767" s="50"/>
      <c r="AG767" s="33"/>
      <c r="AH767" s="33"/>
      <c r="AI767" s="213"/>
      <c r="AJ767" s="50"/>
      <c r="AL767" s="23">
        <f t="shared" ref="AL767" si="236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66">+AL767/AP766</f>
        <v>4.7388994568698561E-4</v>
      </c>
      <c r="AS767" s="25"/>
      <c r="AT767" s="25"/>
      <c r="AU767" s="24"/>
      <c r="AV767" s="298">
        <f t="shared" ref="AV767" si="2367">+AP767/H767</f>
        <v>1.1107162684364835</v>
      </c>
      <c r="AW767" s="298"/>
      <c r="AX767" s="24">
        <f t="shared" ref="AX767" si="2368">+AP767/BW767</f>
        <v>105760.26517150395</v>
      </c>
      <c r="AY767" s="308"/>
      <c r="BA767" s="65">
        <f t="shared" ref="BA767" si="2369">+BC767-BC766</f>
        <v>168901</v>
      </c>
      <c r="BB767" s="66"/>
      <c r="BC767" s="66">
        <v>995745283</v>
      </c>
      <c r="BD767" s="66"/>
      <c r="BE767" s="66">
        <f t="shared" ref="BE767" si="2370">+D767</f>
        <v>12890</v>
      </c>
      <c r="BF767" s="66"/>
      <c r="BG767" s="144">
        <f t="shared" ref="BG767" si="237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72">+BC767/BW767</f>
        <v>1313648.1306068602</v>
      </c>
      <c r="BO767" s="66"/>
      <c r="BP767" s="66">
        <f t="shared" ref="BP767" si="2373">+BP766+BE767</f>
        <v>71268323</v>
      </c>
      <c r="BQ767" s="66"/>
      <c r="BR767" s="435">
        <f t="shared" ref="BR767" si="2374">+BP767/BC767</f>
        <v>7.1572845201215984E-2</v>
      </c>
      <c r="BS767" s="66"/>
      <c r="BT767" s="75"/>
      <c r="BU767" s="170"/>
      <c r="BV767" s="1"/>
      <c r="BW767" s="61">
        <f t="shared" si="1554"/>
        <v>758</v>
      </c>
      <c r="BZ767" s="1"/>
      <c r="CA767" s="61"/>
    </row>
    <row r="768" spans="2:79" x14ac:dyDescent="0.3">
      <c r="B768" s="347">
        <f t="shared" si="1073"/>
        <v>44668</v>
      </c>
      <c r="C768" s="61"/>
      <c r="D768" s="17">
        <v>7235</v>
      </c>
      <c r="E768" s="16"/>
      <c r="F768" s="16"/>
      <c r="G768" s="16"/>
      <c r="H768" s="16">
        <f t="shared" ref="H768" si="2375">+H767+D768</f>
        <v>72182536</v>
      </c>
      <c r="I768" s="16"/>
      <c r="J768" s="436">
        <f t="shared" ref="J768" si="2376">+D768/H767</f>
        <v>1.0024204817656389E-4</v>
      </c>
      <c r="K768" s="16"/>
      <c r="L768" s="16"/>
      <c r="M768" s="16"/>
      <c r="N768" s="16">
        <f t="shared" ref="N768" si="2377">SUM(D762:D768)</f>
        <v>191805</v>
      </c>
      <c r="O768" s="16">
        <f t="shared" ref="O768" si="2378">+H768/BW768</f>
        <v>95102.155467720688</v>
      </c>
      <c r="P768" s="41"/>
      <c r="Q768" s="17">
        <f t="shared" ref="Q768" si="2379">SUM(D762:D768)</f>
        <v>191805</v>
      </c>
      <c r="R768" s="16"/>
      <c r="S768" s="60">
        <f t="shared" ref="S768" si="2380">+(Q768-Q761)/Q761</f>
        <v>0.13492068188138673</v>
      </c>
      <c r="T768" s="16"/>
      <c r="U768" s="41"/>
      <c r="V768" s="10">
        <f t="shared" si="568"/>
        <v>660</v>
      </c>
      <c r="W768" s="34">
        <v>10</v>
      </c>
      <c r="X768" s="33">
        <v>4256</v>
      </c>
      <c r="Y768" s="33"/>
      <c r="Z768" s="33">
        <f t="shared" ref="Z768" si="2381">SUM(W763:W768)</f>
        <v>1659</v>
      </c>
      <c r="AA768" s="33">
        <f t="shared" ref="AA768" si="2382">+AA767+W768</f>
        <v>888813</v>
      </c>
      <c r="AB768" s="33"/>
      <c r="AC768" s="46">
        <f t="shared" ref="AC768" si="2383">+AA768/H768</f>
        <v>1.2313407774977593E-2</v>
      </c>
      <c r="AD768" s="33"/>
      <c r="AE768" s="33">
        <f t="shared" ref="AE768" si="2384">+AA768/BW768</f>
        <v>1171.0316205533597</v>
      </c>
      <c r="AF768" s="50"/>
      <c r="AG768" s="33"/>
      <c r="AH768" s="33"/>
      <c r="AI768" s="213"/>
      <c r="AJ768" s="50"/>
      <c r="AL768" s="23">
        <f t="shared" ref="AL768" si="238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86">+AL768/AP767</f>
        <v>4.4947825383093425E-4</v>
      </c>
      <c r="AS768" s="25"/>
      <c r="AT768" s="25"/>
      <c r="AU768" s="24"/>
      <c r="AV768" s="298">
        <f t="shared" ref="AV768" si="2387">+AP768/H768</f>
        <v>1.1111041318914037</v>
      </c>
      <c r="AW768" s="298"/>
      <c r="AX768" s="24">
        <f t="shared" ref="AX768" si="2388">+AP768/BW768</f>
        <v>105668.3978919631</v>
      </c>
      <c r="AY768" s="308"/>
      <c r="BA768" s="65">
        <f t="shared" ref="BA768" si="2389">+BC768-BC767</f>
        <v>114281</v>
      </c>
      <c r="BB768" s="66"/>
      <c r="BC768" s="66">
        <v>995859564</v>
      </c>
      <c r="BD768" s="66"/>
      <c r="BE768" s="66">
        <f t="shared" ref="BE768" si="2390">+D768</f>
        <v>7235</v>
      </c>
      <c r="BF768" s="66"/>
      <c r="BG768" s="144">
        <f t="shared" ref="BG768" si="239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92">+BC768/BW768</f>
        <v>1312067.9367588933</v>
      </c>
      <c r="BO768" s="66"/>
      <c r="BP768" s="66">
        <f t="shared" ref="BP768" si="2393">+BP767+BE768</f>
        <v>71275558</v>
      </c>
      <c r="BQ768" s="66"/>
      <c r="BR768" s="435">
        <f t="shared" ref="BR768" si="2394">+BP768/BC768</f>
        <v>7.1571896858340561E-2</v>
      </c>
      <c r="BS768" s="66"/>
      <c r="BT768" s="75"/>
      <c r="BU768" s="170"/>
      <c r="BV768" s="1"/>
      <c r="BW768" s="61">
        <f t="shared" si="1554"/>
        <v>759</v>
      </c>
      <c r="BY768" s="145">
        <f>SUM(BA762:BA768)</f>
        <v>4686160</v>
      </c>
      <c r="BZ768" s="1"/>
    </row>
    <row r="769" spans="2:79" x14ac:dyDescent="0.3">
      <c r="B769" s="158">
        <f t="shared" si="1073"/>
        <v>44669</v>
      </c>
      <c r="C769" s="61"/>
      <c r="D769" s="17">
        <v>25021</v>
      </c>
      <c r="E769" s="16"/>
      <c r="F769" s="16"/>
      <c r="G769" s="16"/>
      <c r="H769" s="16">
        <f t="shared" ref="H769" si="2395">+H768+D769</f>
        <v>72207557</v>
      </c>
      <c r="I769" s="16"/>
      <c r="J769" s="436">
        <f t="shared" ref="J769" si="2396">+D769/H768</f>
        <v>3.4663509190089968E-4</v>
      </c>
      <c r="K769" s="16"/>
      <c r="L769" s="16"/>
      <c r="M769" s="16"/>
      <c r="N769" s="16">
        <f t="shared" ref="N769" si="2397">SUM(D763:D769)</f>
        <v>193697</v>
      </c>
      <c r="O769" s="16">
        <f t="shared" ref="O769" si="2398">+H769/BW769</f>
        <v>95009.943421052638</v>
      </c>
      <c r="P769" s="41"/>
      <c r="Q769" s="17">
        <f t="shared" ref="Q769" si="2399">SUM(D763:D769)</f>
        <v>193697</v>
      </c>
      <c r="R769" s="16"/>
      <c r="S769" s="60">
        <f t="shared" ref="S769" si="2400">+(Q769-Q762)/Q762</f>
        <v>0.11970056072605353</v>
      </c>
      <c r="T769" s="16"/>
      <c r="U769" s="41"/>
      <c r="V769" s="10">
        <f t="shared" si="568"/>
        <v>661</v>
      </c>
      <c r="W769" s="34">
        <v>104</v>
      </c>
      <c r="X769" s="33">
        <v>4256</v>
      </c>
      <c r="Y769" s="33"/>
      <c r="Z769" s="33">
        <f t="shared" ref="Z769" si="2401">SUM(W764:W769)</f>
        <v>1258</v>
      </c>
      <c r="AA769" s="33">
        <f t="shared" ref="AA769" si="2402">+AA768+W769</f>
        <v>888917</v>
      </c>
      <c r="AB769" s="33"/>
      <c r="AC769" s="46">
        <f t="shared" ref="AC769" si="2403">+AA769/H769</f>
        <v>1.231058128721901E-2</v>
      </c>
      <c r="AD769" s="33"/>
      <c r="AE769" s="33">
        <f t="shared" ref="AE769" si="2404">+AA769/BW769</f>
        <v>1169.6276315789473</v>
      </c>
      <c r="AF769" s="50"/>
      <c r="AG769" s="33"/>
      <c r="AH769" s="33"/>
      <c r="AI769" s="213"/>
      <c r="AJ769" s="50"/>
      <c r="AL769" s="23">
        <f t="shared" ref="AL769" si="240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406">+AL769/AP768</f>
        <v>5.1932416812811662E-4</v>
      </c>
      <c r="AS769" s="25"/>
      <c r="AT769" s="25"/>
      <c r="AU769" s="24"/>
      <c r="AV769" s="298">
        <f t="shared" ref="AV769" si="2407">+AP769/H769</f>
        <v>1.1112959409497818</v>
      </c>
      <c r="AW769" s="298"/>
      <c r="AX769" s="24">
        <f t="shared" ref="AX769" si="2408">+AP769/BW769</f>
        <v>105584.16447368421</v>
      </c>
      <c r="AY769" s="308"/>
      <c r="BA769" s="65">
        <f t="shared" ref="BA769" si="2409">+BC769-BC768</f>
        <v>779561</v>
      </c>
      <c r="BB769" s="66"/>
      <c r="BC769" s="66">
        <v>996639125</v>
      </c>
      <c r="BD769" s="66"/>
      <c r="BE769" s="66">
        <f t="shared" ref="BE769" si="2410">+D769</f>
        <v>25021</v>
      </c>
      <c r="BF769" s="66"/>
      <c r="BG769" s="144">
        <f t="shared" ref="BG769" si="241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12">+BC769/BW769</f>
        <v>1311367.269736842</v>
      </c>
      <c r="BO769" s="66"/>
      <c r="BP769" s="66">
        <f t="shared" ref="BP769" si="2413">+BP768+BE769</f>
        <v>71300579</v>
      </c>
      <c r="BQ769" s="66"/>
      <c r="BR769" s="435">
        <f t="shared" ref="BR769" si="2414">+BP769/BC769</f>
        <v>7.1541019423655483E-2</v>
      </c>
      <c r="BS769" s="66"/>
      <c r="BT769" s="75"/>
      <c r="BU769" s="170"/>
      <c r="BV769" s="1"/>
      <c r="BW769" s="61">
        <f t="shared" si="155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73"/>
        <v>44670</v>
      </c>
      <c r="C770" s="61"/>
      <c r="D770" s="17">
        <v>33193</v>
      </c>
      <c r="E770" s="16"/>
      <c r="F770" s="16"/>
      <c r="G770" s="16"/>
      <c r="H770" s="16">
        <f t="shared" ref="H770" si="2415">+H769+D770</f>
        <v>72240750</v>
      </c>
      <c r="I770" s="16"/>
      <c r="J770" s="436">
        <f t="shared" ref="J770" si="2416">+D770/H769</f>
        <v>4.5968872759398298E-4</v>
      </c>
      <c r="K770" s="16"/>
      <c r="L770" s="16"/>
      <c r="M770" s="16"/>
      <c r="N770" s="16">
        <f t="shared" ref="N770" si="2417">SUM(D764:D770)</f>
        <v>197946</v>
      </c>
      <c r="O770" s="16">
        <f t="shared" ref="O770" si="2418">+H770/BW770</f>
        <v>94928.712220762158</v>
      </c>
      <c r="P770" s="41"/>
      <c r="Q770" s="17">
        <f t="shared" ref="Q770" si="2419">SUM(D764:D770)</f>
        <v>197946</v>
      </c>
      <c r="R770" s="16"/>
      <c r="S770" s="60">
        <f t="shared" ref="S770" si="2420">+(Q770-Q763)/Q763</f>
        <v>0.12179944914821993</v>
      </c>
      <c r="T770" s="16"/>
      <c r="U770" s="41"/>
      <c r="V770" s="10">
        <f t="shared" si="568"/>
        <v>662</v>
      </c>
      <c r="W770" s="34">
        <v>338</v>
      </c>
      <c r="X770" s="33">
        <v>4256</v>
      </c>
      <c r="Y770" s="33"/>
      <c r="Z770" s="33">
        <f t="shared" ref="Z770" si="2421">SUM(W765:W770)</f>
        <v>1265</v>
      </c>
      <c r="AA770" s="33">
        <f t="shared" ref="AA770" si="2422">+AA769+W770</f>
        <v>889255</v>
      </c>
      <c r="AB770" s="33"/>
      <c r="AC770" s="46">
        <f t="shared" ref="AC770" si="2423">+AA770/H770</f>
        <v>1.2309603651678588E-2</v>
      </c>
      <c r="AD770" s="33"/>
      <c r="AE770" s="33">
        <f t="shared" ref="AE770" si="2424">+AA770/BW770</f>
        <v>1168.5348226018398</v>
      </c>
      <c r="AF770" s="50"/>
      <c r="AG770" s="33"/>
      <c r="AH770" s="33"/>
      <c r="AI770" s="213"/>
      <c r="AJ770" s="50"/>
      <c r="AL770" s="23">
        <f t="shared" ref="AL770" si="242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26">+AL770/AP769</f>
        <v>4.0167506677916525E-4</v>
      </c>
      <c r="AS770" s="25"/>
      <c r="AT770" s="25"/>
      <c r="AU770" s="24"/>
      <c r="AV770" s="298">
        <f t="shared" ref="AV770" si="2427">+AP770/H770</f>
        <v>1.1112315002266726</v>
      </c>
      <c r="AW770" s="298"/>
      <c r="AX770" s="24">
        <f t="shared" ref="AX770" si="2428">+AP770/BW770</f>
        <v>105487.7752956636</v>
      </c>
      <c r="AY770" s="308"/>
      <c r="BA770" s="65">
        <f t="shared" ref="BA770" si="2429">+BC770-BC769</f>
        <v>476193</v>
      </c>
      <c r="BB770" s="66"/>
      <c r="BC770" s="66">
        <v>997115318</v>
      </c>
      <c r="BD770" s="66"/>
      <c r="BE770" s="66">
        <f t="shared" ref="BE770" si="2430">+D770</f>
        <v>33193</v>
      </c>
      <c r="BF770" s="66"/>
      <c r="BG770" s="144">
        <f t="shared" ref="BG770" si="243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32">+BC770/BW770</f>
        <v>1310269.8002628121</v>
      </c>
      <c r="BO770" s="66"/>
      <c r="BP770" s="66">
        <f t="shared" ref="BP770" si="2433">+BP769+BE770</f>
        <v>71333772</v>
      </c>
      <c r="BQ770" s="66"/>
      <c r="BR770" s="435">
        <f t="shared" ref="BR770" si="2434">+BP770/BC770</f>
        <v>7.1540142561524661E-2</v>
      </c>
      <c r="BS770" s="66"/>
      <c r="BT770" s="75"/>
      <c r="BU770" s="170"/>
      <c r="BV770" s="1"/>
      <c r="BW770" s="61">
        <f t="shared" si="1554"/>
        <v>761</v>
      </c>
      <c r="BY770" s="56"/>
      <c r="BZ770" s="1"/>
      <c r="CA770" s="61"/>
    </row>
    <row r="771" spans="2:79" x14ac:dyDescent="0.3">
      <c r="B771" s="158">
        <f t="shared" ref="B771:B833" si="2435">1+B770</f>
        <v>44671</v>
      </c>
      <c r="C771" s="61"/>
      <c r="D771" s="17">
        <v>46565</v>
      </c>
      <c r="E771" s="16"/>
      <c r="F771" s="16"/>
      <c r="G771" s="16"/>
      <c r="H771" s="16">
        <f t="shared" ref="H771" si="2436">+H770+D771</f>
        <v>72287315</v>
      </c>
      <c r="I771" s="16"/>
      <c r="J771" s="436">
        <f t="shared" ref="J771" si="2437">+D771/H770</f>
        <v>6.445807940809031E-4</v>
      </c>
      <c r="K771" s="16"/>
      <c r="L771" s="16"/>
      <c r="M771" s="16"/>
      <c r="N771" s="16">
        <f t="shared" ref="N771" si="2438">SUM(D765:D771)</f>
        <v>206923</v>
      </c>
      <c r="O771" s="16">
        <f t="shared" ref="O771" si="2439">+H771/BW771</f>
        <v>94865.242782152229</v>
      </c>
      <c r="P771" s="41"/>
      <c r="Q771" s="17">
        <f t="shared" ref="Q771" si="2440">SUM(D765:D771)</f>
        <v>206923</v>
      </c>
      <c r="R771" s="16"/>
      <c r="S771" s="60">
        <f t="shared" ref="S771" si="2441">+(Q771-Q764)/Q764</f>
        <v>0.13119656250683345</v>
      </c>
      <c r="T771" s="16"/>
      <c r="U771" s="41"/>
      <c r="V771" s="10">
        <f t="shared" si="568"/>
        <v>663</v>
      </c>
      <c r="W771" s="34">
        <v>408</v>
      </c>
      <c r="X771" s="33">
        <v>4256</v>
      </c>
      <c r="Y771" s="33"/>
      <c r="Z771" s="33">
        <f t="shared" ref="Z771" si="2442">SUM(W766:W771)</f>
        <v>1312</v>
      </c>
      <c r="AA771" s="33">
        <f t="shared" ref="AA771" si="2443">+AA770+W771</f>
        <v>889663</v>
      </c>
      <c r="AB771" s="33"/>
      <c r="AC771" s="46">
        <f t="shared" ref="AC771" si="2444">+AA771/H771</f>
        <v>1.2307318372524972E-2</v>
      </c>
      <c r="AD771" s="33"/>
      <c r="AE771" s="33">
        <f t="shared" ref="AE771" si="2445">+AA771/BW771</f>
        <v>1167.5367454068241</v>
      </c>
      <c r="AF771" s="50"/>
      <c r="AG771" s="33"/>
      <c r="AH771" s="33"/>
      <c r="AI771" s="213"/>
      <c r="AJ771" s="50"/>
      <c r="AL771" s="23">
        <f t="shared" ref="AL771" si="244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47">+AL771/AP770</f>
        <v>4.1864215366355735E-4</v>
      </c>
      <c r="AS771" s="25"/>
      <c r="AT771" s="25"/>
      <c r="AU771" s="24"/>
      <c r="AV771" s="298">
        <f t="shared" ref="AV771" si="2448">+AP771/H771</f>
        <v>1.1109805918230604</v>
      </c>
      <c r="AW771" s="298"/>
      <c r="AX771" s="24">
        <f t="shared" ref="AX771" si="2449">+AP771/BW771</f>
        <v>105393.44356955381</v>
      </c>
      <c r="AY771" s="308"/>
      <c r="BA771" s="65">
        <f t="shared" ref="BA771" si="2450">+BC771-BC770</f>
        <v>761590</v>
      </c>
      <c r="BB771" s="66"/>
      <c r="BC771" s="66">
        <v>997876908</v>
      </c>
      <c r="BD771" s="66"/>
      <c r="BE771" s="66">
        <f t="shared" ref="BE771" si="2451">+D771</f>
        <v>46565</v>
      </c>
      <c r="BF771" s="66"/>
      <c r="BG771" s="144">
        <f t="shared" ref="BG771" si="245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53">+BC771/BW771</f>
        <v>1309549.7480314961</v>
      </c>
      <c r="BO771" s="66"/>
      <c r="BP771" s="66">
        <f t="shared" ref="BP771" si="2454">+BP770+BE771</f>
        <v>71380337</v>
      </c>
      <c r="BQ771" s="66"/>
      <c r="BR771" s="435">
        <f t="shared" ref="BR771" si="2455">+BP771/BC771</f>
        <v>7.1532206455267533E-2</v>
      </c>
      <c r="BS771" s="66"/>
      <c r="BT771" s="75"/>
      <c r="BU771" s="170"/>
      <c r="BV771" s="1"/>
      <c r="BW771" s="61">
        <f t="shared" si="1554"/>
        <v>762</v>
      </c>
      <c r="BY771" s="56"/>
      <c r="BZ771" s="1"/>
      <c r="CA771" s="61"/>
    </row>
    <row r="772" spans="2:79" x14ac:dyDescent="0.3">
      <c r="B772" s="158">
        <f t="shared" si="2435"/>
        <v>44672</v>
      </c>
      <c r="C772" s="61"/>
      <c r="D772" s="17">
        <v>45204</v>
      </c>
      <c r="E772" s="16"/>
      <c r="F772" s="16"/>
      <c r="G772" s="16"/>
      <c r="H772" s="16">
        <f t="shared" ref="H772" si="2456">+H771+D772</f>
        <v>72332519</v>
      </c>
      <c r="I772" s="16"/>
      <c r="J772" s="436">
        <f t="shared" ref="J772" si="2457">+D772/H771</f>
        <v>6.2533793100490729E-4</v>
      </c>
      <c r="K772" s="16"/>
      <c r="L772" s="16"/>
      <c r="M772" s="16"/>
      <c r="N772" s="16">
        <f t="shared" ref="N772" si="2458">SUM(D766:D772)</f>
        <v>209691</v>
      </c>
      <c r="O772" s="16">
        <f t="shared" ref="O772" si="2459">+H772/BW772</f>
        <v>94800.15596330275</v>
      </c>
      <c r="P772" s="41"/>
      <c r="Q772" s="17">
        <f t="shared" ref="Q772" si="2460">SUM(D766:D772)</f>
        <v>209691</v>
      </c>
      <c r="R772" s="16"/>
      <c r="S772" s="60">
        <f t="shared" ref="S772" si="2461">+(Q772-Q765)/Q765</f>
        <v>8.8167679461964396E-2</v>
      </c>
      <c r="T772" s="16"/>
      <c r="U772" s="41"/>
      <c r="V772" s="10">
        <f t="shared" si="568"/>
        <v>664</v>
      </c>
      <c r="W772" s="34">
        <v>299</v>
      </c>
      <c r="X772" s="33">
        <v>4256</v>
      </c>
      <c r="Y772" s="33"/>
      <c r="Z772" s="33">
        <f t="shared" ref="Z772" si="2462">SUM(W767:W772)</f>
        <v>1239</v>
      </c>
      <c r="AA772" s="33">
        <f t="shared" ref="AA772" si="2463">+AA771+W772</f>
        <v>889962</v>
      </c>
      <c r="AB772" s="33"/>
      <c r="AC772" s="46">
        <f t="shared" ref="AC772" si="2464">+AA772/H772</f>
        <v>1.2303760636346703E-2</v>
      </c>
      <c r="AD772" s="33"/>
      <c r="AE772" s="33">
        <f t="shared" ref="AE772" si="2465">+AA772/BW772</f>
        <v>1166.3984272608125</v>
      </c>
      <c r="AF772" s="50"/>
      <c r="AG772" s="33"/>
      <c r="AH772" s="33"/>
      <c r="AI772" s="213"/>
      <c r="AJ772" s="50"/>
      <c r="AL772" s="23">
        <f t="shared" ref="AL772" si="246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67">+AL772/AP771</f>
        <v>5.676143849137024E-4</v>
      </c>
      <c r="AS772" s="25"/>
      <c r="AT772" s="25"/>
      <c r="AU772" s="24"/>
      <c r="AV772" s="298">
        <f t="shared" ref="AV772" si="2468">+AP772/H772</f>
        <v>1.1109165021613585</v>
      </c>
      <c r="AW772" s="298"/>
      <c r="AX772" s="24">
        <f t="shared" ref="AX772" si="2469">+AP772/BW772</f>
        <v>105315.05766710354</v>
      </c>
      <c r="AY772" s="308"/>
      <c r="BA772" s="65">
        <f t="shared" ref="BA772" si="2470">+BC772-BC771</f>
        <v>1170916</v>
      </c>
      <c r="BB772" s="66"/>
      <c r="BC772" s="66">
        <v>999047824</v>
      </c>
      <c r="BD772" s="66"/>
      <c r="BE772" s="66">
        <f t="shared" ref="BE772" si="2471">+D772</f>
        <v>45204</v>
      </c>
      <c r="BF772" s="66"/>
      <c r="BG772" s="144">
        <f t="shared" ref="BG772" si="247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73">+BC772/BW772</f>
        <v>1309368.0524246397</v>
      </c>
      <c r="BO772" s="66"/>
      <c r="BP772" s="66">
        <f t="shared" ref="BP772" si="2474">+BP771+BE772</f>
        <v>71425541</v>
      </c>
      <c r="BQ772" s="66"/>
      <c r="BR772" s="435">
        <f t="shared" ref="BR772" si="2475">+BP772/BC772</f>
        <v>7.1493615504836933E-2</v>
      </c>
      <c r="BS772" s="66"/>
      <c r="BT772" s="75"/>
      <c r="BU772" s="170"/>
      <c r="BV772" s="1"/>
      <c r="BW772" s="61">
        <f t="shared" si="1554"/>
        <v>763</v>
      </c>
      <c r="BY772" s="56"/>
      <c r="BZ772" s="1"/>
      <c r="CA772" s="61"/>
    </row>
    <row r="773" spans="2:79" x14ac:dyDescent="0.3">
      <c r="B773" s="158">
        <f t="shared" si="2435"/>
        <v>44673</v>
      </c>
      <c r="C773" s="61"/>
      <c r="D773" s="17">
        <v>54113</v>
      </c>
      <c r="E773" s="16"/>
      <c r="F773" s="16"/>
      <c r="G773" s="16"/>
      <c r="H773" s="16">
        <f t="shared" ref="H773" si="2476">+H772+D773</f>
        <v>72386632</v>
      </c>
      <c r="I773" s="16"/>
      <c r="J773" s="436">
        <f t="shared" ref="J773" si="2477">+D773/H772</f>
        <v>7.4811441310373831E-4</v>
      </c>
      <c r="K773" s="16"/>
      <c r="L773" s="16"/>
      <c r="M773" s="16"/>
      <c r="N773" s="16">
        <f t="shared" ref="N773" si="2478">SUM(D767:D773)</f>
        <v>224221</v>
      </c>
      <c r="O773" s="16">
        <f t="shared" ref="O773" si="2479">+H773/BW773</f>
        <v>94746.900523560209</v>
      </c>
      <c r="P773" s="41"/>
      <c r="Q773" s="17">
        <f t="shared" ref="Q773" si="2480">SUM(D767:D773)</f>
        <v>224221</v>
      </c>
      <c r="R773" s="16"/>
      <c r="S773" s="60">
        <f t="shared" ref="S773" si="2481">+(Q773-Q766)/Q766</f>
        <v>0.13818344255554596</v>
      </c>
      <c r="T773" s="16"/>
      <c r="U773" s="41"/>
      <c r="V773" s="10">
        <f t="shared" si="568"/>
        <v>665</v>
      </c>
      <c r="W773" s="34">
        <v>318</v>
      </c>
      <c r="X773" s="33">
        <v>4256</v>
      </c>
      <c r="Y773" s="33"/>
      <c r="Z773" s="33">
        <f t="shared" ref="Z773" si="2482">SUM(W768:W773)</f>
        <v>1477</v>
      </c>
      <c r="AA773" s="33">
        <f t="shared" ref="AA773" si="2483">+AA772+W773</f>
        <v>890280</v>
      </c>
      <c r="AB773" s="33"/>
      <c r="AC773" s="46">
        <f t="shared" ref="AC773" si="2484">+AA773/H773</f>
        <v>1.2298955972975784E-2</v>
      </c>
      <c r="AD773" s="33"/>
      <c r="AE773" s="33">
        <f t="shared" ref="AE773" si="2485">+AA773/BW773</f>
        <v>1165.2879581151833</v>
      </c>
      <c r="AF773" s="50"/>
      <c r="AG773" s="33"/>
      <c r="AH773" s="33"/>
      <c r="AI773" s="213"/>
      <c r="AJ773" s="50"/>
      <c r="AL773" s="23">
        <f t="shared" ref="AL773" si="248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87">+AL773/AP772</f>
        <v>5.8505099141514957E-4</v>
      </c>
      <c r="AS773" s="25"/>
      <c r="AT773" s="25"/>
      <c r="AU773" s="24"/>
      <c r="AV773" s="298">
        <f t="shared" ref="AV773" si="2488">+AP773/H773</f>
        <v>1.1107354877348072</v>
      </c>
      <c r="AW773" s="298"/>
      <c r="AX773" s="24">
        <f t="shared" ref="AX773" si="2489">+AP773/BW773</f>
        <v>105238.74476439791</v>
      </c>
      <c r="AY773" s="308"/>
      <c r="BA773" s="65">
        <f t="shared" ref="BA773" si="2490">+BC773-BC772</f>
        <v>1078411</v>
      </c>
      <c r="BB773" s="66"/>
      <c r="BC773" s="66">
        <v>1000126235</v>
      </c>
      <c r="BD773" s="66"/>
      <c r="BE773" s="66">
        <f t="shared" ref="BE773" si="2491">+D773</f>
        <v>54113</v>
      </c>
      <c r="BF773" s="66"/>
      <c r="BG773" s="144">
        <f t="shared" ref="BG773" si="249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93">+BC773/BW773</f>
        <v>1309065.7526178011</v>
      </c>
      <c r="BO773" s="66"/>
      <c r="BP773" s="66">
        <f t="shared" ref="BP773" si="2494">+BP772+BE773</f>
        <v>71479654</v>
      </c>
      <c r="BQ773" s="66"/>
      <c r="BR773" s="435">
        <f t="shared" ref="BR773" si="2495">+BP773/BC773</f>
        <v>7.1470631904781506E-2</v>
      </c>
      <c r="BS773" s="66"/>
      <c r="BT773" s="75"/>
      <c r="BU773" s="170"/>
      <c r="BV773" s="1"/>
      <c r="BW773" s="61">
        <f t="shared" si="1554"/>
        <v>764</v>
      </c>
      <c r="BY773" s="56"/>
      <c r="BZ773" s="1"/>
      <c r="CA773" s="61"/>
    </row>
    <row r="774" spans="2:79" x14ac:dyDescent="0.3">
      <c r="B774" s="158">
        <f t="shared" si="2435"/>
        <v>44674</v>
      </c>
      <c r="C774" s="61"/>
      <c r="D774" s="17">
        <v>17987</v>
      </c>
      <c r="E774" s="16"/>
      <c r="F774" s="16"/>
      <c r="G774" s="16"/>
      <c r="H774" s="16">
        <f t="shared" ref="H774" si="2496">+H773+D774</f>
        <v>72404619</v>
      </c>
      <c r="I774" s="16"/>
      <c r="J774" s="436">
        <f t="shared" ref="J774" si="2497">+D774/H773</f>
        <v>2.4848510702915421E-4</v>
      </c>
      <c r="K774" s="16"/>
      <c r="L774" s="16"/>
      <c r="M774" s="16"/>
      <c r="N774" s="16">
        <f t="shared" ref="N774" si="2498">SUM(D768:D774)</f>
        <v>229318</v>
      </c>
      <c r="O774" s="16">
        <f t="shared" ref="O774" si="2499">+H774/BW774</f>
        <v>94646.560784313726</v>
      </c>
      <c r="P774" s="41"/>
      <c r="Q774" s="17">
        <f t="shared" ref="Q774" si="2500">SUM(D768:D774)</f>
        <v>229318</v>
      </c>
      <c r="R774" s="16"/>
      <c r="S774" s="60">
        <f t="shared" ref="S774" si="2501">+(Q774-Q767)/Q767</f>
        <v>0.18012320074929111</v>
      </c>
      <c r="T774" s="16"/>
      <c r="U774" s="41"/>
      <c r="V774" s="10">
        <f t="shared" si="568"/>
        <v>666</v>
      </c>
      <c r="W774" s="34">
        <v>77</v>
      </c>
      <c r="X774" s="33">
        <v>4256</v>
      </c>
      <c r="Y774" s="33"/>
      <c r="Z774" s="33">
        <f t="shared" ref="Z774" si="2502">SUM(W769:W774)</f>
        <v>1544</v>
      </c>
      <c r="AA774" s="33">
        <f t="shared" ref="AA774" si="2503">+AA773+W774</f>
        <v>890357</v>
      </c>
      <c r="AB774" s="33"/>
      <c r="AC774" s="46">
        <f t="shared" ref="AC774" si="2504">+AA774/H774</f>
        <v>1.2296964092857115E-2</v>
      </c>
      <c r="AD774" s="33"/>
      <c r="AE774" s="33">
        <f t="shared" ref="AE774" si="2505">+AA774/BW774</f>
        <v>1163.8653594771242</v>
      </c>
      <c r="AF774" s="50"/>
      <c r="AG774" s="33"/>
      <c r="AH774" s="33"/>
      <c r="AI774" s="213"/>
      <c r="AJ774" s="50"/>
      <c r="AL774" s="23">
        <f t="shared" ref="AL774" si="250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507">+AL774/AP773</f>
        <v>4.0451528306971826E-4</v>
      </c>
      <c r="AS774" s="25"/>
      <c r="AT774" s="25"/>
      <c r="AU774" s="24"/>
      <c r="AV774" s="298">
        <f t="shared" ref="AV774" si="2508">+AP774/H774</f>
        <v>1.1109087529346713</v>
      </c>
      <c r="AW774" s="298"/>
      <c r="AX774" s="24">
        <f t="shared" ref="AX774" si="2509">+AP774/BW774</f>
        <v>105143.69281045752</v>
      </c>
      <c r="AY774" s="308"/>
      <c r="BA774" s="65">
        <f t="shared" ref="BA774" si="2510">+BC774-BC773</f>
        <v>149491</v>
      </c>
      <c r="BB774" s="66"/>
      <c r="BC774" s="66">
        <v>1000275726</v>
      </c>
      <c r="BD774" s="66"/>
      <c r="BE774" s="66">
        <f t="shared" ref="BE774" si="2511">+D774</f>
        <v>17987</v>
      </c>
      <c r="BF774" s="66"/>
      <c r="BG774" s="144">
        <f t="shared" ref="BG774" si="251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13">+BC774/BW774</f>
        <v>1307549.968627451</v>
      </c>
      <c r="BO774" s="66"/>
      <c r="BP774" s="66">
        <f t="shared" ref="BP774" si="2514">+BP773+BE774</f>
        <v>71497641</v>
      </c>
      <c r="BQ774" s="66"/>
      <c r="BR774" s="435">
        <f t="shared" ref="BR774" si="2515">+BP774/BC774</f>
        <v>7.1477932675535108E-2</v>
      </c>
      <c r="BS774" s="66"/>
      <c r="BT774" s="75"/>
      <c r="BU774" s="170"/>
      <c r="BV774" s="1"/>
      <c r="BW774" s="61">
        <f t="shared" si="1554"/>
        <v>765</v>
      </c>
      <c r="BY774" s="56"/>
      <c r="BZ774" s="1"/>
      <c r="CA774" s="61"/>
    </row>
    <row r="775" spans="2:79" x14ac:dyDescent="0.3">
      <c r="B775" s="347">
        <f t="shared" si="2435"/>
        <v>44675</v>
      </c>
      <c r="C775" s="61"/>
      <c r="D775" s="17">
        <v>12969</v>
      </c>
      <c r="E775" s="16"/>
      <c r="F775" s="16"/>
      <c r="G775" s="16"/>
      <c r="H775" s="16">
        <f t="shared" ref="H775" si="2516">+H774+D775</f>
        <v>72417588</v>
      </c>
      <c r="I775" s="16"/>
      <c r="J775" s="436">
        <f t="shared" ref="J775" si="2517">+D775/H774</f>
        <v>1.7911840679667136E-4</v>
      </c>
      <c r="K775" s="16"/>
      <c r="L775" s="16"/>
      <c r="M775" s="16"/>
      <c r="N775" s="16">
        <f t="shared" ref="N775" si="2518">SUM(D769:D775)</f>
        <v>235052</v>
      </c>
      <c r="O775" s="16">
        <f t="shared" ref="O775" si="2519">+H775/BW775</f>
        <v>94539.932114882511</v>
      </c>
      <c r="P775" s="41"/>
      <c r="Q775" s="17">
        <f t="shared" ref="Q775" si="2520">SUM(D769:D775)</f>
        <v>235052</v>
      </c>
      <c r="R775" s="16"/>
      <c r="S775" s="60">
        <f t="shared" ref="S775" si="2521">+(Q775-Q768)/Q768</f>
        <v>0.22547378848309482</v>
      </c>
      <c r="T775" s="16"/>
      <c r="U775" s="41"/>
      <c r="V775" s="10">
        <f t="shared" si="568"/>
        <v>667</v>
      </c>
      <c r="W775" s="34">
        <v>19</v>
      </c>
      <c r="X775" s="33">
        <v>4256</v>
      </c>
      <c r="Y775" s="33"/>
      <c r="Z775" s="33">
        <f t="shared" ref="Z775" si="2522">SUM(W770:W775)</f>
        <v>1459</v>
      </c>
      <c r="AA775" s="33">
        <f t="shared" ref="AA775" si="2523">+AA774+W775</f>
        <v>890376</v>
      </c>
      <c r="AB775" s="33"/>
      <c r="AC775" s="46">
        <f t="shared" ref="AC775" si="2524">+AA775/H775</f>
        <v>1.2295024241901015E-2</v>
      </c>
      <c r="AD775" s="33"/>
      <c r="AE775" s="33">
        <f t="shared" ref="AE775" si="2525">+AA775/BW775</f>
        <v>1162.3707571801567</v>
      </c>
      <c r="AF775" s="50"/>
      <c r="AG775" s="33"/>
      <c r="AH775" s="33"/>
      <c r="AI775" s="213"/>
      <c r="AJ775" s="50"/>
      <c r="AL775" s="23">
        <f t="shared" ref="AL775" si="252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27">+AL775/AP774</f>
        <v>3.7826851955167487E-4</v>
      </c>
      <c r="AS775" s="25"/>
      <c r="AT775" s="25"/>
      <c r="AU775" s="24"/>
      <c r="AV775" s="298">
        <f t="shared" ref="AV775" si="2528">+AP775/H775</f>
        <v>1.1111299509174484</v>
      </c>
      <c r="AW775" s="298"/>
      <c r="AX775" s="24">
        <f t="shared" ref="AX775" si="2529">+AP775/BW775</f>
        <v>105046.1501305483</v>
      </c>
      <c r="AY775" s="308"/>
      <c r="BA775" s="65">
        <f t="shared" ref="BA775" si="2530">+BC775-BC774</f>
        <v>188011</v>
      </c>
      <c r="BB775" s="66"/>
      <c r="BC775" s="66">
        <v>1000463737</v>
      </c>
      <c r="BD775" s="66"/>
      <c r="BE775" s="66">
        <f t="shared" ref="BE775" si="2531">+D775</f>
        <v>12969</v>
      </c>
      <c r="BF775" s="66"/>
      <c r="BG775" s="144">
        <f t="shared" ref="BG775" si="253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33">+BC775/BW775</f>
        <v>1306088.4295039165</v>
      </c>
      <c r="BO775" s="66"/>
      <c r="BP775" s="66">
        <f t="shared" ref="BP775" si="2534">+BP774+BE775</f>
        <v>71510610</v>
      </c>
      <c r="BQ775" s="66"/>
      <c r="BR775" s="435">
        <f t="shared" ref="BR775" si="2535">+BP775/BC775</f>
        <v>7.1477463255622223E-2</v>
      </c>
      <c r="BS775" s="66"/>
      <c r="BT775" s="75"/>
      <c r="BU775" s="170"/>
      <c r="BV775" s="1"/>
      <c r="BW775" s="61">
        <f t="shared" si="1554"/>
        <v>766</v>
      </c>
      <c r="BY775" s="56"/>
      <c r="BZ775" s="1"/>
      <c r="CA775" s="61"/>
    </row>
    <row r="776" spans="2:79" x14ac:dyDescent="0.3">
      <c r="B776" s="158">
        <f t="shared" si="2435"/>
        <v>44676</v>
      </c>
      <c r="C776" s="61"/>
      <c r="D776" s="17">
        <v>34908</v>
      </c>
      <c r="E776" s="16"/>
      <c r="F776" s="16"/>
      <c r="G776" s="16"/>
      <c r="H776" s="16">
        <f t="shared" ref="H776" si="2536">+H775+D776</f>
        <v>72452496</v>
      </c>
      <c r="I776" s="16"/>
      <c r="J776" s="436">
        <f t="shared" ref="J776" si="2537">+D776/H775</f>
        <v>4.820375956183462E-4</v>
      </c>
      <c r="K776" s="16"/>
      <c r="L776" s="16"/>
      <c r="M776" s="16"/>
      <c r="N776" s="16">
        <f t="shared" ref="N776" si="2538">SUM(D770:D776)</f>
        <v>244939</v>
      </c>
      <c r="O776" s="16">
        <f t="shared" ref="O776" si="2539">+H776/BW776</f>
        <v>94462.185136896995</v>
      </c>
      <c r="P776" s="41"/>
      <c r="Q776" s="17">
        <f t="shared" ref="Q776" si="2540">SUM(D770:D776)</f>
        <v>244939</v>
      </c>
      <c r="R776" s="16"/>
      <c r="S776" s="60">
        <f t="shared" ref="S776" si="2541">+(Q776-Q769)/Q769</f>
        <v>0.26454720517096292</v>
      </c>
      <c r="T776" s="16"/>
      <c r="U776" s="41"/>
      <c r="V776" s="10">
        <f t="shared" si="568"/>
        <v>668</v>
      </c>
      <c r="W776" s="34">
        <v>141</v>
      </c>
      <c r="X776" s="33">
        <v>4256</v>
      </c>
      <c r="Y776" s="33"/>
      <c r="Z776" s="33">
        <f t="shared" ref="Z776" si="2542">SUM(W771:W776)</f>
        <v>1262</v>
      </c>
      <c r="AA776" s="33">
        <f t="shared" ref="AA776" si="2543">+AA775+W776</f>
        <v>890517</v>
      </c>
      <c r="AB776" s="33"/>
      <c r="AC776" s="46">
        <f t="shared" ref="AC776" si="2544">+AA776/H776</f>
        <v>1.2291046536202149E-2</v>
      </c>
      <c r="AD776" s="33"/>
      <c r="AE776" s="33">
        <f t="shared" ref="AE776" si="2545">+AA776/BW776</f>
        <v>1161.0391134289439</v>
      </c>
      <c r="AF776" s="50"/>
      <c r="AG776" s="33"/>
      <c r="AH776" s="33"/>
      <c r="AI776" s="213"/>
      <c r="AJ776" s="50"/>
      <c r="AL776" s="23">
        <f t="shared" ref="AL776" si="254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47">+AL776/AP775</f>
        <v>5.16806295917357E-4</v>
      </c>
      <c r="AS776" s="25"/>
      <c r="AT776" s="25"/>
      <c r="AU776" s="24"/>
      <c r="AV776" s="298">
        <f t="shared" ref="AV776" si="2548">+AP776/H776</f>
        <v>1.1111685648483387</v>
      </c>
      <c r="AW776" s="298"/>
      <c r="AX776" s="24">
        <f t="shared" ref="AX776" si="2549">+AP776/BW776</f>
        <v>104963.41069100391</v>
      </c>
      <c r="AY776" s="308"/>
      <c r="BA776" s="65">
        <f t="shared" ref="BA776" si="2550">+BC776-BC775</f>
        <v>681916</v>
      </c>
      <c r="BB776" s="66"/>
      <c r="BC776" s="66">
        <v>1001145653</v>
      </c>
      <c r="BD776" s="66"/>
      <c r="BE776" s="66">
        <f t="shared" ref="BE776" si="2551">+D776</f>
        <v>34908</v>
      </c>
      <c r="BF776" s="66"/>
      <c r="BG776" s="144">
        <f t="shared" ref="BG776" si="255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53">+BC776/BW776</f>
        <v>1305274.6453715775</v>
      </c>
      <c r="BO776" s="66"/>
      <c r="BP776" s="66">
        <f t="shared" ref="BP776" si="2554">+BP775+BE776</f>
        <v>71545518</v>
      </c>
      <c r="BQ776" s="66"/>
      <c r="BR776" s="435">
        <f t="shared" ref="BR776" si="2555">+BP776/BC776</f>
        <v>7.1463645460187603E-2</v>
      </c>
      <c r="BS776" s="66"/>
      <c r="BT776" s="75"/>
      <c r="BU776" s="170"/>
      <c r="BV776" s="1"/>
      <c r="BW776" s="61">
        <f t="shared" si="1554"/>
        <v>767</v>
      </c>
      <c r="BY776" s="56"/>
      <c r="BZ776" s="1"/>
      <c r="CA776" s="61"/>
    </row>
    <row r="777" spans="2:79" x14ac:dyDescent="0.3">
      <c r="B777" s="158">
        <f t="shared" si="2435"/>
        <v>44677</v>
      </c>
      <c r="C777" s="61"/>
      <c r="D777" s="17">
        <v>42541</v>
      </c>
      <c r="E777" s="16"/>
      <c r="F777" s="16"/>
      <c r="G777" s="16"/>
      <c r="H777" s="16">
        <f t="shared" ref="H777" si="2556">+H776+D777</f>
        <v>72495037</v>
      </c>
      <c r="I777" s="16"/>
      <c r="J777" s="436">
        <f t="shared" ref="J777" si="2557">+D777/H776</f>
        <v>5.8715713534562006E-4</v>
      </c>
      <c r="K777" s="16"/>
      <c r="L777" s="16"/>
      <c r="M777" s="16"/>
      <c r="N777" s="16">
        <f t="shared" ref="N777" si="2558">SUM(D771:D777)</f>
        <v>254287</v>
      </c>
      <c r="O777" s="16">
        <f t="shared" ref="O777" si="2559">+H777/BW777</f>
        <v>94394.579427083328</v>
      </c>
      <c r="P777" s="41"/>
      <c r="Q777" s="17">
        <f t="shared" ref="Q777" si="2560">SUM(D771:D777)</f>
        <v>254287</v>
      </c>
      <c r="R777" s="16"/>
      <c r="S777" s="60">
        <f t="shared" ref="S777" si="2561">+(Q777-Q770)/Q770</f>
        <v>0.28462813090438804</v>
      </c>
      <c r="T777" s="16"/>
      <c r="U777" s="41"/>
      <c r="V777" s="10">
        <f t="shared" si="568"/>
        <v>669</v>
      </c>
      <c r="W777" s="34">
        <v>290</v>
      </c>
      <c r="X777" s="33">
        <v>4256</v>
      </c>
      <c r="Y777" s="33"/>
      <c r="Z777" s="33">
        <f t="shared" ref="Z777" si="2562">SUM(W772:W777)</f>
        <v>1144</v>
      </c>
      <c r="AA777" s="33">
        <f t="shared" ref="AA777" si="2563">+AA776+W777</f>
        <v>890807</v>
      </c>
      <c r="AB777" s="33"/>
      <c r="AC777" s="46">
        <f t="shared" ref="AC777" si="2564">+AA777/H777</f>
        <v>1.228783426926177E-2</v>
      </c>
      <c r="AD777" s="33"/>
      <c r="AE777" s="33">
        <f t="shared" ref="AE777" si="2565">+AA777/BW777</f>
        <v>1159.9049479166667</v>
      </c>
      <c r="AF777" s="50"/>
      <c r="AG777" s="33"/>
      <c r="AH777" s="33"/>
      <c r="AI777" s="213"/>
      <c r="AJ777" s="50"/>
      <c r="AL777" s="23">
        <f t="shared" ref="AL777" si="256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67">+AL777/AP776</f>
        <v>5.0263992160874183E-4</v>
      </c>
      <c r="AS777" s="25"/>
      <c r="AT777" s="25"/>
      <c r="AU777" s="24"/>
      <c r="AV777" s="298">
        <f t="shared" ref="AV777" si="2568">+AP777/H777</f>
        <v>1.1110747070865004</v>
      </c>
      <c r="AW777" s="298"/>
      <c r="AX777" s="24">
        <f t="shared" ref="AX777" si="2569">+AP777/BW777</f>
        <v>104879.4296875</v>
      </c>
      <c r="AY777" s="308"/>
      <c r="BA777" s="65">
        <f t="shared" ref="BA777" si="2570">+BC777-BC776</f>
        <v>1159238</v>
      </c>
      <c r="BB777" s="66"/>
      <c r="BC777" s="66">
        <v>1002304891</v>
      </c>
      <c r="BD777" s="66"/>
      <c r="BE777" s="66">
        <f t="shared" ref="BE777" si="2571">+D777</f>
        <v>42541</v>
      </c>
      <c r="BF777" s="66"/>
      <c r="BG777" s="144">
        <f t="shared" ref="BG777" si="257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73">+BC777/BW777</f>
        <v>1305084.4934895833</v>
      </c>
      <c r="BO777" s="66"/>
      <c r="BP777" s="66">
        <f t="shared" ref="BP777" si="2574">+BP776+BE777</f>
        <v>71588059</v>
      </c>
      <c r="BQ777" s="66"/>
      <c r="BR777" s="435">
        <f t="shared" ref="BR777" si="2575">+BP777/BC777</f>
        <v>7.1423435765714527E-2</v>
      </c>
      <c r="BS777" s="66"/>
      <c r="BT777" s="75"/>
      <c r="BU777" s="170"/>
      <c r="BV777" s="1"/>
      <c r="BW777" s="61">
        <f t="shared" si="1554"/>
        <v>768</v>
      </c>
      <c r="BY777" s="56"/>
      <c r="BZ777" s="1"/>
      <c r="CA777" s="61"/>
    </row>
    <row r="778" spans="2:79" x14ac:dyDescent="0.3">
      <c r="B778" s="158">
        <f t="shared" si="2435"/>
        <v>44678</v>
      </c>
      <c r="C778" s="61"/>
      <c r="D778" s="17">
        <v>57738</v>
      </c>
      <c r="E778" s="16"/>
      <c r="F778" s="16"/>
      <c r="G778" s="16"/>
      <c r="H778" s="16">
        <f t="shared" ref="H778" si="2576">+H777+D778</f>
        <v>72552775</v>
      </c>
      <c r="I778" s="16"/>
      <c r="J778" s="436">
        <f t="shared" ref="J778" si="2577">+D778/H777</f>
        <v>7.9644072738386217E-4</v>
      </c>
      <c r="K778" s="16"/>
      <c r="L778" s="16"/>
      <c r="M778" s="16"/>
      <c r="N778" s="16">
        <f t="shared" ref="N778" si="2578">SUM(D772:D778)</f>
        <v>265460</v>
      </c>
      <c r="O778" s="16">
        <f t="shared" ref="O778" si="2579">+H778/BW778</f>
        <v>94346.91157347204</v>
      </c>
      <c r="P778" s="41"/>
      <c r="Q778" s="17">
        <f t="shared" ref="Q778" si="2580">SUM(D772:D778)</f>
        <v>265460</v>
      </c>
      <c r="R778" s="16"/>
      <c r="S778" s="60">
        <f t="shared" ref="S778" si="2581">+(Q778-Q771)/Q771</f>
        <v>0.28289267022032349</v>
      </c>
      <c r="T778" s="16"/>
      <c r="U778" s="41"/>
      <c r="V778" s="10">
        <f t="shared" si="568"/>
        <v>670</v>
      </c>
      <c r="W778" s="34">
        <v>311</v>
      </c>
      <c r="X778" s="33">
        <v>4256</v>
      </c>
      <c r="Y778" s="33"/>
      <c r="Z778" s="33">
        <f t="shared" ref="Z778" si="2582">SUM(W773:W778)</f>
        <v>1156</v>
      </c>
      <c r="AA778" s="33">
        <f t="shared" ref="AA778" si="2583">+AA777+W778</f>
        <v>891118</v>
      </c>
      <c r="AB778" s="33"/>
      <c r="AC778" s="46">
        <f t="shared" ref="AC778" si="2584">+AA778/H778</f>
        <v>1.2282342060658603E-2</v>
      </c>
      <c r="AD778" s="33"/>
      <c r="AE778" s="33">
        <f t="shared" ref="AE778" si="2585">+AA778/BW778</f>
        <v>1158.8010403120936</v>
      </c>
      <c r="AF778" s="50"/>
      <c r="AG778" s="33"/>
      <c r="AH778" s="33"/>
      <c r="AI778" s="213"/>
      <c r="AJ778" s="50"/>
      <c r="AL778" s="23">
        <f t="shared" ref="AL778" si="258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87">+AL778/AP777</f>
        <v>4.7819046975593329E-4</v>
      </c>
      <c r="AS778" s="25"/>
      <c r="AT778" s="25"/>
      <c r="AU778" s="24"/>
      <c r="AV778" s="298">
        <f t="shared" ref="AV778" si="2588">+AP778/H778</f>
        <v>1.1107213886719012</v>
      </c>
      <c r="AW778" s="298"/>
      <c r="AX778" s="24">
        <f t="shared" ref="AX778" si="2589">+AP778/BW778</f>
        <v>104793.13263979193</v>
      </c>
      <c r="AY778" s="308"/>
      <c r="BA778" s="65">
        <f t="shared" ref="BA778" si="2590">+BC778-BC777</f>
        <v>1018068</v>
      </c>
      <c r="BB778" s="66"/>
      <c r="BC778" s="66">
        <v>1003322959</v>
      </c>
      <c r="BD778" s="66"/>
      <c r="BE778" s="66">
        <f t="shared" ref="BE778" si="2591">+D778</f>
        <v>57738</v>
      </c>
      <c r="BF778" s="66"/>
      <c r="BG778" s="144">
        <f t="shared" ref="BG778" si="259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93">+BC778/BW778</f>
        <v>1304711.2600780234</v>
      </c>
      <c r="BO778" s="66"/>
      <c r="BP778" s="66">
        <f t="shared" ref="BP778" si="2594">+BP777+BE778</f>
        <v>71645797</v>
      </c>
      <c r="BQ778" s="66"/>
      <c r="BR778" s="435">
        <f t="shared" ref="BR778" si="2595">+BP778/BC778</f>
        <v>7.1408509450843732E-2</v>
      </c>
      <c r="BS778" s="66"/>
      <c r="BT778" s="75"/>
      <c r="BU778" s="170"/>
      <c r="BV778" s="1"/>
      <c r="BW778" s="61">
        <f t="shared" si="1554"/>
        <v>769</v>
      </c>
      <c r="BY778" s="56"/>
      <c r="BZ778" s="1"/>
      <c r="CA778" s="61"/>
    </row>
    <row r="779" spans="2:79" x14ac:dyDescent="0.3">
      <c r="B779" s="158">
        <f t="shared" si="2435"/>
        <v>44679</v>
      </c>
      <c r="C779" s="61"/>
      <c r="D779" s="17">
        <v>65444</v>
      </c>
      <c r="E779" s="16"/>
      <c r="F779" s="16"/>
      <c r="G779" s="16"/>
      <c r="H779" s="16">
        <f t="shared" ref="H779" si="2596">+H778+D779</f>
        <v>72618219</v>
      </c>
      <c r="I779" s="16"/>
      <c r="J779" s="436">
        <f t="shared" ref="J779" si="2597">+D779/H778</f>
        <v>9.0201925426008857E-4</v>
      </c>
      <c r="K779" s="16"/>
      <c r="L779" s="16"/>
      <c r="M779" s="16"/>
      <c r="N779" s="16">
        <f t="shared" ref="N779" si="2598">SUM(D773:D779)</f>
        <v>285700</v>
      </c>
      <c r="O779" s="16">
        <f t="shared" ref="O779" si="2599">+H779/BW779</f>
        <v>94309.375324675319</v>
      </c>
      <c r="P779" s="41"/>
      <c r="Q779" s="17">
        <f t="shared" ref="Q779" si="2600">SUM(D773:D779)</f>
        <v>285700</v>
      </c>
      <c r="R779" s="16"/>
      <c r="S779" s="60">
        <f t="shared" ref="S779" si="2601">+(Q779-Q772)/Q772</f>
        <v>0.36248098392396433</v>
      </c>
      <c r="T779" s="16"/>
      <c r="U779" s="41"/>
      <c r="V779" s="10">
        <f t="shared" si="568"/>
        <v>671</v>
      </c>
      <c r="W779" s="34">
        <v>325</v>
      </c>
      <c r="X779" s="33">
        <v>4256</v>
      </c>
      <c r="Y779" s="33"/>
      <c r="Z779" s="33">
        <f t="shared" ref="Z779" si="2602">SUM(W774:W779)</f>
        <v>1163</v>
      </c>
      <c r="AA779" s="33">
        <f t="shared" ref="AA779" si="2603">+AA778+W779</f>
        <v>891443</v>
      </c>
      <c r="AB779" s="33"/>
      <c r="AC779" s="46">
        <f t="shared" ref="AC779" si="2604">+AA779/H779</f>
        <v>1.2275748596918908E-2</v>
      </c>
      <c r="AD779" s="33"/>
      <c r="AE779" s="33">
        <f t="shared" ref="AE779" si="2605">+AA779/BW779</f>
        <v>1157.7181818181818</v>
      </c>
      <c r="AF779" s="50"/>
      <c r="AG779" s="33"/>
      <c r="AH779" s="33"/>
      <c r="AI779" s="213"/>
      <c r="AJ779" s="50"/>
      <c r="AL779" s="23">
        <f t="shared" ref="AL779" si="260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607">+AL779/AP778</f>
        <v>4.6514329631210138E-4</v>
      </c>
      <c r="AS779" s="25"/>
      <c r="AT779" s="25"/>
      <c r="AU779" s="24"/>
      <c r="AV779" s="298">
        <f t="shared" ref="AV779" si="2608">+AP779/H779</f>
        <v>1.1102365785093131</v>
      </c>
      <c r="AW779" s="298"/>
      <c r="AX779" s="24">
        <f t="shared" ref="AX779" si="2609">+AP779/BW779</f>
        <v>104705.71818181819</v>
      </c>
      <c r="AY779" s="308"/>
      <c r="BA779" s="65">
        <f t="shared" ref="BA779" si="2610">+BC779-BC778</f>
        <v>1125987</v>
      </c>
      <c r="BB779" s="66"/>
      <c r="BC779" s="66">
        <v>1004448946</v>
      </c>
      <c r="BD779" s="66"/>
      <c r="BE779" s="66">
        <f t="shared" ref="BE779" si="2611">+D779</f>
        <v>65444</v>
      </c>
      <c r="BF779" s="66"/>
      <c r="BG779" s="144">
        <f t="shared" ref="BG779" si="261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13">+BC779/BW779</f>
        <v>1304479.1506493506</v>
      </c>
      <c r="BO779" s="66"/>
      <c r="BP779" s="66">
        <f t="shared" ref="BP779" si="2614">+BP778+BE779</f>
        <v>71711241</v>
      </c>
      <c r="BQ779" s="66"/>
      <c r="BR779" s="435">
        <f t="shared" ref="BR779" si="2615">+BP779/BC779</f>
        <v>7.1393614663616767E-2</v>
      </c>
      <c r="BS779" s="66"/>
      <c r="BT779" s="75"/>
      <c r="BU779" s="170"/>
      <c r="BV779" s="1"/>
      <c r="BW779" s="61">
        <f t="shared" si="1554"/>
        <v>770</v>
      </c>
      <c r="BY779" s="56"/>
      <c r="BZ779" s="1"/>
      <c r="CA779" s="61"/>
    </row>
    <row r="780" spans="2:79" x14ac:dyDescent="0.3">
      <c r="B780" s="158">
        <f t="shared" si="2435"/>
        <v>44680</v>
      </c>
      <c r="C780" s="61"/>
      <c r="D780" s="17">
        <v>62993</v>
      </c>
      <c r="E780" s="16"/>
      <c r="F780" s="16"/>
      <c r="G780" s="16"/>
      <c r="H780" s="16">
        <f t="shared" ref="H780" si="2616">+H779+D780</f>
        <v>72681212</v>
      </c>
      <c r="I780" s="16"/>
      <c r="J780" s="436">
        <f t="shared" ref="J780" si="2617">+D780/H779</f>
        <v>8.6745448824626225E-4</v>
      </c>
      <c r="K780" s="16"/>
      <c r="L780" s="16"/>
      <c r="M780" s="16"/>
      <c r="N780" s="16">
        <f t="shared" ref="N780" si="2618">SUM(D774:D780)</f>
        <v>294580</v>
      </c>
      <c r="O780" s="16">
        <f t="shared" ref="O780" si="2619">+H780/BW780</f>
        <v>94268.75745784695</v>
      </c>
      <c r="P780" s="41"/>
      <c r="Q780" s="17">
        <f t="shared" ref="Q780" si="2620">SUM(D774:D780)</f>
        <v>294580</v>
      </c>
      <c r="R780" s="16"/>
      <c r="S780" s="60">
        <f t="shared" ref="S780" si="2621">+(Q780-Q773)/Q773</f>
        <v>0.31379308806936013</v>
      </c>
      <c r="T780" s="16"/>
      <c r="U780" s="41"/>
      <c r="V780" s="10">
        <f t="shared" si="568"/>
        <v>672</v>
      </c>
      <c r="W780" s="34">
        <v>263</v>
      </c>
      <c r="X780" s="33">
        <v>4256</v>
      </c>
      <c r="Y780" s="33"/>
      <c r="Z780" s="33">
        <f t="shared" ref="Z780" si="2622">SUM(W775:W780)</f>
        <v>1349</v>
      </c>
      <c r="AA780" s="33">
        <f t="shared" ref="AA780" si="2623">+AA779+W780</f>
        <v>891706</v>
      </c>
      <c r="AB780" s="33"/>
      <c r="AC780" s="46">
        <f t="shared" ref="AC780" si="2624">+AA780/H780</f>
        <v>1.2268727714667169E-2</v>
      </c>
      <c r="AD780" s="33"/>
      <c r="AE780" s="33">
        <f t="shared" ref="AE780" si="2625">+AA780/BW780</f>
        <v>1156.5577172503242</v>
      </c>
      <c r="AF780" s="50"/>
      <c r="AG780" s="33"/>
      <c r="AH780" s="33"/>
      <c r="AI780" s="213"/>
      <c r="AJ780" s="50"/>
      <c r="AL780" s="23">
        <f t="shared" ref="AL780" si="262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27">+AL780/AP779</f>
        <v>4.0040483034436042E-4</v>
      </c>
      <c r="AS780" s="25"/>
      <c r="AT780" s="25"/>
      <c r="AU780" s="24"/>
      <c r="AV780" s="298">
        <f t="shared" ref="AV780" si="2628">+AP780/H780</f>
        <v>1.1097184923113279</v>
      </c>
      <c r="AW780" s="298"/>
      <c r="AX780" s="24">
        <f t="shared" ref="AX780" si="2629">+AP780/BW780</f>
        <v>104611.78339818418</v>
      </c>
      <c r="AY780" s="308"/>
      <c r="BA780" s="65">
        <f t="shared" ref="BA780" si="2630">+BC780-BC779</f>
        <v>802298</v>
      </c>
      <c r="BB780" s="66"/>
      <c r="BC780" s="66">
        <v>1005251244</v>
      </c>
      <c r="BD780" s="66"/>
      <c r="BE780" s="66">
        <f t="shared" ref="BE780" si="2631">+D780</f>
        <v>62993</v>
      </c>
      <c r="BF780" s="66"/>
      <c r="BG780" s="144">
        <f t="shared" ref="BG780" si="263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33">+BC780/BW780</f>
        <v>1303827.813229572</v>
      </c>
      <c r="BO780" s="66"/>
      <c r="BP780" s="66">
        <f t="shared" ref="BP780" si="2634">+BP779+BE780</f>
        <v>71774234</v>
      </c>
      <c r="BQ780" s="66"/>
      <c r="BR780" s="435">
        <f t="shared" ref="BR780" si="2635">+BP780/BC780</f>
        <v>7.139929886025588E-2</v>
      </c>
      <c r="BS780" s="66"/>
      <c r="BT780" s="75"/>
      <c r="BU780" s="170"/>
      <c r="BV780" s="1"/>
      <c r="BW780" s="61">
        <f t="shared" si="1554"/>
        <v>771</v>
      </c>
      <c r="BY780" s="56"/>
      <c r="BZ780" s="1"/>
      <c r="CA780" s="61"/>
    </row>
    <row r="781" spans="2:79" x14ac:dyDescent="0.3">
      <c r="B781" s="158">
        <f t="shared" si="2435"/>
        <v>44681</v>
      </c>
      <c r="C781" s="61"/>
      <c r="D781" s="17">
        <v>24751</v>
      </c>
      <c r="E781" s="16"/>
      <c r="F781" s="16"/>
      <c r="G781" s="16"/>
      <c r="H781" s="16">
        <f t="shared" ref="H781" si="2636">+H780+D781</f>
        <v>72705963</v>
      </c>
      <c r="I781" s="16"/>
      <c r="J781" s="436">
        <f t="shared" ref="J781" si="2637">+D781/H780</f>
        <v>3.4054192712141342E-4</v>
      </c>
      <c r="K781" s="16"/>
      <c r="L781" s="16"/>
      <c r="M781" s="16"/>
      <c r="N781" s="16">
        <f t="shared" ref="N781" si="2638">SUM(D775:D781)</f>
        <v>301344</v>
      </c>
      <c r="O781" s="16">
        <f t="shared" ref="O781" si="2639">+H781/BW781</f>
        <v>94178.708549222792</v>
      </c>
      <c r="P781" s="41"/>
      <c r="Q781" s="17">
        <f t="shared" ref="Q781" si="2640">SUM(D775:D781)</f>
        <v>301344</v>
      </c>
      <c r="R781" s="16"/>
      <c r="S781" s="60">
        <f t="shared" ref="S781" si="2641">+(Q781-Q774)/Q774</f>
        <v>0.31408786052555837</v>
      </c>
      <c r="T781" s="16"/>
      <c r="U781" s="41"/>
      <c r="V781" s="10">
        <f t="shared" si="568"/>
        <v>673</v>
      </c>
      <c r="W781" s="34">
        <v>115</v>
      </c>
      <c r="X781" s="33">
        <v>4256</v>
      </c>
      <c r="Y781" s="33"/>
      <c r="Z781" s="33">
        <f t="shared" ref="Z781" si="2642">SUM(W776:W781)</f>
        <v>1445</v>
      </c>
      <c r="AA781" s="33">
        <f t="shared" ref="AA781" si="2643">+AA780+W781</f>
        <v>891821</v>
      </c>
      <c r="AB781" s="33"/>
      <c r="AC781" s="46">
        <f t="shared" ref="AC781" si="2644">+AA781/H781</f>
        <v>1.2266132834249098E-2</v>
      </c>
      <c r="AD781" s="33"/>
      <c r="AE781" s="33">
        <f t="shared" ref="AE781" si="2645">+AA781/BW781</f>
        <v>1155.208549222798</v>
      </c>
      <c r="AF781" s="50"/>
      <c r="AG781" s="33"/>
      <c r="AH781" s="33"/>
      <c r="AI781" s="213"/>
      <c r="AJ781" s="50"/>
      <c r="AL781" s="23">
        <f t="shared" ref="AL781" si="264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47">+AL781/AP780</f>
        <v>3.6220633424661883E-4</v>
      </c>
      <c r="AS781" s="25"/>
      <c r="AT781" s="25"/>
      <c r="AU781" s="24"/>
      <c r="AV781" s="298">
        <f t="shared" ref="AV781" si="2648">+AP781/H781</f>
        <v>1.1097425255202245</v>
      </c>
      <c r="AW781" s="298"/>
      <c r="AX781" s="24">
        <f t="shared" ref="AX781" si="2649">+AP781/BW781</f>
        <v>104514.11787564767</v>
      </c>
      <c r="AY781" s="308"/>
      <c r="BA781" s="65">
        <f t="shared" ref="BA781" si="2650">+BC781-BC780</f>
        <v>186904</v>
      </c>
      <c r="BB781" s="66"/>
      <c r="BC781" s="66">
        <v>1005438148</v>
      </c>
      <c r="BD781" s="66"/>
      <c r="BE781" s="66">
        <f t="shared" ref="BE781" si="2651">+D781</f>
        <v>24751</v>
      </c>
      <c r="BF781" s="66"/>
      <c r="BG781" s="144">
        <f t="shared" ref="BG781" si="265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53">+BC781/BW781</f>
        <v>1302381.0207253885</v>
      </c>
      <c r="BO781" s="66"/>
      <c r="BP781" s="66">
        <f t="shared" ref="BP781" si="2654">+BP780+BE781</f>
        <v>71798985</v>
      </c>
      <c r="BQ781" s="66"/>
      <c r="BR781" s="435">
        <f t="shared" ref="BR781" si="2655">+BP781/BC781</f>
        <v>7.1410643352672942E-2</v>
      </c>
      <c r="BS781" s="66"/>
      <c r="BT781" s="75"/>
      <c r="BU781" s="170"/>
      <c r="BV781" s="1"/>
      <c r="BW781" s="61">
        <f t="shared" si="1554"/>
        <v>772</v>
      </c>
      <c r="BY781" s="56"/>
      <c r="BZ781" s="1"/>
      <c r="CA781" s="61"/>
    </row>
    <row r="782" spans="2:79" x14ac:dyDescent="0.3">
      <c r="B782" s="347">
        <f t="shared" si="2435"/>
        <v>44682</v>
      </c>
      <c r="C782" s="61"/>
      <c r="D782" s="17">
        <v>16158</v>
      </c>
      <c r="E782" s="16"/>
      <c r="F782" s="16"/>
      <c r="G782" s="16"/>
      <c r="H782" s="16">
        <f t="shared" ref="H782" si="2656">+H781+D782</f>
        <v>72722121</v>
      </c>
      <c r="I782" s="16"/>
      <c r="J782" s="436">
        <f t="shared" ref="J782" si="2657">+D782/H781</f>
        <v>2.2223761756652615E-4</v>
      </c>
      <c r="K782" s="16"/>
      <c r="L782" s="16"/>
      <c r="M782" s="16"/>
      <c r="N782" s="16">
        <f t="shared" ref="N782" si="2658">SUM(D776:D782)</f>
        <v>304533</v>
      </c>
      <c r="O782" s="16">
        <f t="shared" ref="O782" si="2659">+H782/BW782</f>
        <v>94077.776196636478</v>
      </c>
      <c r="P782" s="41"/>
      <c r="Q782" s="17">
        <f t="shared" ref="Q782" si="2660">SUM(D776:D782)</f>
        <v>304533</v>
      </c>
      <c r="R782" s="16"/>
      <c r="S782" s="60">
        <f t="shared" ref="S782" si="2661">+(Q782-Q775)/Q775</f>
        <v>0.29559842077497744</v>
      </c>
      <c r="T782" s="16"/>
      <c r="U782" s="41"/>
      <c r="V782" s="10">
        <f t="shared" si="568"/>
        <v>674</v>
      </c>
      <c r="W782" s="34">
        <v>21</v>
      </c>
      <c r="X782" s="33">
        <v>4256</v>
      </c>
      <c r="Y782" s="33"/>
      <c r="Z782" s="33">
        <f t="shared" ref="Z782" si="2662">SUM(W777:W782)</f>
        <v>1325</v>
      </c>
      <c r="AA782" s="33">
        <f t="shared" ref="AA782" si="2663">+AA781+W782</f>
        <v>891842</v>
      </c>
      <c r="AB782" s="33"/>
      <c r="AC782" s="46">
        <f t="shared" ref="AC782" si="2664">+AA782/H782</f>
        <v>1.2263696214250957E-2</v>
      </c>
      <c r="AD782" s="33"/>
      <c r="AE782" s="33">
        <f t="shared" ref="AE782" si="2665">+AA782/BW782</f>
        <v>1153.7412677878397</v>
      </c>
      <c r="AF782" s="50"/>
      <c r="AG782" s="33"/>
      <c r="AH782" s="33"/>
      <c r="AI782" s="213"/>
      <c r="AJ782" s="50"/>
      <c r="AL782" s="23">
        <f t="shared" ref="AL782" si="266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67">+AL782/AP781</f>
        <v>4.3415806965315778E-4</v>
      </c>
      <c r="AS782" s="25"/>
      <c r="AT782" s="25"/>
      <c r="AU782" s="24"/>
      <c r="AV782" s="298">
        <f t="shared" ref="AV782" si="2668">+AP782/H782</f>
        <v>1.1099776504043384</v>
      </c>
      <c r="AW782" s="298"/>
      <c r="AX782" s="24">
        <f t="shared" ref="AX782" si="2669">+AP782/BW782</f>
        <v>104424.22897800776</v>
      </c>
      <c r="AY782" s="308"/>
      <c r="BA782" s="65">
        <f t="shared" ref="BA782" si="2670">+BC782-BC781</f>
        <v>155481</v>
      </c>
      <c r="BB782" s="66"/>
      <c r="BC782" s="66">
        <v>1005593629</v>
      </c>
      <c r="BD782" s="66"/>
      <c r="BE782" s="66">
        <f t="shared" ref="BE782" si="2671">+D782</f>
        <v>16158</v>
      </c>
      <c r="BF782" s="66"/>
      <c r="BG782" s="144">
        <f t="shared" ref="BG782" si="267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73">+BC782/BW782</f>
        <v>1300897.320827943</v>
      </c>
      <c r="BO782" s="66"/>
      <c r="BP782" s="66">
        <f t="shared" ref="BP782" si="2674">+BP781+BE782</f>
        <v>71815143</v>
      </c>
      <c r="BQ782" s="66"/>
      <c r="BR782" s="435">
        <f t="shared" ref="BR782" si="2675">+BP782/BC782</f>
        <v>7.1415670235913956E-2</v>
      </c>
      <c r="BS782" s="66"/>
      <c r="BT782" s="75"/>
      <c r="BU782" s="170"/>
      <c r="BV782" s="1"/>
      <c r="BW782" s="61">
        <f t="shared" si="1554"/>
        <v>773</v>
      </c>
      <c r="BY782" s="56"/>
      <c r="BZ782" s="1"/>
      <c r="CA782" s="61"/>
    </row>
    <row r="783" spans="2:79" x14ac:dyDescent="0.3">
      <c r="B783" s="158">
        <f t="shared" si="2435"/>
        <v>44683</v>
      </c>
      <c r="C783" s="61"/>
      <c r="D783" s="17">
        <v>40784</v>
      </c>
      <c r="E783" s="16"/>
      <c r="F783" s="16"/>
      <c r="G783" s="16"/>
      <c r="H783" s="16">
        <f t="shared" ref="H783" si="2676">+H782+D783</f>
        <v>72762905</v>
      </c>
      <c r="I783" s="16"/>
      <c r="J783" s="436">
        <f t="shared" ref="J783" si="2677">+D783/H782</f>
        <v>5.608197263663418E-4</v>
      </c>
      <c r="K783" s="16"/>
      <c r="L783" s="16"/>
      <c r="M783" s="16"/>
      <c r="N783" s="16">
        <f t="shared" ref="N783" si="2678">SUM(D777:D783)</f>
        <v>310409</v>
      </c>
      <c r="O783" s="16">
        <f t="shared" ref="O783" si="2679">+H783/BW783</f>
        <v>94008.921188630484</v>
      </c>
      <c r="P783" s="41"/>
      <c r="Q783" s="17">
        <f t="shared" ref="Q783" si="2680">SUM(D777:D783)</f>
        <v>310409</v>
      </c>
      <c r="R783" s="16"/>
      <c r="S783" s="60">
        <f t="shared" ref="S783" si="2681">+(Q783-Q776)/Q776</f>
        <v>0.26729103980991187</v>
      </c>
      <c r="T783" s="16"/>
      <c r="U783" s="41"/>
      <c r="V783" s="10">
        <f t="shared" si="568"/>
        <v>675</v>
      </c>
      <c r="W783" s="34">
        <v>122</v>
      </c>
      <c r="X783" s="33">
        <v>4256</v>
      </c>
      <c r="Y783" s="33"/>
      <c r="Z783" s="33">
        <f t="shared" ref="Z783" si="2682">SUM(W778:W783)</f>
        <v>1157</v>
      </c>
      <c r="AA783" s="33">
        <f t="shared" ref="AA783" si="2683">+AA782+W783</f>
        <v>891964</v>
      </c>
      <c r="AB783" s="33"/>
      <c r="AC783" s="46">
        <f t="shared" ref="AC783" si="2684">+AA783/H783</f>
        <v>1.2258499025018311E-2</v>
      </c>
      <c r="AD783" s="33"/>
      <c r="AE783" s="33">
        <f t="shared" ref="AE783" si="2685">+AA783/BW783</f>
        <v>1152.40826873385</v>
      </c>
      <c r="AF783" s="50"/>
      <c r="AG783" s="33"/>
      <c r="AH783" s="33"/>
      <c r="AI783" s="213"/>
      <c r="AJ783" s="50"/>
      <c r="AL783" s="23">
        <f t="shared" ref="AL783" si="268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87">+AL783/AP782</f>
        <v>4.6450734613505423E-4</v>
      </c>
      <c r="AS783" s="25"/>
      <c r="AT783" s="25"/>
      <c r="AU783" s="24"/>
      <c r="AV783" s="298">
        <f t="shared" ref="AV783" si="2688">+AP783/H783</f>
        <v>1.1098708057354225</v>
      </c>
      <c r="AW783" s="298"/>
      <c r="AX783" s="24">
        <f t="shared" ref="AX783" si="2689">+AP783/BW783</f>
        <v>104337.75710594315</v>
      </c>
      <c r="AY783" s="308"/>
      <c r="BA783" s="65">
        <f t="shared" ref="BA783" si="2690">+BC783-BC782</f>
        <v>675963</v>
      </c>
      <c r="BB783" s="66"/>
      <c r="BC783" s="66">
        <v>1006269592</v>
      </c>
      <c r="BD783" s="66"/>
      <c r="BE783" s="66">
        <f t="shared" ref="BE783" si="2691">+D783</f>
        <v>40784</v>
      </c>
      <c r="BF783" s="66"/>
      <c r="BG783" s="144">
        <f t="shared" ref="BG783" si="269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93">+BC783/BW783</f>
        <v>1300089.9121447029</v>
      </c>
      <c r="BO783" s="66"/>
      <c r="BP783" s="66">
        <f t="shared" ref="BP783" si="2694">+BP782+BE783</f>
        <v>71855927</v>
      </c>
      <c r="BQ783" s="66"/>
      <c r="BR783" s="435">
        <f t="shared" ref="BR783" si="2695">+BP783/BC783</f>
        <v>7.1408226554062468E-2</v>
      </c>
      <c r="BS783" s="66"/>
      <c r="BT783" s="75"/>
      <c r="BU783" s="170"/>
      <c r="BV783" s="1"/>
      <c r="BW783" s="61">
        <f t="shared" si="1554"/>
        <v>774</v>
      </c>
      <c r="BY783" s="56"/>
      <c r="BZ783" s="1"/>
      <c r="CA783" s="61"/>
    </row>
    <row r="784" spans="2:79" x14ac:dyDescent="0.3">
      <c r="B784" s="158">
        <f t="shared" si="2435"/>
        <v>44684</v>
      </c>
      <c r="C784" s="61"/>
      <c r="D784" s="17">
        <v>64031</v>
      </c>
      <c r="E784" s="16"/>
      <c r="F784" s="16"/>
      <c r="G784" s="16"/>
      <c r="H784" s="16">
        <f t="shared" ref="H784" si="2696">+H783+D784</f>
        <v>72826936</v>
      </c>
      <c r="I784" s="16"/>
      <c r="J784" s="436">
        <f t="shared" ref="J784" si="2697">+D784/H783</f>
        <v>8.7999510189979357E-4</v>
      </c>
      <c r="K784" s="16"/>
      <c r="L784" s="16"/>
      <c r="M784" s="16"/>
      <c r="N784" s="16">
        <f t="shared" ref="N784" si="2698">SUM(D778:D784)</f>
        <v>331899</v>
      </c>
      <c r="O784" s="16">
        <f t="shared" ref="O784" si="2699">+H784/BW784</f>
        <v>93970.240000000005</v>
      </c>
      <c r="P784" s="41"/>
      <c r="Q784" s="17">
        <f t="shared" ref="Q784" si="2700">SUM(D778:D784)</f>
        <v>331899</v>
      </c>
      <c r="R784" s="16"/>
      <c r="S784" s="60">
        <f t="shared" ref="S784" si="2701">+(Q784-Q777)/Q777</f>
        <v>0.30521418711927861</v>
      </c>
      <c r="T784" s="16"/>
      <c r="U784" s="41"/>
      <c r="V784" s="10">
        <f t="shared" si="568"/>
        <v>676</v>
      </c>
      <c r="W784" s="34">
        <v>429</v>
      </c>
      <c r="X784" s="33">
        <v>4256</v>
      </c>
      <c r="Y784" s="33"/>
      <c r="Z784" s="33">
        <f t="shared" ref="Z784" si="2702">SUM(W779:W784)</f>
        <v>1275</v>
      </c>
      <c r="AA784" s="33">
        <f t="shared" ref="AA784" si="2703">+AA783+W784</f>
        <v>892393</v>
      </c>
      <c r="AB784" s="33"/>
      <c r="AC784" s="46">
        <f t="shared" ref="AC784" si="2704">+AA784/H784</f>
        <v>1.2253611768041428E-2</v>
      </c>
      <c r="AD784" s="33"/>
      <c r="AE784" s="33">
        <f t="shared" ref="AE784" si="2705">+AA784/BW784</f>
        <v>1151.4748387096774</v>
      </c>
      <c r="AF784" s="50"/>
      <c r="AG784" s="33"/>
      <c r="AH784" s="33"/>
      <c r="AI784" s="213"/>
      <c r="AJ784" s="50"/>
      <c r="AL784" s="23">
        <f t="shared" ref="AL784" si="270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707">+AL784/AP783</f>
        <v>4.9926060048671186E-4</v>
      </c>
      <c r="AS784" s="25"/>
      <c r="AT784" s="25"/>
      <c r="AU784" s="24"/>
      <c r="AV784" s="298">
        <f t="shared" ref="AV784" si="2708">+AP784/H784</f>
        <v>1.1094486111567292</v>
      </c>
      <c r="AW784" s="298"/>
      <c r="AX784" s="24">
        <f t="shared" ref="AX784" si="2709">+AP784/BW784</f>
        <v>104255.15225806451</v>
      </c>
      <c r="AY784" s="308"/>
      <c r="BA784" s="65">
        <f t="shared" ref="BA784" si="2710">+BC784-BC783</f>
        <v>1022929</v>
      </c>
      <c r="BB784" s="66"/>
      <c r="BC784" s="66">
        <v>1007292521</v>
      </c>
      <c r="BD784" s="66"/>
      <c r="BE784" s="66">
        <f t="shared" ref="BE784" si="2711">+D784</f>
        <v>64031</v>
      </c>
      <c r="BF784" s="66"/>
      <c r="BG784" s="144">
        <f t="shared" ref="BG784" si="271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13">+BC784/BW784</f>
        <v>1299732.2851612903</v>
      </c>
      <c r="BO784" s="66"/>
      <c r="BP784" s="66">
        <f t="shared" ref="BP784" si="2714">+BP783+BE784</f>
        <v>71919958</v>
      </c>
      <c r="BQ784" s="66"/>
      <c r="BR784" s="435">
        <f t="shared" ref="BR784" si="2715">+BP784/BC784</f>
        <v>7.1399277271115572E-2</v>
      </c>
      <c r="BS784" s="66"/>
      <c r="BT784" s="75"/>
      <c r="BU784" s="170"/>
      <c r="BV784" s="1"/>
      <c r="BW784" s="61">
        <f t="shared" si="1554"/>
        <v>775</v>
      </c>
      <c r="BY784" s="56"/>
      <c r="BZ784" s="1"/>
      <c r="CA784" s="61"/>
    </row>
    <row r="785" spans="2:79" x14ac:dyDescent="0.3">
      <c r="B785" s="158">
        <f t="shared" si="2435"/>
        <v>44685</v>
      </c>
      <c r="C785" s="61"/>
      <c r="D785" s="17">
        <v>71798</v>
      </c>
      <c r="E785" s="16"/>
      <c r="F785" s="16"/>
      <c r="G785" s="16"/>
      <c r="H785" s="16">
        <f t="shared" ref="H785" si="2716">+H784+D785</f>
        <v>72898734</v>
      </c>
      <c r="I785" s="16"/>
      <c r="J785" s="436">
        <f t="shared" ref="J785" si="2717">+D785/H784</f>
        <v>9.8587149128448849E-4</v>
      </c>
      <c r="K785" s="16"/>
      <c r="L785" s="16"/>
      <c r="M785" s="16"/>
      <c r="N785" s="16">
        <f t="shared" ref="N785" si="2718">SUM(D779:D785)</f>
        <v>345959</v>
      </c>
      <c r="O785" s="16">
        <f t="shared" ref="O785" si="2719">+H785/BW785</f>
        <v>93941.667525773199</v>
      </c>
      <c r="P785" s="41"/>
      <c r="Q785" s="17">
        <f t="shared" ref="Q785" si="2720">SUM(D779:D785)</f>
        <v>345959</v>
      </c>
      <c r="R785" s="16"/>
      <c r="S785" s="60">
        <f t="shared" ref="S785" si="2721">+(Q785-Q778)/Q778</f>
        <v>0.30324342650493485</v>
      </c>
      <c r="T785" s="16"/>
      <c r="U785" s="41"/>
      <c r="V785" s="10">
        <f t="shared" si="568"/>
        <v>677</v>
      </c>
      <c r="W785" s="34">
        <v>305</v>
      </c>
      <c r="X785" s="33">
        <v>4256</v>
      </c>
      <c r="Y785" s="33"/>
      <c r="Z785" s="33">
        <f t="shared" ref="Z785" si="2722">SUM(W780:W785)</f>
        <v>1255</v>
      </c>
      <c r="AA785" s="33">
        <f t="shared" ref="AA785" si="2723">+AA784+W785</f>
        <v>892698</v>
      </c>
      <c r="AB785" s="33"/>
      <c r="AC785" s="46">
        <f t="shared" ref="AC785" si="2724">+AA785/H785</f>
        <v>1.2245727065712829E-2</v>
      </c>
      <c r="AD785" s="33"/>
      <c r="AE785" s="33">
        <f t="shared" ref="AE785" si="2725">+AA785/BW785</f>
        <v>1150.3840206185566</v>
      </c>
      <c r="AF785" s="50"/>
      <c r="AG785" s="33"/>
      <c r="AH785" s="33"/>
      <c r="AI785" s="213"/>
      <c r="AJ785" s="50"/>
      <c r="AL785" s="23">
        <f t="shared" ref="AL785" si="272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27">+AL785/AP784</f>
        <v>4.7866436071116494E-4</v>
      </c>
      <c r="AS785" s="25"/>
      <c r="AT785" s="25"/>
      <c r="AU785" s="24"/>
      <c r="AV785" s="298">
        <f t="shared" ref="AV785" si="2728">+AP785/H785</f>
        <v>1.1088864451336014</v>
      </c>
      <c r="AW785" s="298"/>
      <c r="AX785" s="24">
        <f t="shared" ref="AX785" si="2729">+AP785/BW785</f>
        <v>104170.64175257731</v>
      </c>
      <c r="AY785" s="308"/>
      <c r="BA785" s="65">
        <f t="shared" ref="BA785" si="2730">+BC785-BC784</f>
        <v>908741</v>
      </c>
      <c r="BB785" s="66"/>
      <c r="BC785" s="66">
        <v>1008201262</v>
      </c>
      <c r="BD785" s="66"/>
      <c r="BE785" s="66">
        <f t="shared" ref="BE785" si="2731">+D785</f>
        <v>71798</v>
      </c>
      <c r="BF785" s="66"/>
      <c r="BG785" s="144">
        <f t="shared" ref="BG785" si="273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33">+BC785/BW785</f>
        <v>1299228.4304123712</v>
      </c>
      <c r="BO785" s="66"/>
      <c r="BP785" s="66">
        <f t="shared" ref="BP785" si="2734">+BP784+BE785</f>
        <v>71991756</v>
      </c>
      <c r="BQ785" s="66"/>
      <c r="BR785" s="435">
        <f t="shared" ref="BR785" si="2735">+BP785/BC785</f>
        <v>7.1406135573752139E-2</v>
      </c>
      <c r="BS785" s="66"/>
      <c r="BT785" s="75"/>
      <c r="BU785" s="170"/>
      <c r="BV785" s="1"/>
      <c r="BW785" s="61">
        <f t="shared" si="1554"/>
        <v>776</v>
      </c>
      <c r="BY785" s="56"/>
      <c r="BZ785" s="1"/>
      <c r="CA785" s="61"/>
    </row>
    <row r="786" spans="2:79" x14ac:dyDescent="0.3">
      <c r="B786" s="158">
        <f t="shared" si="2435"/>
        <v>44686</v>
      </c>
      <c r="C786" s="61"/>
      <c r="D786" s="17">
        <v>66611</v>
      </c>
      <c r="E786" s="16"/>
      <c r="F786" s="16"/>
      <c r="G786" s="16"/>
      <c r="H786" s="16">
        <f t="shared" ref="H786" si="2736">+H785+D786</f>
        <v>72965345</v>
      </c>
      <c r="I786" s="16"/>
      <c r="J786" s="436">
        <f t="shared" ref="J786" si="2737">+D786/H785</f>
        <v>9.1374700690961244E-4</v>
      </c>
      <c r="K786" s="16"/>
      <c r="L786" s="16"/>
      <c r="M786" s="16"/>
      <c r="N786" s="16">
        <f t="shared" ref="N786" si="2738">SUM(D780:D786)</f>
        <v>347126</v>
      </c>
      <c r="O786" s="16">
        <f t="shared" ref="O786" si="2739">+H786/BW786</f>
        <v>93906.492921492914</v>
      </c>
      <c r="P786" s="41"/>
      <c r="Q786" s="17">
        <f t="shared" ref="Q786" si="2740">SUM(D780:D786)</f>
        <v>347126</v>
      </c>
      <c r="R786" s="16"/>
      <c r="S786" s="60">
        <f t="shared" ref="S786" si="2741">+(Q786-Q779)/Q779</f>
        <v>0.21500175008750438</v>
      </c>
      <c r="T786" s="16"/>
      <c r="U786" s="41"/>
      <c r="V786" s="10">
        <f t="shared" si="568"/>
        <v>678</v>
      </c>
      <c r="W786" s="34">
        <v>255</v>
      </c>
      <c r="X786" s="33">
        <v>4256</v>
      </c>
      <c r="Y786" s="33"/>
      <c r="Z786" s="33">
        <f t="shared" ref="Z786" si="2742">SUM(W781:W786)</f>
        <v>1247</v>
      </c>
      <c r="AA786" s="33">
        <f t="shared" ref="AA786" si="2743">+AA785+W786</f>
        <v>892953</v>
      </c>
      <c r="AB786" s="33"/>
      <c r="AC786" s="46">
        <f t="shared" ref="AC786" si="2744">+AA786/H786</f>
        <v>1.2238042594056123E-2</v>
      </c>
      <c r="AD786" s="33"/>
      <c r="AE786" s="33">
        <f t="shared" ref="AE786" si="2745">+AA786/BW786</f>
        <v>1149.2316602316603</v>
      </c>
      <c r="AF786" s="50"/>
      <c r="AG786" s="33"/>
      <c r="AH786" s="33"/>
      <c r="AI786" s="213"/>
      <c r="AJ786" s="50"/>
      <c r="AL786" s="23">
        <f t="shared" ref="AL786" si="274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47">+AL786/AP785</f>
        <v>4.4168211411841626E-4</v>
      </c>
      <c r="AS786" s="25"/>
      <c r="AT786" s="25"/>
      <c r="AU786" s="24"/>
      <c r="AV786" s="298">
        <f t="shared" ref="AV786" si="2748">+AP786/H786</f>
        <v>1.1083634566519216</v>
      </c>
      <c r="AW786" s="298"/>
      <c r="AX786" s="24">
        <f t="shared" ref="AX786" si="2749">+AP786/BW786</f>
        <v>104082.5250965251</v>
      </c>
      <c r="AY786" s="308"/>
      <c r="BA786" s="65">
        <f t="shared" ref="BA786" si="2750">+BC786-BC785</f>
        <v>531235</v>
      </c>
      <c r="BB786" s="66"/>
      <c r="BC786" s="66">
        <v>1008732497</v>
      </c>
      <c r="BD786" s="66"/>
      <c r="BE786" s="66">
        <f t="shared" ref="BE786" si="2751">+D786</f>
        <v>66611</v>
      </c>
      <c r="BF786" s="66"/>
      <c r="BG786" s="144">
        <f t="shared" ref="BG786" si="275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53">+BC786/BW786</f>
        <v>1298240.0218790218</v>
      </c>
      <c r="BO786" s="66"/>
      <c r="BP786" s="66">
        <f t="shared" ref="BP786" si="2754">+BP785+BE786</f>
        <v>72058367</v>
      </c>
      <c r="BQ786" s="66"/>
      <c r="BR786" s="435">
        <f t="shared" ref="BR786" si="2755">+BP786/BC786</f>
        <v>7.1434564876519488E-2</v>
      </c>
      <c r="BS786" s="66"/>
      <c r="BT786" s="75"/>
      <c r="BU786" s="170"/>
      <c r="BV786" s="1"/>
      <c r="BW786" s="61">
        <f t="shared" si="1554"/>
        <v>777</v>
      </c>
      <c r="BY786" s="56"/>
      <c r="BZ786" s="1"/>
      <c r="CA786" s="61"/>
    </row>
    <row r="787" spans="2:79" x14ac:dyDescent="0.3">
      <c r="B787" s="158">
        <f t="shared" si="2435"/>
        <v>44687</v>
      </c>
      <c r="C787" s="61"/>
      <c r="D787" s="17">
        <v>77116</v>
      </c>
      <c r="E787" s="16"/>
      <c r="F787" s="16"/>
      <c r="G787" s="16"/>
      <c r="H787" s="16">
        <f t="shared" ref="H787" si="2756">+H786+D787</f>
        <v>73042461</v>
      </c>
      <c r="I787" s="16"/>
      <c r="J787" s="436">
        <f t="shared" ref="J787" si="2757">+D787/H786</f>
        <v>1.0568852926002062E-3</v>
      </c>
      <c r="K787" s="16"/>
      <c r="L787" s="16"/>
      <c r="M787" s="16"/>
      <c r="N787" s="16">
        <f t="shared" ref="N787" si="2758">SUM(D781:D787)</f>
        <v>361249</v>
      </c>
      <c r="O787" s="16">
        <f t="shared" ref="O787" si="2759">+H787/BW787</f>
        <v>93884.911311053991</v>
      </c>
      <c r="P787" s="41"/>
      <c r="Q787" s="17">
        <f t="shared" ref="Q787" si="2760">SUM(D781:D787)</f>
        <v>361249</v>
      </c>
      <c r="R787" s="16"/>
      <c r="S787" s="60">
        <f t="shared" ref="S787" si="2761">+(Q787-Q780)/Q780</f>
        <v>0.22631882680426368</v>
      </c>
      <c r="T787" s="16"/>
      <c r="U787" s="41"/>
      <c r="V787" s="10">
        <f t="shared" si="568"/>
        <v>679</v>
      </c>
      <c r="W787" s="34">
        <v>291</v>
      </c>
      <c r="X787" s="33">
        <v>4256</v>
      </c>
      <c r="Y787" s="33"/>
      <c r="Z787" s="33">
        <f t="shared" ref="Z787" si="2762">SUM(W782:W787)</f>
        <v>1423</v>
      </c>
      <c r="AA787" s="33">
        <f t="shared" ref="AA787" si="2763">+AA786+W787</f>
        <v>893244</v>
      </c>
      <c r="AB787" s="33"/>
      <c r="AC787" s="46">
        <f t="shared" ref="AC787" si="2764">+AA787/H787</f>
        <v>1.2229106026424822E-2</v>
      </c>
      <c r="AD787" s="33"/>
      <c r="AE787" s="33">
        <f t="shared" ref="AE787" si="2765">+AA787/BW787</f>
        <v>1148.1285347043702</v>
      </c>
      <c r="AF787" s="50"/>
      <c r="AG787" s="33"/>
      <c r="AH787" s="33"/>
      <c r="AI787" s="213"/>
      <c r="AJ787" s="50"/>
      <c r="AL787" s="23">
        <f t="shared" ref="AL787" si="276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67">+AL787/AP786</f>
        <v>4.7466294998417378E-4</v>
      </c>
      <c r="AS787" s="25"/>
      <c r="AT787" s="25"/>
      <c r="AU787" s="24"/>
      <c r="AV787" s="298">
        <f t="shared" ref="AV787" si="2768">+AP787/H787</f>
        <v>1.1077188239865028</v>
      </c>
      <c r="AW787" s="298"/>
      <c r="AX787" s="24">
        <f t="shared" ref="AX787" si="2769">+AP787/BW787</f>
        <v>103998.08354755784</v>
      </c>
      <c r="AY787" s="308"/>
      <c r="BA787" s="65">
        <f t="shared" ref="BA787" si="2770">+BC787-BC786</f>
        <v>2367751</v>
      </c>
      <c r="BB787" s="66"/>
      <c r="BC787" s="66">
        <v>1011100248</v>
      </c>
      <c r="BD787" s="66"/>
      <c r="BE787" s="66">
        <f t="shared" ref="BE787" si="2771">+D787</f>
        <v>77116</v>
      </c>
      <c r="BF787" s="66"/>
      <c r="BG787" s="144">
        <f t="shared" ref="BG787" si="277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73">+BC787/BW787</f>
        <v>1299614.7146529562</v>
      </c>
      <c r="BO787" s="66"/>
      <c r="BP787" s="66">
        <f t="shared" ref="BP787" si="2774">+BP786+BE787</f>
        <v>72135483</v>
      </c>
      <c r="BQ787" s="66"/>
      <c r="BR787" s="435">
        <f t="shared" ref="BR787" si="2775">+BP787/BC787</f>
        <v>7.1343551880920911E-2</v>
      </c>
      <c r="BS787" s="66"/>
      <c r="BT787" s="75"/>
      <c r="BU787" s="170"/>
      <c r="BV787" s="1"/>
      <c r="BW787" s="61">
        <f t="shared" si="1554"/>
        <v>778</v>
      </c>
      <c r="BY787" s="56"/>
      <c r="BZ787" s="1"/>
      <c r="CA787" s="61"/>
    </row>
    <row r="788" spans="2:79" x14ac:dyDescent="0.3">
      <c r="B788" s="158">
        <f t="shared" si="2435"/>
        <v>44688</v>
      </c>
      <c r="C788" s="61"/>
      <c r="D788" s="17">
        <v>31143</v>
      </c>
      <c r="E788" s="16"/>
      <c r="F788" s="16"/>
      <c r="G788" s="16"/>
      <c r="H788" s="16">
        <f t="shared" ref="H788" si="2776">+H787+D788</f>
        <v>73073604</v>
      </c>
      <c r="I788" s="16"/>
      <c r="J788" s="436">
        <f t="shared" ref="J788" si="2777">+D788/H787</f>
        <v>4.2636843794187053E-4</v>
      </c>
      <c r="K788" s="16"/>
      <c r="L788" s="16"/>
      <c r="M788" s="16"/>
      <c r="N788" s="16">
        <f t="shared" ref="N788" si="2778">SUM(D782:D788)</f>
        <v>367641</v>
      </c>
      <c r="O788" s="16">
        <f t="shared" ref="O788" si="2779">+H788/BW788</f>
        <v>93804.369704749683</v>
      </c>
      <c r="P788" s="41"/>
      <c r="Q788" s="17">
        <f t="shared" ref="Q788" si="2780">SUM(D782:D788)</f>
        <v>367641</v>
      </c>
      <c r="R788" s="16"/>
      <c r="S788" s="60">
        <f t="shared" ref="S788" si="2781">+(Q788-Q781)/Q781</f>
        <v>0.22000438037591591</v>
      </c>
      <c r="T788" s="16"/>
      <c r="U788" s="41"/>
      <c r="V788" s="10">
        <f t="shared" si="568"/>
        <v>680</v>
      </c>
      <c r="W788" s="34">
        <v>87</v>
      </c>
      <c r="X788" s="33">
        <v>4256</v>
      </c>
      <c r="Y788" s="33"/>
      <c r="Z788" s="33">
        <f t="shared" ref="Z788" si="2782">SUM(W783:W788)</f>
        <v>1489</v>
      </c>
      <c r="AA788" s="33">
        <f t="shared" ref="AA788" si="2783">+AA787+W788</f>
        <v>893331</v>
      </c>
      <c r="AB788" s="33"/>
      <c r="AC788" s="46">
        <f t="shared" ref="AC788" si="2784">+AA788/H788</f>
        <v>1.2225084724163872E-2</v>
      </c>
      <c r="AD788" s="33"/>
      <c r="AE788" s="33">
        <f t="shared" ref="AE788" si="2785">+AA788/BW788</f>
        <v>1146.7663671373555</v>
      </c>
      <c r="AF788" s="50"/>
      <c r="AG788" s="33"/>
      <c r="AH788" s="33"/>
      <c r="AI788" s="213"/>
      <c r="AJ788" s="50"/>
      <c r="AL788" s="23">
        <f t="shared" ref="AL788" si="278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87">+AL788/AP787</f>
        <v>2.4195868054667657E-4</v>
      </c>
      <c r="AS788" s="25"/>
      <c r="AT788" s="25"/>
      <c r="AU788" s="24"/>
      <c r="AV788" s="298">
        <f t="shared" ref="AV788" si="2788">+AP788/H788</f>
        <v>1.1075146368858446</v>
      </c>
      <c r="AW788" s="298"/>
      <c r="AX788" s="24">
        <f t="shared" ref="AX788" si="2789">+AP788/BW788</f>
        <v>103889.71245186136</v>
      </c>
      <c r="AY788" s="308"/>
      <c r="BA788" s="65">
        <f t="shared" ref="BA788" si="2790">+BC788-BC787</f>
        <v>222193</v>
      </c>
      <c r="BB788" s="66"/>
      <c r="BC788" s="66">
        <v>1011322441</v>
      </c>
      <c r="BD788" s="66"/>
      <c r="BE788" s="66">
        <f t="shared" ref="BE788" si="2791">+D788</f>
        <v>31143</v>
      </c>
      <c r="BF788" s="66"/>
      <c r="BG788" s="144">
        <f t="shared" ref="BG788" si="279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93">+BC788/BW788</f>
        <v>1298231.6315789474</v>
      </c>
      <c r="BO788" s="66"/>
      <c r="BP788" s="66">
        <f t="shared" ref="BP788" si="2794">+BP787+BE788</f>
        <v>72166626</v>
      </c>
      <c r="BQ788" s="66"/>
      <c r="BR788" s="435">
        <f t="shared" ref="BR788" si="2795">+BP788/BC788</f>
        <v>7.1358671650399969E-2</v>
      </c>
      <c r="BS788" s="66"/>
      <c r="BT788" s="75"/>
      <c r="BU788" s="170"/>
      <c r="BV788" s="1"/>
      <c r="BW788" s="61">
        <f t="shared" si="1554"/>
        <v>779</v>
      </c>
      <c r="BY788" s="56"/>
      <c r="BZ788" s="1"/>
      <c r="CA788" s="61"/>
    </row>
    <row r="789" spans="2:79" x14ac:dyDescent="0.3">
      <c r="B789" s="347">
        <f t="shared" si="2435"/>
        <v>44689</v>
      </c>
      <c r="C789" s="61"/>
      <c r="D789" s="17">
        <v>14008</v>
      </c>
      <c r="E789" s="16"/>
      <c r="F789" s="16"/>
      <c r="G789" s="16"/>
      <c r="H789" s="16">
        <f t="shared" ref="H789" si="2796">+H788+D789</f>
        <v>73087612</v>
      </c>
      <c r="I789" s="16"/>
      <c r="J789" s="436">
        <f t="shared" ref="J789" si="2797">+D789/H788</f>
        <v>1.9169712773438682E-4</v>
      </c>
      <c r="K789" s="16"/>
      <c r="L789" s="16"/>
      <c r="M789" s="16"/>
      <c r="N789" s="16">
        <f t="shared" ref="N789" si="2798">SUM(D783:D789)</f>
        <v>365491</v>
      </c>
      <c r="O789" s="16">
        <f t="shared" ref="O789" si="2799">+H789/BW789</f>
        <v>93702.066666666666</v>
      </c>
      <c r="P789" s="41"/>
      <c r="Q789" s="17">
        <f t="shared" ref="Q789" si="2800">SUM(D783:D789)</f>
        <v>365491</v>
      </c>
      <c r="R789" s="16"/>
      <c r="S789" s="60">
        <f t="shared" ref="S789" si="2801">+(Q789-Q782)/Q782</f>
        <v>0.20016878302187283</v>
      </c>
      <c r="T789" s="16"/>
      <c r="U789" s="41"/>
      <c r="V789" s="10">
        <f t="shared" si="568"/>
        <v>681</v>
      </c>
      <c r="W789" s="34">
        <v>21</v>
      </c>
      <c r="X789" s="33">
        <v>4256</v>
      </c>
      <c r="Y789" s="33"/>
      <c r="Z789" s="33">
        <f t="shared" ref="Z789" si="2802">SUM(W784:W789)</f>
        <v>1388</v>
      </c>
      <c r="AA789" s="33">
        <f t="shared" ref="AA789" si="2803">+AA788+W789</f>
        <v>893352</v>
      </c>
      <c r="AB789" s="33"/>
      <c r="AC789" s="46">
        <f t="shared" ref="AC789" si="2804">+AA789/H789</f>
        <v>1.2223028986088642E-2</v>
      </c>
      <c r="AD789" s="33"/>
      <c r="AE789" s="33">
        <f t="shared" ref="AE789" si="2805">+AA789/BW789</f>
        <v>1145.323076923077</v>
      </c>
      <c r="AF789" s="50"/>
      <c r="AG789" s="33"/>
      <c r="AH789" s="33"/>
      <c r="AI789" s="213"/>
      <c r="AJ789" s="50"/>
      <c r="AL789" s="23">
        <f t="shared" ref="AL789" si="280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807">+AL789/AP788</f>
        <v>1.8251556040605219E-4</v>
      </c>
      <c r="AS789" s="25"/>
      <c r="AT789" s="25"/>
      <c r="AU789" s="24"/>
      <c r="AV789" s="298">
        <f t="shared" ref="AV789" si="2808">+AP789/H789</f>
        <v>1.1075044701145798</v>
      </c>
      <c r="AW789" s="298"/>
      <c r="AX789" s="24">
        <f t="shared" ref="AX789" si="2809">+AP789/BW789</f>
        <v>103775.4576923077</v>
      </c>
      <c r="AY789" s="308"/>
      <c r="BA789" s="65">
        <f t="shared" ref="BA789" si="2810">+BC789-BC788</f>
        <v>162565</v>
      </c>
      <c r="BB789" s="66"/>
      <c r="BC789" s="66">
        <v>1011485006</v>
      </c>
      <c r="BD789" s="66"/>
      <c r="BE789" s="66">
        <f t="shared" ref="BE789" si="2811">+D789</f>
        <v>14008</v>
      </c>
      <c r="BF789" s="66"/>
      <c r="BG789" s="144">
        <f t="shared" ref="BG789" si="281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13">+BC789/BW789</f>
        <v>1296775.6487179487</v>
      </c>
      <c r="BO789" s="66"/>
      <c r="BP789" s="66">
        <f t="shared" ref="BP789" si="2814">+BP788+BE789</f>
        <v>72180634</v>
      </c>
      <c r="BQ789" s="66"/>
      <c r="BR789" s="435">
        <f t="shared" ref="BR789" si="2815">+BP789/BC789</f>
        <v>7.1361051890867083E-2</v>
      </c>
      <c r="BS789" s="66"/>
      <c r="BT789" s="75"/>
      <c r="BU789" s="170"/>
      <c r="BV789" s="1"/>
      <c r="BW789" s="61">
        <f t="shared" si="1554"/>
        <v>780</v>
      </c>
      <c r="BY789" s="56"/>
      <c r="BZ789" s="1"/>
      <c r="CA789" s="61"/>
    </row>
    <row r="790" spans="2:79" x14ac:dyDescent="0.3">
      <c r="B790" s="158">
        <f t="shared" si="2435"/>
        <v>44690</v>
      </c>
      <c r="C790" s="61"/>
      <c r="D790" s="17">
        <v>60988</v>
      </c>
      <c r="E790" s="16"/>
      <c r="F790" s="16"/>
      <c r="G790" s="16"/>
      <c r="H790" s="16">
        <f t="shared" ref="H790" si="2816">+H789+D790</f>
        <v>73148600</v>
      </c>
      <c r="I790" s="16"/>
      <c r="J790" s="436">
        <f t="shared" ref="J790" si="2817">+D790/H789</f>
        <v>8.3445057693224398E-4</v>
      </c>
      <c r="K790" s="16"/>
      <c r="L790" s="16"/>
      <c r="M790" s="16"/>
      <c r="N790" s="16">
        <f t="shared" ref="N790" si="2818">SUM(D784:D790)</f>
        <v>385695</v>
      </c>
      <c r="O790" s="16">
        <f t="shared" ref="O790" si="2819">+H790/BW790</f>
        <v>93660.179257362353</v>
      </c>
      <c r="P790" s="41"/>
      <c r="Q790" s="17">
        <f t="shared" ref="Q790" si="2820">SUM(D784:D790)</f>
        <v>385695</v>
      </c>
      <c r="R790" s="16"/>
      <c r="S790" s="60">
        <f t="shared" ref="S790" si="2821">+(Q790-Q783)/Q783</f>
        <v>0.24253807073892833</v>
      </c>
      <c r="T790" s="16"/>
      <c r="U790" s="41"/>
      <c r="V790" s="10">
        <f t="shared" si="568"/>
        <v>682</v>
      </c>
      <c r="W790" s="34">
        <v>125</v>
      </c>
      <c r="X790" s="33">
        <v>4256</v>
      </c>
      <c r="Y790" s="33"/>
      <c r="Z790" s="33">
        <f t="shared" ref="Z790" si="2822">SUM(W785:W790)</f>
        <v>1084</v>
      </c>
      <c r="AA790" s="33">
        <f t="shared" ref="AA790" si="2823">+AA789+W790</f>
        <v>893477</v>
      </c>
      <c r="AB790" s="33"/>
      <c r="AC790" s="46">
        <f t="shared" ref="AC790" si="2824">+AA790/H790</f>
        <v>1.2214546826596819E-2</v>
      </c>
      <c r="AD790" s="33"/>
      <c r="AE790" s="33">
        <f t="shared" ref="AE790" si="2825">+AA790/BW790</f>
        <v>1144.0166453265044</v>
      </c>
      <c r="AF790" s="50"/>
      <c r="AG790" s="33"/>
      <c r="AH790" s="33"/>
      <c r="AI790" s="213"/>
      <c r="AJ790" s="50"/>
      <c r="AL790" s="23">
        <f t="shared" ref="AL790" si="282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27">+AL790/AP789</f>
        <v>9.4188813008836368E-4</v>
      </c>
      <c r="AS790" s="25"/>
      <c r="AT790" s="25"/>
      <c r="AU790" s="24"/>
      <c r="AV790" s="298">
        <f t="shared" ref="AV790" si="2828">+AP790/H790</f>
        <v>1.1076233584784945</v>
      </c>
      <c r="AW790" s="298"/>
      <c r="AX790" s="24">
        <f t="shared" ref="AX790" si="2829">+AP790/BW790</f>
        <v>103740.20230473751</v>
      </c>
      <c r="AY790" s="308"/>
      <c r="BA790" s="65">
        <f t="shared" ref="BA790" si="2830">+BC790-BC789</f>
        <v>1387901</v>
      </c>
      <c r="BB790" s="66"/>
      <c r="BC790" s="66">
        <v>1012872907</v>
      </c>
      <c r="BD790" s="66"/>
      <c r="BE790" s="66">
        <f t="shared" ref="BE790" si="2831">+D790</f>
        <v>60988</v>
      </c>
      <c r="BF790" s="66"/>
      <c r="BG790" s="144">
        <f t="shared" ref="BG790" si="283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33">+BC790/BW790</f>
        <v>1296892.3265044815</v>
      </c>
      <c r="BO790" s="66"/>
      <c r="BP790" s="66">
        <f t="shared" ref="BP790" si="2834">+BP789+BE790</f>
        <v>72241622</v>
      </c>
      <c r="BQ790" s="66"/>
      <c r="BR790" s="435">
        <f t="shared" ref="BR790" si="2835">+BP790/BC790</f>
        <v>7.1323481456296869E-2</v>
      </c>
      <c r="BS790" s="66"/>
      <c r="BT790" s="75"/>
      <c r="BU790" s="170"/>
      <c r="BV790" s="1"/>
      <c r="BW790" s="61">
        <f t="shared" si="1554"/>
        <v>781</v>
      </c>
      <c r="BY790" s="56"/>
      <c r="BZ790" s="1"/>
      <c r="CA790" s="61"/>
    </row>
    <row r="791" spans="2:79" x14ac:dyDescent="0.3">
      <c r="B791" s="158">
        <f t="shared" si="2435"/>
        <v>44691</v>
      </c>
      <c r="C791" s="61"/>
      <c r="D791" s="17">
        <v>59954</v>
      </c>
      <c r="E791" s="16"/>
      <c r="F791" s="16"/>
      <c r="G791" s="16"/>
      <c r="H791" s="16">
        <f t="shared" ref="H791" si="2836">+H790+D791</f>
        <v>73208554</v>
      </c>
      <c r="I791" s="16"/>
      <c r="J791" s="436">
        <f t="shared" ref="J791" si="2837">+D791/H790</f>
        <v>8.1961924083304399E-4</v>
      </c>
      <c r="K791" s="16"/>
      <c r="L791" s="16"/>
      <c r="M791" s="16"/>
      <c r="N791" s="16">
        <f t="shared" ref="N791" si="2838">SUM(D785:D791)</f>
        <v>381618</v>
      </c>
      <c r="O791" s="16">
        <f t="shared" ref="O791" si="2839">+H791/BW791</f>
        <v>93617.076726342711</v>
      </c>
      <c r="P791" s="41"/>
      <c r="Q791" s="17">
        <f t="shared" ref="Q791" si="2840">SUM(D785:D791)</f>
        <v>381618</v>
      </c>
      <c r="R791" s="16"/>
      <c r="S791" s="60">
        <f t="shared" ref="S791" si="2841">+(Q791-Q784)/Q784</f>
        <v>0.1498015962687444</v>
      </c>
      <c r="T791" s="16"/>
      <c r="U791" s="41"/>
      <c r="V791" s="10">
        <f t="shared" si="568"/>
        <v>683</v>
      </c>
      <c r="W791" s="34">
        <v>279</v>
      </c>
      <c r="X791" s="33">
        <v>4256</v>
      </c>
      <c r="Y791" s="33"/>
      <c r="Z791" s="33">
        <f t="shared" ref="Z791" si="2842">SUM(W786:W791)</f>
        <v>1058</v>
      </c>
      <c r="AA791" s="33">
        <f t="shared" ref="AA791" si="2843">+AA790+W791</f>
        <v>893756</v>
      </c>
      <c r="AB791" s="33"/>
      <c r="AC791" s="46">
        <f t="shared" ref="AC791" si="2844">+AA791/H791</f>
        <v>1.2208354777776379E-2</v>
      </c>
      <c r="AD791" s="33"/>
      <c r="AE791" s="33">
        <f t="shared" ref="AE791" si="2845">+AA791/BW791</f>
        <v>1142.9104859335039</v>
      </c>
      <c r="AF791" s="50"/>
      <c r="AG791" s="33"/>
      <c r="AH791" s="33"/>
      <c r="AI791" s="213"/>
      <c r="AJ791" s="50"/>
      <c r="AL791" s="23">
        <f t="shared" ref="AL791" si="284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47">+AL791/AP790</f>
        <v>4.6895192657102721E-4</v>
      </c>
      <c r="AS791" s="25"/>
      <c r="AT791" s="25"/>
      <c r="AU791" s="24"/>
      <c r="AV791" s="298">
        <f t="shared" ref="AV791" si="2848">+AP791/H791</f>
        <v>1.1072352692555572</v>
      </c>
      <c r="AW791" s="298"/>
      <c r="AX791" s="24">
        <f t="shared" ref="AX791" si="2849">+AP791/BW791</f>
        <v>103656.12915601023</v>
      </c>
      <c r="AY791" s="308"/>
      <c r="BA791" s="65">
        <f t="shared" ref="BA791" si="2850">+BC791-BC790</f>
        <v>707727</v>
      </c>
      <c r="BB791" s="66"/>
      <c r="BC791" s="66">
        <v>1013580634</v>
      </c>
      <c r="BD791" s="66"/>
      <c r="BE791" s="66">
        <f t="shared" ref="BE791" si="2851">+D791</f>
        <v>59954</v>
      </c>
      <c r="BF791" s="66"/>
      <c r="BG791" s="144">
        <f t="shared" ref="BG791" si="285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53">+BC791/BW791</f>
        <v>1296138.9181585677</v>
      </c>
      <c r="BO791" s="66"/>
      <c r="BP791" s="66">
        <f t="shared" ref="BP791" si="2854">+BP790+BE791</f>
        <v>72301576</v>
      </c>
      <c r="BQ791" s="66"/>
      <c r="BR791" s="435">
        <f t="shared" ref="BR791" si="2855">+BP791/BC791</f>
        <v>7.1332830930942989E-2</v>
      </c>
      <c r="BS791" s="66"/>
      <c r="BT791" s="75"/>
      <c r="BU791" s="170"/>
      <c r="BV791" s="1"/>
      <c r="BW791" s="61">
        <f t="shared" si="1554"/>
        <v>782</v>
      </c>
      <c r="BY791" s="56"/>
      <c r="BZ791" s="1"/>
      <c r="CA791" s="61"/>
    </row>
    <row r="792" spans="2:79" x14ac:dyDescent="0.3">
      <c r="B792" s="158">
        <f t="shared" si="2435"/>
        <v>44692</v>
      </c>
      <c r="C792" s="61"/>
      <c r="D792" s="17">
        <v>87953</v>
      </c>
      <c r="E792" s="16"/>
      <c r="F792" s="16"/>
      <c r="G792" s="16"/>
      <c r="H792" s="16">
        <f t="shared" ref="H792" si="2856">+H791+D792</f>
        <v>73296507</v>
      </c>
      <c r="I792" s="16"/>
      <c r="J792" s="436">
        <f t="shared" ref="J792" si="2857">+D792/H791</f>
        <v>1.201403322349462E-3</v>
      </c>
      <c r="K792" s="16"/>
      <c r="L792" s="16"/>
      <c r="M792" s="16"/>
      <c r="N792" s="16">
        <f t="shared" ref="N792" si="2858">SUM(D786:D792)</f>
        <v>397773</v>
      </c>
      <c r="O792" s="16">
        <f t="shared" ref="O792" si="2859">+H792/BW792</f>
        <v>93609.842911877393</v>
      </c>
      <c r="P792" s="41"/>
      <c r="Q792" s="17">
        <f t="shared" ref="Q792" si="2860">SUM(D786:D792)</f>
        <v>397773</v>
      </c>
      <c r="R792" s="16"/>
      <c r="S792" s="60">
        <f t="shared" ref="S792" si="2861">+(Q792-Q785)/Q785</f>
        <v>0.14976919230313418</v>
      </c>
      <c r="T792" s="16"/>
      <c r="U792" s="41"/>
      <c r="V792" s="10">
        <f t="shared" si="568"/>
        <v>684</v>
      </c>
      <c r="W792" s="34">
        <v>226</v>
      </c>
      <c r="X792" s="33">
        <v>4256</v>
      </c>
      <c r="Y792" s="33"/>
      <c r="Z792" s="33">
        <f t="shared" ref="Z792" si="2862">SUM(W787:W792)</f>
        <v>1029</v>
      </c>
      <c r="AA792" s="33">
        <f t="shared" ref="AA792" si="2863">+AA791+W792</f>
        <v>893982</v>
      </c>
      <c r="AB792" s="33"/>
      <c r="AC792" s="46">
        <f t="shared" ref="AC792" si="2864">+AA792/H792</f>
        <v>1.2196788586391982E-2</v>
      </c>
      <c r="AD792" s="33"/>
      <c r="AE792" s="33">
        <f t="shared" ref="AE792" si="2865">+AA792/BW792</f>
        <v>1141.7394636015326</v>
      </c>
      <c r="AF792" s="50"/>
      <c r="AG792" s="33"/>
      <c r="AH792" s="33"/>
      <c r="AI792" s="213"/>
      <c r="AJ792" s="50"/>
      <c r="AL792" s="23">
        <f t="shared" ref="AL792" si="286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67">+AL792/AP791</f>
        <v>5.9466493166904796E-4</v>
      </c>
      <c r="AS792" s="25"/>
      <c r="AT792" s="25"/>
      <c r="AU792" s="24"/>
      <c r="AV792" s="298">
        <f t="shared" ref="AV792" si="2868">+AP792/H792</f>
        <v>1.1065642732470184</v>
      </c>
      <c r="AW792" s="298"/>
      <c r="AX792" s="24">
        <f t="shared" ref="AX792" si="2869">+AP792/BW792</f>
        <v>103585.30779054917</v>
      </c>
      <c r="AY792" s="308"/>
      <c r="BA792" s="65">
        <f t="shared" ref="BA792" si="2870">+BC792-BC791</f>
        <v>1160634</v>
      </c>
      <c r="BB792" s="66"/>
      <c r="BC792" s="66">
        <v>1014741268</v>
      </c>
      <c r="BD792" s="66"/>
      <c r="BE792" s="66">
        <f t="shared" ref="BE792" si="2871">+D792</f>
        <v>87953</v>
      </c>
      <c r="BF792" s="66"/>
      <c r="BG792" s="144">
        <f t="shared" ref="BG792" si="287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73">+BC792/BW792</f>
        <v>1295965.8595146872</v>
      </c>
      <c r="BO792" s="66"/>
      <c r="BP792" s="66">
        <f t="shared" ref="BP792" si="2874">+BP791+BE792</f>
        <v>72389529</v>
      </c>
      <c r="BQ792" s="66"/>
      <c r="BR792" s="435">
        <f t="shared" ref="BR792" si="2875">+BP792/BC792</f>
        <v>7.1337917637543047E-2</v>
      </c>
      <c r="BS792" s="66"/>
      <c r="BT792" s="75"/>
      <c r="BU792" s="170"/>
      <c r="BV792" s="1"/>
      <c r="BW792" s="61">
        <f t="shared" si="1554"/>
        <v>783</v>
      </c>
      <c r="BY792" s="56"/>
      <c r="BZ792" s="1"/>
      <c r="CA792" s="61"/>
    </row>
    <row r="793" spans="2:79" x14ac:dyDescent="0.3">
      <c r="B793" s="158">
        <f t="shared" si="2435"/>
        <v>44693</v>
      </c>
      <c r="C793" s="61"/>
      <c r="D793" s="17">
        <v>85830</v>
      </c>
      <c r="E793" s="16"/>
      <c r="F793" s="16"/>
      <c r="G793" s="16"/>
      <c r="H793" s="16">
        <f t="shared" ref="H793" si="2876">+H792+D793</f>
        <v>73382337</v>
      </c>
      <c r="I793" s="16"/>
      <c r="J793" s="436">
        <f t="shared" ref="J793" si="2877">+D793/H792</f>
        <v>1.170997139058755E-3</v>
      </c>
      <c r="K793" s="16"/>
      <c r="L793" s="16"/>
      <c r="M793" s="16"/>
      <c r="N793" s="16">
        <f t="shared" ref="N793" si="2878">SUM(D787:D793)</f>
        <v>416992</v>
      </c>
      <c r="O793" s="16">
        <f t="shared" ref="O793" si="2879">+H793/BW793</f>
        <v>93599.919642857145</v>
      </c>
      <c r="P793" s="41"/>
      <c r="Q793" s="17">
        <f t="shared" ref="Q793" si="2880">SUM(D787:D793)</f>
        <v>416992</v>
      </c>
      <c r="R793" s="16"/>
      <c r="S793" s="60">
        <f t="shared" ref="S793" si="2881">+(Q793-Q786)/Q786</f>
        <v>0.20126985590246768</v>
      </c>
      <c r="T793" s="16"/>
      <c r="U793" s="41"/>
      <c r="V793" s="10">
        <f t="shared" si="568"/>
        <v>685</v>
      </c>
      <c r="W793" s="34">
        <v>222</v>
      </c>
      <c r="X793" s="33">
        <v>4256</v>
      </c>
      <c r="Y793" s="33"/>
      <c r="Z793" s="33">
        <f t="shared" ref="Z793" si="2882">SUM(W788:W793)</f>
        <v>960</v>
      </c>
      <c r="AA793" s="33">
        <f t="shared" ref="AA793" si="2883">+AA792+W793</f>
        <v>894204</v>
      </c>
      <c r="AB793" s="33"/>
      <c r="AC793" s="46">
        <f t="shared" ref="AC793" si="2884">+AA793/H793</f>
        <v>1.2185548138103042E-2</v>
      </c>
      <c r="AD793" s="33"/>
      <c r="AE793" s="33">
        <f t="shared" ref="AE793" si="2885">+AA793/BW793</f>
        <v>1140.5663265306123</v>
      </c>
      <c r="AF793" s="50"/>
      <c r="AG793" s="33"/>
      <c r="AH793" s="33"/>
      <c r="AI793" s="213"/>
      <c r="AJ793" s="50"/>
      <c r="AL793" s="23">
        <f t="shared" ref="AL793" si="288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87">+AL793/AP792</f>
        <v>6.9528886772405782E-4</v>
      </c>
      <c r="AS793" s="25"/>
      <c r="AT793" s="25"/>
      <c r="AU793" s="24"/>
      <c r="AV793" s="298">
        <f t="shared" ref="AV793" si="2888">+AP793/H793</f>
        <v>1.106038487163471</v>
      </c>
      <c r="AW793" s="298"/>
      <c r="AX793" s="24">
        <f t="shared" ref="AX793" si="2889">+AP793/BW793</f>
        <v>103525.11352040817</v>
      </c>
      <c r="AY793" s="308"/>
      <c r="BA793" s="65">
        <f t="shared" ref="BA793" si="2890">+BC793-BC792</f>
        <v>523852</v>
      </c>
      <c r="BB793" s="66"/>
      <c r="BC793" s="66">
        <v>1015265120</v>
      </c>
      <c r="BD793" s="66"/>
      <c r="BE793" s="66">
        <f t="shared" ref="BE793" si="2891">+D793</f>
        <v>85830</v>
      </c>
      <c r="BF793" s="66"/>
      <c r="BG793" s="144">
        <f t="shared" ref="BG793" si="289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93">+BC793/BW793</f>
        <v>1294981.0204081633</v>
      </c>
      <c r="BO793" s="66"/>
      <c r="BP793" s="66">
        <f t="shared" ref="BP793" si="2894">+BP792+BE793</f>
        <v>72475359</v>
      </c>
      <c r="BQ793" s="66"/>
      <c r="BR793" s="435">
        <f t="shared" ref="BR793" si="2895">+BP793/BC793</f>
        <v>7.1385648509228808E-2</v>
      </c>
      <c r="BS793" s="66"/>
      <c r="BT793" s="75"/>
      <c r="BU793" s="170"/>
      <c r="BV793" s="1"/>
      <c r="BW793" s="61">
        <f t="shared" si="1554"/>
        <v>784</v>
      </c>
      <c r="BY793" s="56"/>
      <c r="BZ793" s="1"/>
      <c r="CA793" s="61"/>
    </row>
    <row r="794" spans="2:79" x14ac:dyDescent="0.3">
      <c r="B794" s="158">
        <f t="shared" si="2435"/>
        <v>44694</v>
      </c>
      <c r="C794" s="61"/>
      <c r="D794" s="17">
        <v>87595</v>
      </c>
      <c r="E794" s="16"/>
      <c r="F794" s="16"/>
      <c r="G794" s="16"/>
      <c r="H794" s="16">
        <f t="shared" ref="H794" si="2896">+H793+D794</f>
        <v>73469932</v>
      </c>
      <c r="I794" s="16"/>
      <c r="J794" s="436">
        <f t="shared" ref="J794" si="2897">+D794/H793</f>
        <v>1.1936796180257929E-3</v>
      </c>
      <c r="K794" s="16"/>
      <c r="L794" s="16"/>
      <c r="M794" s="16"/>
      <c r="N794" s="16">
        <f t="shared" ref="N794" si="2898">SUM(D788:D794)</f>
        <v>427471</v>
      </c>
      <c r="O794" s="16">
        <f t="shared" ref="O794" si="2899">+H794/BW794</f>
        <v>93592.270063694261</v>
      </c>
      <c r="P794" s="41"/>
      <c r="Q794" s="17">
        <f t="shared" ref="Q794" si="2900">SUM(D788:D794)</f>
        <v>427471</v>
      </c>
      <c r="R794" s="16"/>
      <c r="S794" s="60">
        <f t="shared" ref="S794" si="2901">+(Q794-Q787)/Q787</f>
        <v>0.18331400225329345</v>
      </c>
      <c r="T794" s="16"/>
      <c r="U794" s="41"/>
      <c r="V794" s="10">
        <f t="shared" si="568"/>
        <v>686</v>
      </c>
      <c r="W794" s="34">
        <v>272</v>
      </c>
      <c r="X794" s="33">
        <v>4256</v>
      </c>
      <c r="Y794" s="33"/>
      <c r="Z794" s="33">
        <f t="shared" ref="Z794" si="2902">SUM(W789:W794)</f>
        <v>1145</v>
      </c>
      <c r="AA794" s="33">
        <f t="shared" ref="AA794" si="2903">+AA793+W794</f>
        <v>894476</v>
      </c>
      <c r="AB794" s="33"/>
      <c r="AC794" s="46">
        <f t="shared" ref="AC794" si="2904">+AA794/H794</f>
        <v>1.2174722034586884E-2</v>
      </c>
      <c r="AD794" s="33"/>
      <c r="AE794" s="33">
        <f t="shared" ref="AE794" si="2905">+AA794/BW794</f>
        <v>1139.459872611465</v>
      </c>
      <c r="AF794" s="50"/>
      <c r="AG794" s="33"/>
      <c r="AH794" s="33"/>
      <c r="AI794" s="213"/>
      <c r="AJ794" s="50"/>
      <c r="AL794" s="23">
        <f t="shared" ref="AL794" si="290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907">+AL794/AP793</f>
        <v>5.0817059337950987E-4</v>
      </c>
      <c r="AS794" s="25"/>
      <c r="AT794" s="25"/>
      <c r="AU794" s="24"/>
      <c r="AV794" s="298">
        <f t="shared" ref="AV794" si="2908">+AP794/H794</f>
        <v>1.1052811917669938</v>
      </c>
      <c r="AW794" s="298"/>
      <c r="AX794" s="24">
        <f t="shared" ref="AX794" si="2909">+AP794/BW794</f>
        <v>103445.77579617835</v>
      </c>
      <c r="AY794" s="308"/>
      <c r="BA794" s="65">
        <f t="shared" ref="BA794" si="2910">+BC794-BC793</f>
        <v>1387299</v>
      </c>
      <c r="BB794" s="66"/>
      <c r="BC794" s="66">
        <v>1016652419</v>
      </c>
      <c r="BD794" s="66"/>
      <c r="BE794" s="66">
        <f t="shared" ref="BE794" si="2911">+D794</f>
        <v>87595</v>
      </c>
      <c r="BF794" s="66"/>
      <c r="BG794" s="144">
        <f t="shared" ref="BG794" si="291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13">+BC794/BW794</f>
        <v>1295098.6229299363</v>
      </c>
      <c r="BO794" s="66"/>
      <c r="BP794" s="66">
        <f t="shared" ref="BP794" si="2914">+BP793+BE794</f>
        <v>72562954</v>
      </c>
      <c r="BQ794" s="66"/>
      <c r="BR794" s="435">
        <f t="shared" ref="BR794" si="2915">+BP794/BC794</f>
        <v>7.1374397624877933E-2</v>
      </c>
      <c r="BS794" s="66"/>
      <c r="BT794" s="75"/>
      <c r="BU794" s="170"/>
      <c r="BV794" s="1"/>
      <c r="BW794" s="61">
        <f t="shared" si="1554"/>
        <v>785</v>
      </c>
      <c r="BY794" s="56"/>
      <c r="BZ794" s="1"/>
      <c r="CA794" s="61"/>
    </row>
    <row r="795" spans="2:79" x14ac:dyDescent="0.3">
      <c r="B795" s="158">
        <f t="shared" si="2435"/>
        <v>44695</v>
      </c>
      <c r="C795" s="61"/>
      <c r="D795" s="17">
        <v>26740</v>
      </c>
      <c r="E795" s="16"/>
      <c r="F795" s="16"/>
      <c r="G795" s="16"/>
      <c r="H795" s="16">
        <f t="shared" ref="H795" si="2916">+H794+D795</f>
        <v>73496672</v>
      </c>
      <c r="I795" s="16"/>
      <c r="J795" s="436">
        <f t="shared" ref="J795" si="2917">+D795/H794</f>
        <v>3.6395841498805255E-4</v>
      </c>
      <c r="K795" s="16"/>
      <c r="L795" s="16"/>
      <c r="M795" s="16"/>
      <c r="N795" s="16">
        <f t="shared" ref="N795" si="2918">SUM(D789:D795)</f>
        <v>423068</v>
      </c>
      <c r="O795" s="16">
        <f t="shared" ref="O795" si="2919">+H795/BW795</f>
        <v>93507.216284987284</v>
      </c>
      <c r="P795" s="41"/>
      <c r="Q795" s="17">
        <f t="shared" ref="Q795" si="2920">SUM(D789:D795)</f>
        <v>423068</v>
      </c>
      <c r="R795" s="16"/>
      <c r="S795" s="60">
        <f t="shared" ref="S795" si="2921">+(Q795-Q788)/Q788</f>
        <v>0.15076392458947724</v>
      </c>
      <c r="T795" s="16"/>
      <c r="U795" s="41"/>
      <c r="V795" s="10">
        <f t="shared" si="568"/>
        <v>687</v>
      </c>
      <c r="W795" s="34">
        <v>56</v>
      </c>
      <c r="X795" s="33">
        <v>4256</v>
      </c>
      <c r="Y795" s="33"/>
      <c r="Z795" s="33">
        <f t="shared" ref="Z795" si="2922">SUM(W790:W795)</f>
        <v>1180</v>
      </c>
      <c r="AA795" s="33">
        <f t="shared" ref="AA795" si="2923">+AA794+W795</f>
        <v>894532</v>
      </c>
      <c r="AB795" s="33"/>
      <c r="AC795" s="46">
        <f t="shared" ref="AC795" si="2924">+AA795/H795</f>
        <v>1.2171054493460601E-2</v>
      </c>
      <c r="AD795" s="33"/>
      <c r="AE795" s="33">
        <f t="shared" ref="AE795" si="2925">+AA795/BW795</f>
        <v>1138.0814249363868</v>
      </c>
      <c r="AF795" s="50"/>
      <c r="AG795" s="33"/>
      <c r="AH795" s="33"/>
      <c r="AI795" s="213"/>
      <c r="AJ795" s="50"/>
      <c r="AL795" s="23">
        <f t="shared" ref="AL795" si="292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27">+AL795/AP794</f>
        <v>4.8428091820134966E-4</v>
      </c>
      <c r="AS795" s="25"/>
      <c r="AT795" s="25"/>
      <c r="AU795" s="24"/>
      <c r="AV795" s="298">
        <f t="shared" ref="AV795" si="2928">+AP795/H795</f>
        <v>1.1054141335814498</v>
      </c>
      <c r="AW795" s="298"/>
      <c r="AX795" s="24">
        <f t="shared" ref="AX795" si="2929">+AP795/BW795</f>
        <v>103364.19847328245</v>
      </c>
      <c r="AY795" s="308"/>
      <c r="BA795" s="65">
        <f t="shared" ref="BA795" si="2930">+BC795-BC794</f>
        <v>230086</v>
      </c>
      <c r="BB795" s="66"/>
      <c r="BC795" s="66">
        <v>1016882505</v>
      </c>
      <c r="BD795" s="66"/>
      <c r="BE795" s="66">
        <f t="shared" ref="BE795" si="2931">+D795</f>
        <v>26740</v>
      </c>
      <c r="BF795" s="66"/>
      <c r="BG795" s="144">
        <f t="shared" ref="BG795" si="293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33">+BC795/BW795</f>
        <v>1293743.6450381679</v>
      </c>
      <c r="BO795" s="66"/>
      <c r="BP795" s="66">
        <f t="shared" ref="BP795" si="2934">+BP794+BE795</f>
        <v>72589694</v>
      </c>
      <c r="BQ795" s="66"/>
      <c r="BR795" s="435">
        <f t="shared" ref="BR795" si="2935">+BP795/BC795</f>
        <v>7.1384544077685755E-2</v>
      </c>
      <c r="BS795" s="66"/>
      <c r="BT795" s="75"/>
      <c r="BU795" s="170"/>
      <c r="BV795" s="1"/>
      <c r="BW795" s="61">
        <f t="shared" si="1554"/>
        <v>786</v>
      </c>
      <c r="BY795" s="56"/>
      <c r="BZ795" s="1"/>
      <c r="CA795" s="61"/>
    </row>
    <row r="796" spans="2:79" x14ac:dyDescent="0.3">
      <c r="B796" s="347">
        <f t="shared" si="2435"/>
        <v>44696</v>
      </c>
      <c r="C796" s="61"/>
      <c r="D796" s="17">
        <v>21356</v>
      </c>
      <c r="E796" s="16"/>
      <c r="F796" s="16"/>
      <c r="G796" s="16"/>
      <c r="H796" s="16">
        <f t="shared" ref="H796" si="2936">+H795+D796</f>
        <v>73518028</v>
      </c>
      <c r="I796" s="16"/>
      <c r="J796" s="436">
        <f t="shared" ref="J796" si="2937">+D796/H795</f>
        <v>2.9057097986695237E-4</v>
      </c>
      <c r="K796" s="16"/>
      <c r="L796" s="16"/>
      <c r="M796" s="16"/>
      <c r="N796" s="16">
        <f t="shared" ref="N796" si="2938">SUM(D790:D796)</f>
        <v>430416</v>
      </c>
      <c r="O796" s="16">
        <f t="shared" ref="O796" si="2939">+H796/BW796</f>
        <v>93415.537484116896</v>
      </c>
      <c r="P796" s="41"/>
      <c r="Q796" s="17">
        <f t="shared" ref="Q796" si="2940">SUM(D790:D796)</f>
        <v>430416</v>
      </c>
      <c r="R796" s="16"/>
      <c r="S796" s="60">
        <f t="shared" ref="S796" si="2941">+(Q796-Q789)/Q789</f>
        <v>0.1776377530500067</v>
      </c>
      <c r="T796" s="16"/>
      <c r="U796" s="41"/>
      <c r="V796" s="10">
        <f t="shared" si="568"/>
        <v>688</v>
      </c>
      <c r="W796" s="34">
        <v>24</v>
      </c>
      <c r="X796" s="33">
        <v>4256</v>
      </c>
      <c r="Y796" s="33"/>
      <c r="Z796" s="33">
        <f t="shared" ref="Z796" si="2942">SUM(W791:W796)</f>
        <v>1079</v>
      </c>
      <c r="AA796" s="33">
        <f t="shared" ref="AA796" si="2943">+AA795+W796</f>
        <v>894556</v>
      </c>
      <c r="AB796" s="33"/>
      <c r="AC796" s="46">
        <f t="shared" ref="AC796" si="2944">+AA796/H796</f>
        <v>1.2167845416093044E-2</v>
      </c>
      <c r="AD796" s="33"/>
      <c r="AE796" s="33">
        <f t="shared" ref="AE796" si="2945">+AA796/BW796</f>
        <v>1136.6658195679797</v>
      </c>
      <c r="AF796" s="50"/>
      <c r="AG796" s="33"/>
      <c r="AH796" s="33"/>
      <c r="AI796" s="213"/>
      <c r="AJ796" s="50"/>
      <c r="AL796" s="23">
        <f t="shared" ref="AL796" si="294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47">+AL796/AP795</f>
        <v>4.7639057823900419E-4</v>
      </c>
      <c r="AS796" s="25"/>
      <c r="AT796" s="25"/>
      <c r="AU796" s="24"/>
      <c r="AV796" s="298">
        <f t="shared" ref="AV796" si="2948">+AP796/H796</f>
        <v>1.105619481523634</v>
      </c>
      <c r="AW796" s="298"/>
      <c r="AX796" s="24">
        <f t="shared" ref="AX796" si="2949">+AP796/BW796</f>
        <v>103282.03811944091</v>
      </c>
      <c r="AY796" s="308"/>
      <c r="BA796" s="65">
        <f t="shared" ref="BA796" si="2950">+BC796-BC795</f>
        <v>142389</v>
      </c>
      <c r="BB796" s="66"/>
      <c r="BC796" s="66">
        <v>1017024894</v>
      </c>
      <c r="BD796" s="66"/>
      <c r="BE796" s="66">
        <f t="shared" ref="BE796" si="2951">+D796</f>
        <v>21356</v>
      </c>
      <c r="BF796" s="66"/>
      <c r="BG796" s="144">
        <f t="shared" ref="BG796" si="295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53">+BC796/BW796</f>
        <v>1292280.6785260483</v>
      </c>
      <c r="BO796" s="66"/>
      <c r="BP796" s="66">
        <f t="shared" ref="BP796" si="2954">+BP795+BE796</f>
        <v>72611050</v>
      </c>
      <c r="BQ796" s="66"/>
      <c r="BR796" s="435">
        <f t="shared" ref="BR796" si="2955">+BP796/BC796</f>
        <v>7.139554835714769E-2</v>
      </c>
      <c r="BS796" s="66"/>
      <c r="BT796" s="75"/>
      <c r="BU796" s="170"/>
      <c r="BV796" s="1"/>
      <c r="BW796" s="61">
        <f t="shared" si="1554"/>
        <v>787</v>
      </c>
      <c r="BY796" s="56"/>
      <c r="BZ796" s="1"/>
      <c r="CA796" s="61"/>
    </row>
    <row r="797" spans="2:79" x14ac:dyDescent="0.3">
      <c r="B797" s="158">
        <f t="shared" si="2435"/>
        <v>44697</v>
      </c>
      <c r="C797" s="61"/>
      <c r="D797" s="17">
        <v>64933</v>
      </c>
      <c r="E797" s="16"/>
      <c r="F797" s="16"/>
      <c r="G797" s="16"/>
      <c r="H797" s="16">
        <f t="shared" ref="H797" si="2956">+H796+D797</f>
        <v>73582961</v>
      </c>
      <c r="I797" s="16"/>
      <c r="J797" s="436">
        <f t="shared" ref="J797" si="2957">+D797/H796</f>
        <v>8.8322554027156443E-4</v>
      </c>
      <c r="K797" s="16"/>
      <c r="L797" s="16"/>
      <c r="M797" s="16"/>
      <c r="N797" s="16">
        <f t="shared" ref="N797" si="2958">SUM(D791:D797)</f>
        <v>434361</v>
      </c>
      <c r="O797" s="16">
        <f t="shared" ref="O797" si="2959">+H797/BW797</f>
        <v>93379.392131979694</v>
      </c>
      <c r="P797" s="41"/>
      <c r="Q797" s="17">
        <f t="shared" ref="Q797" si="2960">SUM(D791:D797)</f>
        <v>434361</v>
      </c>
      <c r="R797" s="16"/>
      <c r="S797" s="60">
        <f t="shared" ref="S797" si="2961">+(Q797-Q790)/Q790</f>
        <v>0.12617741998211021</v>
      </c>
      <c r="T797" s="16"/>
      <c r="U797" s="41"/>
      <c r="V797" s="10">
        <f t="shared" si="568"/>
        <v>689</v>
      </c>
      <c r="W797" s="34">
        <v>107</v>
      </c>
      <c r="X797" s="33">
        <v>4256</v>
      </c>
      <c r="Y797" s="33"/>
      <c r="Z797" s="33">
        <f t="shared" ref="Z797" si="2962">SUM(W792:W797)</f>
        <v>907</v>
      </c>
      <c r="AA797" s="33">
        <f t="shared" ref="AA797" si="2963">+AA796+W797</f>
        <v>894663</v>
      </c>
      <c r="AB797" s="33"/>
      <c r="AC797" s="46">
        <f t="shared" ref="AC797" si="2964">+AA797/H797</f>
        <v>1.2158562088850978E-2</v>
      </c>
      <c r="AD797" s="33"/>
      <c r="AE797" s="33">
        <f t="shared" ref="AE797" si="2965">+AA797/BW797</f>
        <v>1135.3591370558377</v>
      </c>
      <c r="AF797" s="50"/>
      <c r="AG797" s="33"/>
      <c r="AH797" s="33"/>
      <c r="AI797" s="213"/>
      <c r="AJ797" s="50"/>
      <c r="AL797" s="23">
        <f t="shared" ref="AL797" si="296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67">+AL797/AP796</f>
        <v>5.4337339371630195E-4</v>
      </c>
      <c r="AS797" s="25"/>
      <c r="AT797" s="25"/>
      <c r="AU797" s="24"/>
      <c r="AV797" s="298">
        <f t="shared" ref="AV797" si="2968">+AP797/H797</f>
        <v>1.1052440659461911</v>
      </c>
      <c r="AW797" s="298"/>
      <c r="AX797" s="24">
        <f t="shared" ref="AX797" si="2969">+AP797/BW797</f>
        <v>103207.019035533</v>
      </c>
      <c r="AY797" s="308"/>
      <c r="BA797" s="65">
        <f t="shared" ref="BA797" si="2970">+BC797-BC796</f>
        <v>625649</v>
      </c>
      <c r="BB797" s="66"/>
      <c r="BC797" s="66">
        <v>1017650543</v>
      </c>
      <c r="BD797" s="66"/>
      <c r="BE797" s="66">
        <f t="shared" ref="BE797" si="2971">+D797</f>
        <v>64933</v>
      </c>
      <c r="BF797" s="66"/>
      <c r="BG797" s="144">
        <f t="shared" ref="BG797" si="297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73">+BC797/BW797</f>
        <v>1291434.6992385788</v>
      </c>
      <c r="BO797" s="66"/>
      <c r="BP797" s="66">
        <f t="shared" ref="BP797" si="2974">+BP796+BE797</f>
        <v>72675983</v>
      </c>
      <c r="BQ797" s="66"/>
      <c r="BR797" s="435">
        <f t="shared" ref="BR797" si="2975">+BP797/BC797</f>
        <v>7.1415461328948562E-2</v>
      </c>
      <c r="BS797" s="66"/>
      <c r="BT797" s="75"/>
      <c r="BU797" s="170"/>
      <c r="BV797" s="1"/>
      <c r="BW797" s="61">
        <f t="shared" si="1554"/>
        <v>788</v>
      </c>
      <c r="BY797" s="56"/>
      <c r="BZ797" s="1"/>
      <c r="CA797" s="61"/>
    </row>
    <row r="798" spans="2:79" x14ac:dyDescent="0.3">
      <c r="B798" s="158">
        <f t="shared" si="2435"/>
        <v>44698</v>
      </c>
      <c r="C798" s="61"/>
      <c r="D798" s="17">
        <v>75368</v>
      </c>
      <c r="E798" s="16"/>
      <c r="F798" s="16"/>
      <c r="G798" s="16"/>
      <c r="H798" s="16">
        <f t="shared" ref="H798" si="2976">+H797+D798</f>
        <v>73658329</v>
      </c>
      <c r="I798" s="16"/>
      <c r="J798" s="436">
        <f t="shared" ref="J798" si="2977">+D798/H797</f>
        <v>1.0242588634072499E-3</v>
      </c>
      <c r="K798" s="16"/>
      <c r="L798" s="16"/>
      <c r="M798" s="16"/>
      <c r="N798" s="16">
        <f t="shared" ref="N798" si="2978">SUM(D792:D798)</f>
        <v>449775</v>
      </c>
      <c r="O798" s="16">
        <f t="shared" ref="O798" si="2979">+H798/BW798</f>
        <v>93356.564005069711</v>
      </c>
      <c r="P798" s="41"/>
      <c r="Q798" s="17">
        <f t="shared" ref="Q798" si="2980">SUM(D792:D798)</f>
        <v>449775</v>
      </c>
      <c r="R798" s="16"/>
      <c r="S798" s="60">
        <f t="shared" ref="S798" si="2981">+(Q798-Q791)/Q791</f>
        <v>0.178600066034621</v>
      </c>
      <c r="T798" s="16"/>
      <c r="U798" s="41"/>
      <c r="V798" s="10">
        <f t="shared" si="568"/>
        <v>690</v>
      </c>
      <c r="W798" s="34">
        <v>305</v>
      </c>
      <c r="X798" s="33">
        <v>4256</v>
      </c>
      <c r="Y798" s="33"/>
      <c r="Z798" s="33">
        <f t="shared" ref="Z798" si="2982">SUM(W793:W798)</f>
        <v>986</v>
      </c>
      <c r="AA798" s="33">
        <f t="shared" ref="AA798" si="2983">+AA797+W798</f>
        <v>894968</v>
      </c>
      <c r="AB798" s="33"/>
      <c r="AC798" s="46">
        <f t="shared" ref="AC798" si="2984">+AA798/H798</f>
        <v>1.2150262056582902E-2</v>
      </c>
      <c r="AD798" s="33"/>
      <c r="AE798" s="33">
        <f t="shared" ref="AE798" si="2985">+AA798/BW798</f>
        <v>1134.3067173637517</v>
      </c>
      <c r="AF798" s="50"/>
      <c r="AG798" s="33"/>
      <c r="AH798" s="33"/>
      <c r="AI798" s="213"/>
      <c r="AJ798" s="50"/>
      <c r="AL798" s="23">
        <f t="shared" ref="AL798" si="298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87">+AL798/AP797</f>
        <v>6.5960767754121312E-4</v>
      </c>
      <c r="AS798" s="25"/>
      <c r="AT798" s="25"/>
      <c r="AU798" s="24"/>
      <c r="AV798" s="298">
        <f t="shared" ref="AV798" si="2988">+AP798/H798</f>
        <v>1.1048414497700592</v>
      </c>
      <c r="AW798" s="298"/>
      <c r="AX798" s="24">
        <f t="shared" ref="AX798" si="2989">+AP798/BW798</f>
        <v>103144.20152091255</v>
      </c>
      <c r="AY798" s="308"/>
      <c r="BA798" s="65">
        <f t="shared" ref="BA798" si="2990">+BC798-BC797</f>
        <v>1581623</v>
      </c>
      <c r="BB798" s="66"/>
      <c r="BC798" s="66">
        <v>1019232166</v>
      </c>
      <c r="BD798" s="66"/>
      <c r="BE798" s="66">
        <f t="shared" ref="BE798" si="2991">+D798</f>
        <v>75368</v>
      </c>
      <c r="BF798" s="66"/>
      <c r="BG798" s="144">
        <f t="shared" ref="BG798" si="299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93">+BC798/BW798</f>
        <v>1291802.4917617238</v>
      </c>
      <c r="BO798" s="66"/>
      <c r="BP798" s="66">
        <f t="shared" ref="BP798" si="2994">+BP797+BE798</f>
        <v>72751351</v>
      </c>
      <c r="BQ798" s="66"/>
      <c r="BR798" s="435">
        <f t="shared" ref="BR798" si="2995">+BP798/BC798</f>
        <v>7.1378586181708087E-2</v>
      </c>
      <c r="BS798" s="66"/>
      <c r="BT798" s="75"/>
      <c r="BU798" s="170"/>
      <c r="BV798" s="1"/>
      <c r="BW798" s="61">
        <f t="shared" si="1554"/>
        <v>789</v>
      </c>
      <c r="BY798" s="56"/>
      <c r="BZ798" s="1"/>
      <c r="CA798" s="61"/>
    </row>
    <row r="799" spans="2:79" x14ac:dyDescent="0.3">
      <c r="B799" s="158">
        <f t="shared" si="2435"/>
        <v>44699</v>
      </c>
      <c r="C799" s="61"/>
      <c r="D799" s="17">
        <v>103958</v>
      </c>
      <c r="E799" s="16"/>
      <c r="F799" s="16"/>
      <c r="G799" s="16"/>
      <c r="H799" s="16">
        <f t="shared" ref="H799" si="2996">+H798+D799</f>
        <v>73762287</v>
      </c>
      <c r="I799" s="16"/>
      <c r="J799" s="436">
        <f t="shared" ref="J799" si="2997">+D799/H798</f>
        <v>1.4113543086213644E-3</v>
      </c>
      <c r="K799" s="16"/>
      <c r="L799" s="16"/>
      <c r="M799" s="16"/>
      <c r="N799" s="16">
        <f t="shared" ref="N799" si="2998">SUM(D793:D799)</f>
        <v>465780</v>
      </c>
      <c r="O799" s="16">
        <f t="shared" ref="O799" si="2999">+H799/BW799</f>
        <v>93369.983544303803</v>
      </c>
      <c r="P799" s="41"/>
      <c r="Q799" s="17">
        <f t="shared" ref="Q799" si="3000">SUM(D793:D799)</f>
        <v>465780</v>
      </c>
      <c r="R799" s="16"/>
      <c r="S799" s="60">
        <f t="shared" ref="S799" si="3001">+(Q799-Q792)/Q792</f>
        <v>0.17096937197849024</v>
      </c>
      <c r="T799" s="16"/>
      <c r="U799" s="41"/>
      <c r="V799" s="10">
        <f t="shared" si="568"/>
        <v>691</v>
      </c>
      <c r="W799" s="34">
        <v>273</v>
      </c>
      <c r="X799" s="33">
        <v>4256</v>
      </c>
      <c r="Y799" s="33"/>
      <c r="Z799" s="33">
        <f t="shared" ref="Z799" si="3002">SUM(W794:W799)</f>
        <v>1037</v>
      </c>
      <c r="AA799" s="33">
        <f t="shared" ref="AA799" si="3003">+AA798+W799</f>
        <v>895241</v>
      </c>
      <c r="AB799" s="33"/>
      <c r="AC799" s="46">
        <f t="shared" ref="AC799" si="3004">+AA799/H799</f>
        <v>1.2136838978433519E-2</v>
      </c>
      <c r="AD799" s="33"/>
      <c r="AE799" s="33">
        <f t="shared" ref="AE799" si="3005">+AA799/BW799</f>
        <v>1133.2164556962025</v>
      </c>
      <c r="AF799" s="50"/>
      <c r="AG799" s="33"/>
      <c r="AH799" s="33"/>
      <c r="AI799" s="213"/>
      <c r="AJ799" s="50"/>
      <c r="AL799" s="23">
        <f t="shared" ref="AL799" si="300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3007">+AL799/AP798</f>
        <v>7.0444155883253752E-4</v>
      </c>
      <c r="AS799" s="25"/>
      <c r="AT799" s="25"/>
      <c r="AU799" s="24"/>
      <c r="AV799" s="298">
        <f t="shared" ref="AV799" si="3008">+AP799/H799</f>
        <v>1.1040615240142975</v>
      </c>
      <c r="AW799" s="298"/>
      <c r="AX799" s="24">
        <f t="shared" ref="AX799" si="3009">+AP799/BW799</f>
        <v>103086.20632911392</v>
      </c>
      <c r="AY799" s="308"/>
      <c r="BA799" s="65">
        <f t="shared" ref="BA799" si="3010">+BC799-BC798</f>
        <v>1083970</v>
      </c>
      <c r="BB799" s="66"/>
      <c r="BC799" s="66">
        <v>1020316136</v>
      </c>
      <c r="BD799" s="66"/>
      <c r="BE799" s="66">
        <f t="shared" ref="BE799" si="3011">+D799</f>
        <v>103958</v>
      </c>
      <c r="BF799" s="66"/>
      <c r="BG799" s="144">
        <f t="shared" ref="BG799" si="301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13">+BC799/BW799</f>
        <v>1291539.4126582278</v>
      </c>
      <c r="BO799" s="66"/>
      <c r="BP799" s="66">
        <f t="shared" ref="BP799" si="3014">+BP798+BE799</f>
        <v>72855309</v>
      </c>
      <c r="BQ799" s="66"/>
      <c r="BR799" s="435">
        <f t="shared" ref="BR799" si="3015">+BP799/BC799</f>
        <v>7.1404642570506202E-2</v>
      </c>
      <c r="BS799" s="66"/>
      <c r="BT799" s="75"/>
      <c r="BU799" s="170"/>
      <c r="BV799" s="1"/>
      <c r="BW799" s="61">
        <f t="shared" si="1554"/>
        <v>790</v>
      </c>
      <c r="BY799" s="56"/>
      <c r="BZ799" s="1"/>
      <c r="CA799" s="61"/>
    </row>
    <row r="800" spans="2:79" x14ac:dyDescent="0.3">
      <c r="B800" s="158">
        <f t="shared" si="2435"/>
        <v>44700</v>
      </c>
      <c r="C800" s="61"/>
      <c r="D800" s="17">
        <v>109153</v>
      </c>
      <c r="E800" s="16"/>
      <c r="F800" s="16"/>
      <c r="G800" s="16"/>
      <c r="H800" s="16">
        <f t="shared" ref="H800" si="3016">+H799+D800</f>
        <v>73871440</v>
      </c>
      <c r="I800" s="16"/>
      <c r="J800" s="436">
        <f t="shared" ref="J800" si="3017">+D800/H799</f>
        <v>1.4797941392462519E-3</v>
      </c>
      <c r="K800" s="16"/>
      <c r="L800" s="16"/>
      <c r="M800" s="16"/>
      <c r="N800" s="16">
        <f t="shared" ref="N800" si="3018">SUM(D794:D800)</f>
        <v>489103</v>
      </c>
      <c r="O800" s="16">
        <f t="shared" ref="O800" si="3019">+H800/BW800</f>
        <v>93389.936788874838</v>
      </c>
      <c r="P800" s="41"/>
      <c r="Q800" s="17">
        <f t="shared" ref="Q800" si="3020">SUM(D794:D800)</f>
        <v>489103</v>
      </c>
      <c r="R800" s="16"/>
      <c r="S800" s="60">
        <f t="shared" ref="S800" si="3021">+(Q800-Q793)/Q793</f>
        <v>0.17293137518225768</v>
      </c>
      <c r="T800" s="16"/>
      <c r="U800" s="41"/>
      <c r="V800" s="10">
        <f t="shared" si="568"/>
        <v>692</v>
      </c>
      <c r="W800" s="34">
        <v>257</v>
      </c>
      <c r="X800" s="33">
        <v>4256</v>
      </c>
      <c r="Y800" s="33"/>
      <c r="Z800" s="33">
        <f t="shared" ref="Z800" si="3022">SUM(W795:W800)</f>
        <v>1022</v>
      </c>
      <c r="AA800" s="33">
        <f t="shared" ref="AA800" si="3023">+AA799+W800</f>
        <v>895498</v>
      </c>
      <c r="AB800" s="33"/>
      <c r="AC800" s="46">
        <f t="shared" ref="AC800" si="3024">+AA800/H800</f>
        <v>1.2122384510170642E-2</v>
      </c>
      <c r="AD800" s="33"/>
      <c r="AE800" s="33">
        <f t="shared" ref="AE800" si="3025">+AA800/BW800</f>
        <v>1132.1087231352717</v>
      </c>
      <c r="AF800" s="50"/>
      <c r="AG800" s="33"/>
      <c r="AH800" s="33"/>
      <c r="AI800" s="213"/>
      <c r="AJ800" s="50"/>
      <c r="AL800" s="23">
        <f t="shared" ref="AL800" si="302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27">+AL800/AP799</f>
        <v>6.7952221333053401E-4</v>
      </c>
      <c r="AS800" s="25"/>
      <c r="AT800" s="25"/>
      <c r="AU800" s="24"/>
      <c r="AV800" s="298">
        <f t="shared" ref="AV800" si="3028">+AP800/H800</f>
        <v>1.1031792801115019</v>
      </c>
      <c r="AW800" s="298"/>
      <c r="AX800" s="24">
        <f t="shared" ref="AX800" si="3029">+AP800/BW800</f>
        <v>103025.84323640961</v>
      </c>
      <c r="AY800" s="308"/>
      <c r="BA800" s="65">
        <f t="shared" ref="BA800" si="3030">+BC800-BC799</f>
        <v>556899</v>
      </c>
      <c r="BB800" s="66"/>
      <c r="BC800" s="66">
        <v>1020873035</v>
      </c>
      <c r="BD800" s="66"/>
      <c r="BE800" s="66">
        <f t="shared" ref="BE800" si="3031">+D800</f>
        <v>109153</v>
      </c>
      <c r="BF800" s="66"/>
      <c r="BG800" s="144">
        <f t="shared" ref="BG800" si="303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33">+BC800/BW800</f>
        <v>1290610.6637168142</v>
      </c>
      <c r="BO800" s="66"/>
      <c r="BP800" s="66">
        <f t="shared" ref="BP800" si="3034">+BP799+BE800</f>
        <v>72964462</v>
      </c>
      <c r="BQ800" s="66"/>
      <c r="BR800" s="435">
        <f t="shared" ref="BR800" si="3035">+BP800/BC800</f>
        <v>7.1472611674967004E-2</v>
      </c>
      <c r="BS800" s="66"/>
      <c r="BT800" s="75"/>
      <c r="BU800" s="170"/>
      <c r="BV800" s="1"/>
      <c r="BW800" s="61">
        <f t="shared" si="1554"/>
        <v>791</v>
      </c>
      <c r="BY800" s="56"/>
      <c r="BZ800" s="1"/>
      <c r="CA800" s="61"/>
    </row>
    <row r="801" spans="2:79" x14ac:dyDescent="0.3">
      <c r="B801" s="158">
        <f t="shared" si="2435"/>
        <v>44701</v>
      </c>
      <c r="C801" s="61"/>
      <c r="D801" s="17">
        <v>98665</v>
      </c>
      <c r="E801" s="16"/>
      <c r="F801" s="16"/>
      <c r="G801" s="16"/>
      <c r="H801" s="16">
        <f t="shared" ref="H801" si="3036">+H800+D801</f>
        <v>73970105</v>
      </c>
      <c r="I801" s="16"/>
      <c r="J801" s="436">
        <f t="shared" ref="J801" si="3037">+D801/H800</f>
        <v>1.3356311992835121E-3</v>
      </c>
      <c r="K801" s="16"/>
      <c r="L801" s="16"/>
      <c r="M801" s="16"/>
      <c r="N801" s="16">
        <f t="shared" ref="N801" si="3038">SUM(D795:D801)</f>
        <v>500173</v>
      </c>
      <c r="O801" s="16">
        <f t="shared" ref="O801" si="3039">+H801/BW801</f>
        <v>93396.597222222219</v>
      </c>
      <c r="P801" s="41"/>
      <c r="Q801" s="17">
        <f t="shared" ref="Q801" si="3040">SUM(D795:D801)</f>
        <v>500173</v>
      </c>
      <c r="R801" s="16"/>
      <c r="S801" s="60">
        <f t="shared" ref="S801" si="3041">+(Q801-Q794)/Q794</f>
        <v>0.17007469512551729</v>
      </c>
      <c r="T801" s="16"/>
      <c r="U801" s="41"/>
      <c r="V801" s="10">
        <f t="shared" si="568"/>
        <v>693</v>
      </c>
      <c r="W801" s="34">
        <v>244</v>
      </c>
      <c r="X801" s="33">
        <v>4256</v>
      </c>
      <c r="Y801" s="33"/>
      <c r="Z801" s="33">
        <f t="shared" ref="Z801" si="3042">SUM(W796:W801)</f>
        <v>1210</v>
      </c>
      <c r="AA801" s="33">
        <f t="shared" ref="AA801" si="3043">+AA800+W801</f>
        <v>895742</v>
      </c>
      <c r="AB801" s="33"/>
      <c r="AC801" s="46">
        <f t="shared" ref="AC801" si="3044">+AA801/H801</f>
        <v>1.2109513701514956E-2</v>
      </c>
      <c r="AD801" s="33"/>
      <c r="AE801" s="33">
        <f t="shared" ref="AE801" si="3045">+AA801/BW801</f>
        <v>1130.9873737373737</v>
      </c>
      <c r="AF801" s="50"/>
      <c r="AG801" s="33"/>
      <c r="AH801" s="33"/>
      <c r="AI801" s="213"/>
      <c r="AJ801" s="50"/>
      <c r="AL801" s="23">
        <f t="shared" ref="AL801" si="304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47">+AL801/AP800</f>
        <v>6.3470137879315493E-4</v>
      </c>
      <c r="AS801" s="25"/>
      <c r="AT801" s="25"/>
      <c r="AU801" s="24"/>
      <c r="AV801" s="298">
        <f t="shared" ref="AV801" si="3048">+AP801/H801</f>
        <v>1.1024070602576541</v>
      </c>
      <c r="AW801" s="298"/>
      <c r="AX801" s="24">
        <f t="shared" ref="AX801" si="3049">+AP801/BW801</f>
        <v>102961.06818181818</v>
      </c>
      <c r="AY801" s="308"/>
      <c r="BA801" s="65">
        <f t="shared" ref="BA801" si="3050">+BC801-BC800</f>
        <v>536180</v>
      </c>
      <c r="BB801" s="66"/>
      <c r="BC801" s="66">
        <v>1021409215</v>
      </c>
      <c r="BD801" s="66"/>
      <c r="BE801" s="66">
        <f t="shared" ref="BE801" si="3051">+D801</f>
        <v>98665</v>
      </c>
      <c r="BF801" s="66"/>
      <c r="BG801" s="144">
        <f t="shared" ref="BG801" si="305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53">+BC801/BW801</f>
        <v>1289658.0997474748</v>
      </c>
      <c r="BO801" s="66"/>
      <c r="BP801" s="66">
        <f t="shared" ref="BP801" si="3054">+BP800+BE801</f>
        <v>73063127</v>
      </c>
      <c r="BQ801" s="66"/>
      <c r="BR801" s="435">
        <f t="shared" ref="BR801" si="3055">+BP801/BC801</f>
        <v>7.1531689676404581E-2</v>
      </c>
      <c r="BS801" s="66"/>
      <c r="BT801" s="75"/>
      <c r="BU801" s="170"/>
      <c r="BV801" s="1"/>
      <c r="BW801" s="61">
        <f t="shared" si="1554"/>
        <v>792</v>
      </c>
      <c r="BY801" s="56"/>
      <c r="BZ801" s="1"/>
      <c r="CA801" s="61"/>
    </row>
    <row r="802" spans="2:79" x14ac:dyDescent="0.3">
      <c r="B802" s="158">
        <f t="shared" si="2435"/>
        <v>44702</v>
      </c>
      <c r="C802" s="61"/>
      <c r="D802" s="17">
        <v>40232</v>
      </c>
      <c r="E802" s="16"/>
      <c r="F802" s="16"/>
      <c r="G802" s="16"/>
      <c r="H802" s="16">
        <f t="shared" ref="H802" si="3056">+H801+D802</f>
        <v>74010337</v>
      </c>
      <c r="I802" s="16"/>
      <c r="J802" s="436">
        <f t="shared" ref="J802" si="3057">+D802/H801</f>
        <v>5.4389540206817332E-4</v>
      </c>
      <c r="K802" s="16"/>
      <c r="L802" s="16"/>
      <c r="M802" s="16"/>
      <c r="N802" s="16">
        <f t="shared" ref="N802" si="3058">SUM(D796:D802)</f>
        <v>513665</v>
      </c>
      <c r="O802" s="16">
        <f t="shared" ref="O802" si="3059">+H802/BW802</f>
        <v>93329.554854981077</v>
      </c>
      <c r="P802" s="41"/>
      <c r="Q802" s="17">
        <f t="shared" ref="Q802" si="3060">SUM(D796:D802)</f>
        <v>513665</v>
      </c>
      <c r="R802" s="16"/>
      <c r="S802" s="60">
        <f t="shared" ref="S802" si="3061">+(Q802-Q795)/Q795</f>
        <v>0.21414288010438037</v>
      </c>
      <c r="T802" s="16"/>
      <c r="U802" s="41"/>
      <c r="V802" s="10">
        <f t="shared" si="568"/>
        <v>694</v>
      </c>
      <c r="W802" s="34">
        <v>72</v>
      </c>
      <c r="X802" s="33">
        <v>4256</v>
      </c>
      <c r="Y802" s="33"/>
      <c r="Z802" s="33">
        <f t="shared" ref="Z802" si="3062">SUM(W797:W802)</f>
        <v>1258</v>
      </c>
      <c r="AA802" s="33">
        <f t="shared" ref="AA802" si="3063">+AA801+W802</f>
        <v>895814</v>
      </c>
      <c r="AB802" s="33"/>
      <c r="AC802" s="46">
        <f t="shared" ref="AC802" si="3064">+AA802/H802</f>
        <v>1.210390381008534E-2</v>
      </c>
      <c r="AD802" s="33"/>
      <c r="AE802" s="33">
        <f t="shared" ref="AE802" si="3065">+AA802/BW802</f>
        <v>1129.6519546027744</v>
      </c>
      <c r="AF802" s="50"/>
      <c r="AG802" s="33"/>
      <c r="AH802" s="33"/>
      <c r="AI802" s="213"/>
      <c r="AJ802" s="50"/>
      <c r="AL802" s="23">
        <f t="shared" ref="AL802" si="306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67">+AL802/AP801</f>
        <v>5.0380668794027591E-4</v>
      </c>
      <c r="AS802" s="25"/>
      <c r="AT802" s="25"/>
      <c r="AU802" s="24"/>
      <c r="AV802" s="298">
        <f t="shared" ref="AV802" si="3068">+AP802/H802</f>
        <v>1.1023628902000542</v>
      </c>
      <c r="AW802" s="298"/>
      <c r="AX802" s="24">
        <f t="shared" ref="AX802" si="3069">+AP802/BW802</f>
        <v>102883.03783102144</v>
      </c>
      <c r="AY802" s="308"/>
      <c r="BA802" s="65">
        <f t="shared" ref="BA802" si="3070">+BC802-BC801</f>
        <v>248774</v>
      </c>
      <c r="BB802" s="66"/>
      <c r="BC802" s="66">
        <v>1021657989</v>
      </c>
      <c r="BD802" s="66"/>
      <c r="BE802" s="66">
        <f t="shared" ref="BE802" si="3071">+D802</f>
        <v>40232</v>
      </c>
      <c r="BF802" s="66"/>
      <c r="BG802" s="144">
        <f t="shared" ref="BG802" si="307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73">+BC802/BW802</f>
        <v>1288345.5094577554</v>
      </c>
      <c r="BO802" s="66"/>
      <c r="BP802" s="66">
        <f t="shared" ref="BP802" si="3074">+BP801+BE802</f>
        <v>73103359</v>
      </c>
      <c r="BQ802" s="66"/>
      <c r="BR802" s="435">
        <f t="shared" ref="BR802" si="3075">+BP802/BC802</f>
        <v>7.1553650817680822E-2</v>
      </c>
      <c r="BS802" s="66"/>
      <c r="BT802" s="75"/>
      <c r="BU802" s="170"/>
      <c r="BV802" s="1"/>
      <c r="BW802" s="61">
        <f t="shared" si="1554"/>
        <v>793</v>
      </c>
      <c r="BY802" s="56"/>
      <c r="BZ802" s="1"/>
      <c r="CA802" s="61"/>
    </row>
    <row r="803" spans="2:79" x14ac:dyDescent="0.3">
      <c r="B803" s="347">
        <f t="shared" si="2435"/>
        <v>44703</v>
      </c>
      <c r="C803" s="61"/>
      <c r="D803" s="17">
        <v>19979</v>
      </c>
      <c r="E803" s="16"/>
      <c r="F803" s="16"/>
      <c r="G803" s="16"/>
      <c r="H803" s="16">
        <f t="shared" ref="H803" si="3076">+H802+D803</f>
        <v>74030316</v>
      </c>
      <c r="I803" s="16"/>
      <c r="J803" s="436">
        <f t="shared" ref="J803" si="3077">+D803/H802</f>
        <v>2.6994877756062645E-4</v>
      </c>
      <c r="K803" s="16"/>
      <c r="L803" s="16"/>
      <c r="M803" s="16"/>
      <c r="N803" s="16">
        <f t="shared" ref="N803" si="3078">SUM(D797:D803)</f>
        <v>512288</v>
      </c>
      <c r="O803" s="16">
        <f t="shared" ref="O803" si="3079">+H803/BW803</f>
        <v>93237.173803526442</v>
      </c>
      <c r="P803" s="41"/>
      <c r="Q803" s="17">
        <f t="shared" ref="Q803" si="3080">SUM(D797:D803)</f>
        <v>512288</v>
      </c>
      <c r="R803" s="16"/>
      <c r="S803" s="60">
        <f t="shared" ref="S803" si="3081">+(Q803-Q796)/Q796</f>
        <v>0.19021597710122301</v>
      </c>
      <c r="T803" s="16"/>
      <c r="U803" s="41"/>
      <c r="V803" s="10">
        <f t="shared" si="568"/>
        <v>695</v>
      </c>
      <c r="W803" s="34">
        <v>22</v>
      </c>
      <c r="X803" s="33">
        <v>4256</v>
      </c>
      <c r="Y803" s="33"/>
      <c r="Z803" s="33">
        <f t="shared" ref="Z803" si="3082">SUM(W798:W803)</f>
        <v>1173</v>
      </c>
      <c r="AA803" s="33">
        <f t="shared" ref="AA803" si="3083">+AA802+W803</f>
        <v>895836</v>
      </c>
      <c r="AB803" s="33"/>
      <c r="AC803" s="46">
        <f t="shared" ref="AC803" si="3084">+AA803/H803</f>
        <v>1.2100934433401581E-2</v>
      </c>
      <c r="AD803" s="33"/>
      <c r="AE803" s="33">
        <f t="shared" ref="AE803" si="3085">+AA803/BW803</f>
        <v>1128.2569269521412</v>
      </c>
      <c r="AF803" s="50"/>
      <c r="AG803" s="33"/>
      <c r="AH803" s="33"/>
      <c r="AI803" s="213"/>
      <c r="AJ803" s="50"/>
      <c r="AL803" s="23">
        <f t="shared" ref="AL803" si="308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87">+AL803/AP802</f>
        <v>5.6257029294238051E-4</v>
      </c>
      <c r="AS803" s="25"/>
      <c r="AT803" s="25"/>
      <c r="AU803" s="24"/>
      <c r="AV803" s="298">
        <f t="shared" ref="AV803" si="3088">+AP803/H803</f>
        <v>1.1026853782442316</v>
      </c>
      <c r="AW803" s="298"/>
      <c r="AX803" s="24">
        <f t="shared" ref="AX803" si="3089">+AP803/BW803</f>
        <v>102811.26826196474</v>
      </c>
      <c r="AY803" s="308"/>
      <c r="BA803" s="65">
        <f t="shared" ref="BA803" si="3090">+BC803-BC802</f>
        <v>313337</v>
      </c>
      <c r="BB803" s="66"/>
      <c r="BC803" s="66">
        <v>1021971326</v>
      </c>
      <c r="BD803" s="66"/>
      <c r="BE803" s="66">
        <f t="shared" ref="BE803" si="3091">+D803</f>
        <v>19979</v>
      </c>
      <c r="BF803" s="66"/>
      <c r="BG803" s="144">
        <f t="shared" ref="BG803" si="309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93">+BC803/BW803</f>
        <v>1287117.5390428212</v>
      </c>
      <c r="BO803" s="66"/>
      <c r="BP803" s="66">
        <f t="shared" ref="BP803" si="3094">+BP802+BE803</f>
        <v>73123338</v>
      </c>
      <c r="BQ803" s="66"/>
      <c r="BR803" s="435">
        <f t="shared" ref="BR803" si="3095">+BP803/BC803</f>
        <v>7.1551261899103422E-2</v>
      </c>
      <c r="BS803" s="66"/>
      <c r="BT803" s="75"/>
      <c r="BU803" s="170"/>
      <c r="BV803" s="1"/>
      <c r="BW803" s="61">
        <f t="shared" si="1554"/>
        <v>794</v>
      </c>
      <c r="BY803" s="56"/>
      <c r="BZ803" s="1"/>
      <c r="CA803" s="61"/>
    </row>
    <row r="804" spans="2:79" x14ac:dyDescent="0.3">
      <c r="B804" s="158">
        <f t="shared" si="2435"/>
        <v>44704</v>
      </c>
      <c r="C804" s="61"/>
      <c r="D804" s="17">
        <v>53287</v>
      </c>
      <c r="E804" s="16"/>
      <c r="F804" s="16"/>
      <c r="G804" s="16"/>
      <c r="H804" s="16">
        <f t="shared" ref="H804" si="3096">+H803+D804</f>
        <v>74083603</v>
      </c>
      <c r="I804" s="16"/>
      <c r="J804" s="436">
        <f t="shared" ref="J804" si="3097">+D804/H803</f>
        <v>7.1979971016198285E-4</v>
      </c>
      <c r="K804" s="16"/>
      <c r="L804" s="16"/>
      <c r="M804" s="16"/>
      <c r="N804" s="16">
        <f t="shared" ref="N804" si="3098">SUM(D798:D804)</f>
        <v>500642</v>
      </c>
      <c r="O804" s="16">
        <f t="shared" ref="O804" si="3099">+H804/BW804</f>
        <v>93186.922012578623</v>
      </c>
      <c r="P804" s="41"/>
      <c r="Q804" s="17">
        <f t="shared" ref="Q804" si="3100">SUM(D798:D804)</f>
        <v>500642</v>
      </c>
      <c r="R804" s="16"/>
      <c r="S804" s="60">
        <f t="shared" ref="S804" si="3101">+(Q804-Q797)/Q797</f>
        <v>0.15259427066426315</v>
      </c>
      <c r="T804" s="16"/>
      <c r="U804" s="41"/>
      <c r="V804" s="10">
        <f t="shared" si="568"/>
        <v>696</v>
      </c>
      <c r="W804" s="34">
        <v>106</v>
      </c>
      <c r="X804" s="33">
        <v>4256</v>
      </c>
      <c r="Y804" s="33"/>
      <c r="Z804" s="33">
        <f t="shared" ref="Z804" si="3102">SUM(W799:W804)</f>
        <v>974</v>
      </c>
      <c r="AA804" s="33">
        <f t="shared" ref="AA804" si="3103">+AA803+W804</f>
        <v>895942</v>
      </c>
      <c r="AB804" s="33"/>
      <c r="AC804" s="46">
        <f t="shared" ref="AC804" si="3104">+AA804/H804</f>
        <v>1.2093661265367992E-2</v>
      </c>
      <c r="AD804" s="33"/>
      <c r="AE804" s="33">
        <f t="shared" ref="AE804" si="3105">+AA804/BW804</f>
        <v>1126.97106918239</v>
      </c>
      <c r="AF804" s="50"/>
      <c r="AG804" s="33"/>
      <c r="AH804" s="33"/>
      <c r="AI804" s="213"/>
      <c r="AJ804" s="50"/>
      <c r="AL804" s="23">
        <f t="shared" ref="AL804" si="310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107">+AL804/AP803</f>
        <v>8.4987351857841004E-4</v>
      </c>
      <c r="AS804" s="25"/>
      <c r="AT804" s="25"/>
      <c r="AU804" s="24"/>
      <c r="AV804" s="298">
        <f t="shared" ref="AV804" si="3108">+AP804/H804</f>
        <v>1.1028287055639019</v>
      </c>
      <c r="AW804" s="298"/>
      <c r="AX804" s="24">
        <f t="shared" ref="AX804" si="3109">+AP804/BW804</f>
        <v>102769.21257861635</v>
      </c>
      <c r="AY804" s="308"/>
      <c r="BA804" s="65">
        <f t="shared" ref="BA804" si="3110">+BC804-BC803</f>
        <v>542005</v>
      </c>
      <c r="BB804" s="66"/>
      <c r="BC804" s="66">
        <v>1022513331</v>
      </c>
      <c r="BD804" s="66"/>
      <c r="BE804" s="66">
        <f t="shared" ref="BE804" si="3111">+D804</f>
        <v>53287</v>
      </c>
      <c r="BF804" s="66"/>
      <c r="BG804" s="144">
        <f t="shared" ref="BG804" si="311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13">+BC804/BW804</f>
        <v>1286180.2905660376</v>
      </c>
      <c r="BO804" s="66"/>
      <c r="BP804" s="66">
        <f t="shared" ref="BP804" si="3114">+BP803+BE804</f>
        <v>73176625</v>
      </c>
      <c r="BQ804" s="66"/>
      <c r="BR804" s="435">
        <f t="shared" ref="BR804" si="3115">+BP804/BC804</f>
        <v>7.1565448372623713E-2</v>
      </c>
      <c r="BS804" s="66"/>
      <c r="BT804" s="75"/>
      <c r="BU804" s="170"/>
      <c r="BV804" s="1"/>
      <c r="BW804" s="61">
        <f t="shared" si="1554"/>
        <v>795</v>
      </c>
      <c r="BY804" s="56"/>
      <c r="BZ804" s="1"/>
      <c r="CA804" s="61"/>
    </row>
    <row r="805" spans="2:79" x14ac:dyDescent="0.3">
      <c r="B805" s="158">
        <f t="shared" si="2435"/>
        <v>44705</v>
      </c>
      <c r="C805" s="61"/>
      <c r="D805" s="17">
        <v>75633</v>
      </c>
      <c r="E805" s="16"/>
      <c r="F805" s="16"/>
      <c r="G805" s="16"/>
      <c r="H805" s="16">
        <f t="shared" ref="H805" si="3116">+H804+D805</f>
        <v>74159236</v>
      </c>
      <c r="I805" s="16"/>
      <c r="J805" s="436">
        <f t="shared" ref="J805" si="3117">+D805/H804</f>
        <v>1.0209141690908311E-3</v>
      </c>
      <c r="K805" s="16"/>
      <c r="L805" s="16"/>
      <c r="M805" s="16"/>
      <c r="N805" s="16">
        <f t="shared" ref="N805" si="3118">SUM(D799:D805)</f>
        <v>500907</v>
      </c>
      <c r="O805" s="16">
        <f t="shared" ref="O805" si="3119">+H805/BW805</f>
        <v>93164.869346733671</v>
      </c>
      <c r="P805" s="41"/>
      <c r="Q805" s="17">
        <f t="shared" ref="Q805" si="3120">SUM(D799:D805)</f>
        <v>500907</v>
      </c>
      <c r="R805" s="16"/>
      <c r="S805" s="60">
        <f t="shared" ref="S805" si="3121">+(Q805-Q798)/Q798</f>
        <v>0.1136835084208771</v>
      </c>
      <c r="T805" s="16"/>
      <c r="U805" s="41"/>
      <c r="V805" s="10">
        <f t="shared" si="568"/>
        <v>697</v>
      </c>
      <c r="W805" s="34">
        <v>324</v>
      </c>
      <c r="X805" s="33">
        <v>4256</v>
      </c>
      <c r="Y805" s="33"/>
      <c r="Z805" s="33">
        <f t="shared" ref="Z805" si="3122">SUM(W800:W805)</f>
        <v>1025</v>
      </c>
      <c r="AA805" s="33">
        <f t="shared" ref="AA805" si="3123">+AA804+W805</f>
        <v>896266</v>
      </c>
      <c r="AB805" s="33"/>
      <c r="AC805" s="46">
        <f t="shared" ref="AC805" si="3124">+AA805/H805</f>
        <v>1.2085696244227759E-2</v>
      </c>
      <c r="AD805" s="33"/>
      <c r="AE805" s="33">
        <f t="shared" ref="AE805" si="3125">+AA805/BW805</f>
        <v>1125.962311557789</v>
      </c>
      <c r="AF805" s="50"/>
      <c r="AG805" s="33"/>
      <c r="AH805" s="33"/>
      <c r="AI805" s="213"/>
      <c r="AJ805" s="50"/>
      <c r="AL805" s="23">
        <f t="shared" ref="AL805" si="312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27">+AL805/AP804</f>
        <v>7.75836201048098E-4</v>
      </c>
      <c r="AS805" s="25"/>
      <c r="AT805" s="25"/>
      <c r="AU805" s="24"/>
      <c r="AV805" s="298">
        <f t="shared" ref="AV805" si="3128">+AP805/H805</f>
        <v>1.1025587021959071</v>
      </c>
      <c r="AW805" s="298"/>
      <c r="AX805" s="24">
        <f t="shared" ref="AX805" si="3129">+AP805/BW805</f>
        <v>102719.73743718593</v>
      </c>
      <c r="AY805" s="308"/>
      <c r="BA805" s="65">
        <f t="shared" ref="BA805" si="3130">+BC805-BC804</f>
        <v>470955</v>
      </c>
      <c r="BB805" s="66"/>
      <c r="BC805" s="66">
        <v>1022984286</v>
      </c>
      <c r="BD805" s="66"/>
      <c r="BE805" s="66">
        <f t="shared" ref="BE805" si="3131">+D805</f>
        <v>75633</v>
      </c>
      <c r="BF805" s="66"/>
      <c r="BG805" s="144">
        <f t="shared" ref="BG805" si="313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33">+BC805/BW805</f>
        <v>1285156.1381909547</v>
      </c>
      <c r="BO805" s="66"/>
      <c r="BP805" s="66">
        <f t="shared" ref="BP805" si="3134">+BP804+BE805</f>
        <v>73252258</v>
      </c>
      <c r="BQ805" s="66"/>
      <c r="BR805" s="435">
        <f t="shared" ref="BR805" si="3135">+BP805/BC805</f>
        <v>7.1606435213609917E-2</v>
      </c>
      <c r="BS805" s="66"/>
      <c r="BT805" s="75"/>
      <c r="BU805" s="170"/>
      <c r="BV805" s="1"/>
      <c r="BW805" s="61">
        <f t="shared" si="1554"/>
        <v>796</v>
      </c>
      <c r="BY805" s="56"/>
      <c r="BZ805" s="1"/>
      <c r="CA805" s="61"/>
    </row>
    <row r="806" spans="2:79" x14ac:dyDescent="0.3">
      <c r="B806" s="158">
        <f t="shared" si="2435"/>
        <v>44706</v>
      </c>
      <c r="C806" s="61"/>
      <c r="D806" s="17">
        <v>101221</v>
      </c>
      <c r="E806" s="16"/>
      <c r="F806" s="16"/>
      <c r="G806" s="16"/>
      <c r="H806" s="16">
        <f t="shared" ref="H806" si="3136">+H805+D806</f>
        <v>74260457</v>
      </c>
      <c r="I806" s="16"/>
      <c r="J806" s="436">
        <f t="shared" ref="J806" si="3137">+D806/H805</f>
        <v>1.3649142771643441E-3</v>
      </c>
      <c r="K806" s="16"/>
      <c r="L806" s="16"/>
      <c r="M806" s="16"/>
      <c r="N806" s="16">
        <f t="shared" ref="N806" si="3138">SUM(D800:D806)</f>
        <v>498170</v>
      </c>
      <c r="O806" s="16">
        <f t="shared" ref="O806" si="3139">+H806/BW806</f>
        <v>93174.977415307396</v>
      </c>
      <c r="P806" s="41"/>
      <c r="Q806" s="17">
        <f t="shared" ref="Q806" si="3140">SUM(D800:D806)</f>
        <v>498170</v>
      </c>
      <c r="R806" s="16"/>
      <c r="S806" s="60">
        <f t="shared" ref="S806" si="3141">+(Q806-Q799)/Q799</f>
        <v>6.9539267465326973E-2</v>
      </c>
      <c r="T806" s="16"/>
      <c r="U806" s="41"/>
      <c r="V806" s="10">
        <f t="shared" si="568"/>
        <v>698</v>
      </c>
      <c r="W806" s="34">
        <v>317</v>
      </c>
      <c r="X806" s="33">
        <v>4256</v>
      </c>
      <c r="Y806" s="33"/>
      <c r="Z806" s="33">
        <f t="shared" ref="Z806" si="3142">SUM(W801:W806)</f>
        <v>1085</v>
      </c>
      <c r="AA806" s="33">
        <f t="shared" ref="AA806" si="3143">+AA805+W806</f>
        <v>896583</v>
      </c>
      <c r="AB806" s="33"/>
      <c r="AC806" s="46">
        <f t="shared" ref="AC806" si="3144">+AA806/H806</f>
        <v>1.2073491548806386E-2</v>
      </c>
      <c r="AD806" s="33"/>
      <c r="AE806" s="33">
        <f t="shared" ref="AE806" si="3145">+AA806/BW806</f>
        <v>1124.9473023839398</v>
      </c>
      <c r="AF806" s="50"/>
      <c r="AG806" s="33"/>
      <c r="AH806" s="33"/>
      <c r="AI806" s="213"/>
      <c r="AJ806" s="50"/>
      <c r="AL806" s="23">
        <f t="shared" ref="AL806" si="314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47">+AL806/AP805</f>
        <v>1.0578376340432878E-3</v>
      </c>
      <c r="AS806" s="25"/>
      <c r="AT806" s="25"/>
      <c r="AU806" s="24"/>
      <c r="AV806" s="298">
        <f t="shared" ref="AV806" si="3148">+AP806/H806</f>
        <v>1.1022205936599609</v>
      </c>
      <c r="AW806" s="298"/>
      <c r="AX806" s="24">
        <f t="shared" ref="AX806" si="3149">+AP806/BW806</f>
        <v>102699.37892095358</v>
      </c>
      <c r="AY806" s="308"/>
      <c r="BA806" s="65">
        <f t="shared" ref="BA806" si="3150">+BC806-BC805</f>
        <v>842190</v>
      </c>
      <c r="BB806" s="66"/>
      <c r="BC806" s="66">
        <v>1023826476</v>
      </c>
      <c r="BD806" s="66"/>
      <c r="BE806" s="66">
        <f t="shared" ref="BE806" si="3151">+D806</f>
        <v>101221</v>
      </c>
      <c r="BF806" s="66"/>
      <c r="BG806" s="144">
        <f t="shared" ref="BG806" si="315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53">+BC806/BW806</f>
        <v>1284600.3462986199</v>
      </c>
      <c r="BO806" s="66"/>
      <c r="BP806" s="66">
        <f t="shared" ref="BP806" si="3154">+BP805+BE806</f>
        <v>73353479</v>
      </c>
      <c r="BQ806" s="66"/>
      <c r="BR806" s="435">
        <f t="shared" ref="BR806" si="3155">+BP806/BC806</f>
        <v>7.1646397821812147E-2</v>
      </c>
      <c r="BS806" s="66"/>
      <c r="BT806" s="75"/>
      <c r="BU806" s="170"/>
      <c r="BV806" s="1"/>
      <c r="BW806" s="61">
        <f t="shared" si="1554"/>
        <v>797</v>
      </c>
      <c r="BY806" s="56"/>
      <c r="BZ806" s="1"/>
      <c r="CA806" s="61"/>
    </row>
    <row r="807" spans="2:79" x14ac:dyDescent="0.3">
      <c r="B807" s="158">
        <f t="shared" si="2435"/>
        <v>44707</v>
      </c>
      <c r="C807" s="61"/>
      <c r="D807" s="17">
        <v>87420</v>
      </c>
      <c r="E807" s="16"/>
      <c r="F807" s="16"/>
      <c r="G807" s="16"/>
      <c r="H807" s="16">
        <f t="shared" ref="H807" si="3156">+H806+D807</f>
        <v>74347877</v>
      </c>
      <c r="I807" s="16"/>
      <c r="J807" s="436">
        <f t="shared" ref="J807" si="3157">+D807/H806</f>
        <v>1.1772079452729465E-3</v>
      </c>
      <c r="K807" s="16"/>
      <c r="L807" s="16"/>
      <c r="M807" s="16"/>
      <c r="N807" s="16">
        <f t="shared" ref="N807" si="3158">SUM(D801:D807)</f>
        <v>476437</v>
      </c>
      <c r="O807" s="16">
        <f t="shared" ref="O807" si="3159">+H807/BW807</f>
        <v>93167.765664160397</v>
      </c>
      <c r="P807" s="41"/>
      <c r="Q807" s="17">
        <f t="shared" ref="Q807" si="3160">SUM(D801:D807)</f>
        <v>476437</v>
      </c>
      <c r="R807" s="16"/>
      <c r="S807" s="60">
        <f t="shared" ref="S807" si="3161">+(Q807-Q800)/Q800</f>
        <v>-2.5896385832840936E-2</v>
      </c>
      <c r="T807" s="16"/>
      <c r="U807" s="41"/>
      <c r="V807" s="10">
        <f t="shared" si="568"/>
        <v>699</v>
      </c>
      <c r="W807" s="34">
        <v>217</v>
      </c>
      <c r="X807" s="33">
        <v>4256</v>
      </c>
      <c r="Y807" s="33"/>
      <c r="Z807" s="33">
        <f t="shared" ref="Z807" si="3162">SUM(W802:W807)</f>
        <v>1058</v>
      </c>
      <c r="AA807" s="33">
        <f t="shared" ref="AA807" si="3163">+AA806+W807</f>
        <v>896800</v>
      </c>
      <c r="AB807" s="33"/>
      <c r="AC807" s="46">
        <f t="shared" ref="AC807" si="3164">+AA807/H807</f>
        <v>1.2062213962074532E-2</v>
      </c>
      <c r="AD807" s="33"/>
      <c r="AE807" s="33">
        <f t="shared" ref="AE807" si="3165">+AA807/BW807</f>
        <v>1123.8095238095239</v>
      </c>
      <c r="AF807" s="50"/>
      <c r="AG807" s="33"/>
      <c r="AH807" s="33"/>
      <c r="AI807" s="213"/>
      <c r="AJ807" s="50"/>
      <c r="AL807" s="23">
        <f t="shared" ref="AL807" si="316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67">+AL807/AP806</f>
        <v>1.065797221196142E-3</v>
      </c>
      <c r="AS807" s="25"/>
      <c r="AT807" s="25"/>
      <c r="AU807" s="24"/>
      <c r="AV807" s="298">
        <f t="shared" ref="AV807" si="3168">+AP807/H807</f>
        <v>1.102097938855739</v>
      </c>
      <c r="AW807" s="298"/>
      <c r="AX807" s="24">
        <f t="shared" ref="AX807" si="3169">+AP807/BW807</f>
        <v>102680.00250626566</v>
      </c>
      <c r="AY807" s="308"/>
      <c r="BA807" s="65">
        <f t="shared" ref="BA807" si="3170">+BC807-BC806</f>
        <v>1024343</v>
      </c>
      <c r="BB807" s="66"/>
      <c r="BC807" s="66">
        <v>1024850819</v>
      </c>
      <c r="BD807" s="66"/>
      <c r="BE807" s="66">
        <f t="shared" ref="BE807" si="3171">+D807</f>
        <v>87420</v>
      </c>
      <c r="BF807" s="66"/>
      <c r="BG807" s="144">
        <f t="shared" ref="BG807" si="317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73">+BC807/BW807</f>
        <v>1284274.209273183</v>
      </c>
      <c r="BO807" s="66"/>
      <c r="BP807" s="66">
        <f t="shared" ref="BP807" si="3174">+BP806+BE807</f>
        <v>73440899</v>
      </c>
      <c r="BQ807" s="66"/>
      <c r="BR807" s="435">
        <f t="shared" ref="BR807" si="3175">+BP807/BC807</f>
        <v>7.1660087144839374E-2</v>
      </c>
      <c r="BS807" s="66"/>
      <c r="BT807" s="75"/>
      <c r="BU807" s="170"/>
      <c r="BV807" s="1"/>
      <c r="BW807" s="61">
        <f t="shared" si="1554"/>
        <v>798</v>
      </c>
      <c r="BY807" s="56"/>
      <c r="BZ807" s="1"/>
      <c r="CA807" s="61"/>
    </row>
    <row r="808" spans="2:79" x14ac:dyDescent="0.3">
      <c r="B808" s="158">
        <f t="shared" si="2435"/>
        <v>44708</v>
      </c>
      <c r="C808" s="61"/>
      <c r="D808" s="17">
        <v>98249</v>
      </c>
      <c r="E808" s="16"/>
      <c r="F808" s="16"/>
      <c r="G808" s="16"/>
      <c r="H808" s="16">
        <f t="shared" ref="H808" si="3176">+H807+D808</f>
        <v>74446126</v>
      </c>
      <c r="I808" s="16"/>
      <c r="J808" s="436">
        <f t="shared" ref="J808" si="3177">+D808/H807</f>
        <v>1.3214768728365975E-3</v>
      </c>
      <c r="K808" s="16"/>
      <c r="L808" s="16"/>
      <c r="M808" s="16"/>
      <c r="N808" s="16">
        <f t="shared" ref="N808" si="3178">SUM(D802:D808)</f>
        <v>476021</v>
      </c>
      <c r="O808" s="16">
        <f t="shared" ref="O808" si="3179">+H808/BW808</f>
        <v>93174.12515644556</v>
      </c>
      <c r="P808" s="41"/>
      <c r="Q808" s="17">
        <f t="shared" ref="Q808" si="3180">SUM(D802:D808)</f>
        <v>476021</v>
      </c>
      <c r="R808" s="16"/>
      <c r="S808" s="60">
        <f t="shared" ref="S808" si="3181">+(Q808-Q801)/Q801</f>
        <v>-4.8287292596761518E-2</v>
      </c>
      <c r="T808" s="16"/>
      <c r="U808" s="41"/>
      <c r="V808" s="10">
        <f t="shared" si="568"/>
        <v>700</v>
      </c>
      <c r="W808" s="34">
        <v>263</v>
      </c>
      <c r="X808" s="33">
        <v>4256</v>
      </c>
      <c r="Y808" s="33"/>
      <c r="Z808" s="33">
        <f t="shared" ref="Z808" si="3182">SUM(W803:W808)</f>
        <v>1249</v>
      </c>
      <c r="AA808" s="33">
        <f t="shared" ref="AA808" si="3183">+AA807+W808</f>
        <v>897063</v>
      </c>
      <c r="AB808" s="33"/>
      <c r="AC808" s="46">
        <f t="shared" ref="AC808" si="3184">+AA808/H808</f>
        <v>1.204982781776986E-2</v>
      </c>
      <c r="AD808" s="33"/>
      <c r="AE808" s="33">
        <f t="shared" ref="AE808" si="3185">+AA808/BW808</f>
        <v>1122.7321652065082</v>
      </c>
      <c r="AF808" s="50"/>
      <c r="AG808" s="33"/>
      <c r="AH808" s="33"/>
      <c r="AI808" s="213"/>
      <c r="AJ808" s="50"/>
      <c r="AL808" s="23">
        <f t="shared" ref="AL808" si="318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87">+AL808/AP807</f>
        <v>7.2714165802259696E-4</v>
      </c>
      <c r="AS808" s="25"/>
      <c r="AT808" s="25"/>
      <c r="AU808" s="24"/>
      <c r="AV808" s="298">
        <f t="shared" ref="AV808" si="3188">+AP808/H808</f>
        <v>1.1014437876861449</v>
      </c>
      <c r="AW808" s="298"/>
      <c r="AX808" s="24">
        <f t="shared" ref="AX808" si="3189">+AP808/BW808</f>
        <v>102626.06132665832</v>
      </c>
      <c r="AY808" s="308"/>
      <c r="BA808" s="65">
        <f t="shared" ref="BA808" si="3190">+BC808-BC807</f>
        <v>3325086</v>
      </c>
      <c r="BB808" s="66"/>
      <c r="BC808" s="66">
        <v>1028175905</v>
      </c>
      <c r="BD808" s="66"/>
      <c r="BE808" s="66">
        <f t="shared" ref="BE808" si="3191">+D808</f>
        <v>98249</v>
      </c>
      <c r="BF808" s="66"/>
      <c r="BG808" s="144">
        <f t="shared" ref="BG808" si="319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93">+BC808/BW808</f>
        <v>1286828.4167709637</v>
      </c>
      <c r="BO808" s="66"/>
      <c r="BP808" s="66">
        <f t="shared" ref="BP808" si="3194">+BP807+BE808</f>
        <v>73539148</v>
      </c>
      <c r="BQ808" s="66"/>
      <c r="BR808" s="435">
        <f t="shared" ref="BR808" si="3195">+BP808/BC808</f>
        <v>7.152389745993902E-2</v>
      </c>
      <c r="BS808" s="66"/>
      <c r="BT808" s="75"/>
      <c r="BU808" s="170"/>
      <c r="BV808" s="1"/>
      <c r="BW808" s="61">
        <f t="shared" si="1554"/>
        <v>799</v>
      </c>
      <c r="BY808" s="56"/>
      <c r="BZ808" s="1"/>
      <c r="CA808" s="61"/>
    </row>
    <row r="809" spans="2:79" x14ac:dyDescent="0.3">
      <c r="B809" s="158">
        <f t="shared" si="2435"/>
        <v>44709</v>
      </c>
      <c r="C809" s="61"/>
      <c r="D809" s="17">
        <v>11595</v>
      </c>
      <c r="E809" s="16"/>
      <c r="F809" s="16"/>
      <c r="G809" s="16"/>
      <c r="H809" s="16">
        <f t="shared" ref="H809" si="3196">+H808+D809</f>
        <v>74457721</v>
      </c>
      <c r="I809" s="16"/>
      <c r="J809" s="436">
        <f t="shared" ref="J809" si="3197">+D809/H808</f>
        <v>1.5575021324816822E-4</v>
      </c>
      <c r="K809" s="16"/>
      <c r="L809" s="16"/>
      <c r="M809" s="16"/>
      <c r="N809" s="16">
        <f t="shared" ref="N809" si="3198">SUM(D803:D809)</f>
        <v>447384</v>
      </c>
      <c r="O809" s="16">
        <f t="shared" ref="O809" si="3199">+H809/BW809</f>
        <v>93072.151249999995</v>
      </c>
      <c r="P809" s="41"/>
      <c r="Q809" s="17">
        <f t="shared" ref="Q809" si="3200">SUM(D803:D809)</f>
        <v>447384</v>
      </c>
      <c r="R809" s="16"/>
      <c r="S809" s="60">
        <f t="shared" ref="S809" si="3201">+(Q809-Q802)/Q802</f>
        <v>-0.1290354608548373</v>
      </c>
      <c r="T809" s="16"/>
      <c r="U809" s="41"/>
      <c r="V809" s="10">
        <f t="shared" si="568"/>
        <v>701</v>
      </c>
      <c r="W809" s="34">
        <v>41</v>
      </c>
      <c r="X809" s="33">
        <v>4256</v>
      </c>
      <c r="Y809" s="33"/>
      <c r="Z809" s="33">
        <f t="shared" ref="Z809" si="3202">SUM(W804:W809)</f>
        <v>1268</v>
      </c>
      <c r="AA809" s="33">
        <f t="shared" ref="AA809" si="3203">+AA808+W809</f>
        <v>897104</v>
      </c>
      <c r="AB809" s="33"/>
      <c r="AC809" s="46">
        <f t="shared" ref="AC809" si="3204">+AA809/H809</f>
        <v>1.204850199484349E-2</v>
      </c>
      <c r="AD809" s="33"/>
      <c r="AE809" s="33">
        <f t="shared" ref="AE809" si="3205">+AA809/BW809</f>
        <v>1121.3800000000001</v>
      </c>
      <c r="AF809" s="50"/>
      <c r="AG809" s="33"/>
      <c r="AH809" s="33"/>
      <c r="AI809" s="213"/>
      <c r="AJ809" s="50"/>
      <c r="AL809" s="23">
        <f t="shared" ref="AL809" si="320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207">+AL809/AP808</f>
        <v>8.6343334537871631E-5</v>
      </c>
      <c r="AS809" s="25"/>
      <c r="AT809" s="25"/>
      <c r="AU809" s="24"/>
      <c r="AV809" s="298">
        <f t="shared" ref="AV809" si="3208">+AP809/H809</f>
        <v>1.1013673518156699</v>
      </c>
      <c r="AW809" s="298"/>
      <c r="AX809" s="24">
        <f t="shared" ref="AX809" si="3209">+AP809/BW809</f>
        <v>102506.62875</v>
      </c>
      <c r="AY809" s="308"/>
      <c r="BA809" s="65">
        <f t="shared" ref="BA809" si="3210">+BC809-BC808</f>
        <v>109231</v>
      </c>
      <c r="BB809" s="66"/>
      <c r="BC809" s="66">
        <v>1028285136</v>
      </c>
      <c r="BD809" s="66"/>
      <c r="BE809" s="66">
        <f t="shared" ref="BE809" si="3211">+D809</f>
        <v>11595</v>
      </c>
      <c r="BF809" s="66"/>
      <c r="BG809" s="144">
        <f t="shared" ref="BG809" si="321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13">+BC809/BW809</f>
        <v>1285356.42</v>
      </c>
      <c r="BO809" s="66"/>
      <c r="BP809" s="66">
        <f t="shared" ref="BP809" si="3214">+BP808+BE809</f>
        <v>73550743</v>
      </c>
      <c r="BQ809" s="66"/>
      <c r="BR809" s="435">
        <f t="shared" ref="BR809" si="3215">+BP809/BC809</f>
        <v>7.1527575791001219E-2</v>
      </c>
      <c r="BS809" s="66"/>
      <c r="BT809" s="75"/>
      <c r="BU809" s="170"/>
      <c r="BV809" s="1"/>
      <c r="BW809" s="61">
        <f t="shared" si="1554"/>
        <v>800</v>
      </c>
      <c r="BY809" s="56"/>
      <c r="BZ809" s="1"/>
      <c r="CA809" s="61"/>
    </row>
    <row r="810" spans="2:79" x14ac:dyDescent="0.3">
      <c r="B810" s="347">
        <f t="shared" si="2435"/>
        <v>44710</v>
      </c>
      <c r="C810" s="61"/>
      <c r="D810" s="17">
        <v>4772</v>
      </c>
      <c r="E810" s="16"/>
      <c r="F810" s="16"/>
      <c r="G810" s="16"/>
      <c r="H810" s="16">
        <f t="shared" ref="H810" si="3216">+H809+D810</f>
        <v>74462493</v>
      </c>
      <c r="I810" s="16"/>
      <c r="J810" s="436">
        <f t="shared" ref="J810" si="3217">+D810/H809</f>
        <v>6.4090062600761046E-5</v>
      </c>
      <c r="K810" s="16"/>
      <c r="L810" s="16"/>
      <c r="M810" s="16"/>
      <c r="N810" s="16">
        <f t="shared" ref="N810" si="3218">SUM(D804:D810)</f>
        <v>432177</v>
      </c>
      <c r="O810" s="16">
        <f t="shared" ref="O810" si="3219">+H810/BW810</f>
        <v>92961.913857677908</v>
      </c>
      <c r="P810" s="41"/>
      <c r="Q810" s="17">
        <f t="shared" ref="Q810" si="3220">SUM(D804:D810)</f>
        <v>432177</v>
      </c>
      <c r="R810" s="16"/>
      <c r="S810" s="60">
        <f t="shared" ref="S810" si="3221">+(Q810-Q803)/Q803</f>
        <v>-0.15637883378099818</v>
      </c>
      <c r="T810" s="16"/>
      <c r="U810" s="41"/>
      <c r="V810" s="10">
        <f t="shared" si="568"/>
        <v>702</v>
      </c>
      <c r="W810" s="34">
        <v>14</v>
      </c>
      <c r="X810" s="33">
        <v>4256</v>
      </c>
      <c r="Y810" s="33"/>
      <c r="Z810" s="33">
        <f t="shared" ref="Z810" si="3222">SUM(W805:W810)</f>
        <v>1176</v>
      </c>
      <c r="AA810" s="33">
        <f t="shared" ref="AA810" si="3223">+AA809+W810</f>
        <v>897118</v>
      </c>
      <c r="AB810" s="33"/>
      <c r="AC810" s="46">
        <f t="shared" ref="AC810" si="3224">+AA810/H810</f>
        <v>1.2047917869201613E-2</v>
      </c>
      <c r="AD810" s="33"/>
      <c r="AE810" s="33">
        <f t="shared" ref="AE810" si="3225">+AA810/BW810</f>
        <v>1119.9975031210986</v>
      </c>
      <c r="AF810" s="50"/>
      <c r="AG810" s="33"/>
      <c r="AH810" s="33"/>
      <c r="AI810" s="213"/>
      <c r="AJ810" s="50"/>
      <c r="AL810" s="23">
        <f t="shared" ref="AL810" si="322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27">+AL810/AP809</f>
        <v>1.2566138558136905E-3</v>
      </c>
      <c r="AS810" s="25"/>
      <c r="AT810" s="25"/>
      <c r="AU810" s="24"/>
      <c r="AV810" s="298">
        <f t="shared" ref="AV810" si="3228">+AP810/H810</f>
        <v>1.1026806744168505</v>
      </c>
      <c r="AW810" s="298"/>
      <c r="AX810" s="24">
        <f t="shared" ref="AX810" si="3229">+AP810/BW810</f>
        <v>102507.30586766542</v>
      </c>
      <c r="AY810" s="308"/>
      <c r="BA810" s="65">
        <f t="shared" ref="BA810" si="3230">+BC810-BC809</f>
        <v>4984</v>
      </c>
      <c r="BB810" s="66"/>
      <c r="BC810" s="66">
        <v>1028290120</v>
      </c>
      <c r="BD810" s="66"/>
      <c r="BE810" s="66">
        <f t="shared" ref="BE810" si="3231">+D810</f>
        <v>4772</v>
      </c>
      <c r="BF810" s="66"/>
      <c r="BG810" s="144">
        <f t="shared" ref="BG810" si="323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33">+BC810/BW810</f>
        <v>1283757.9525593009</v>
      </c>
      <c r="BO810" s="66"/>
      <c r="BP810" s="66">
        <f t="shared" ref="BP810" si="3234">+BP809+BE810</f>
        <v>73555515</v>
      </c>
      <c r="BQ810" s="66"/>
      <c r="BR810" s="435">
        <f t="shared" ref="BR810" si="3235">+BP810/BC810</f>
        <v>7.1531869818996216E-2</v>
      </c>
      <c r="BS810" s="66"/>
      <c r="BT810" s="75"/>
      <c r="BU810" s="170"/>
      <c r="BV810" s="1"/>
      <c r="BW810" s="61">
        <f t="shared" si="1554"/>
        <v>801</v>
      </c>
      <c r="BY810" s="56"/>
      <c r="BZ810" s="1"/>
      <c r="CA810" s="61"/>
    </row>
    <row r="811" spans="2:79" x14ac:dyDescent="0.3">
      <c r="B811" s="158">
        <f t="shared" si="2435"/>
        <v>44711</v>
      </c>
      <c r="C811" s="61"/>
      <c r="D811" s="17">
        <v>6865</v>
      </c>
      <c r="E811" s="16"/>
      <c r="F811" s="16"/>
      <c r="G811" s="16"/>
      <c r="H811" s="16">
        <f t="shared" ref="H811" si="3236">+H810+D811</f>
        <v>74469358</v>
      </c>
      <c r="I811" s="16"/>
      <c r="J811" s="436">
        <f t="shared" ref="J811" si="3237">+D811/H810</f>
        <v>9.2194066078340938E-5</v>
      </c>
      <c r="K811" s="16"/>
      <c r="L811" s="16"/>
      <c r="M811" s="16"/>
      <c r="N811" s="16">
        <f t="shared" ref="N811" si="3238">SUM(D805:D811)</f>
        <v>385755</v>
      </c>
      <c r="O811" s="16">
        <f t="shared" ref="O811" si="3239">+H811/BW811</f>
        <v>92854.561097256854</v>
      </c>
      <c r="P811" s="41"/>
      <c r="Q811" s="17">
        <f t="shared" ref="Q811" si="3240">SUM(D805:D811)</f>
        <v>385755</v>
      </c>
      <c r="R811" s="16"/>
      <c r="S811" s="60">
        <f t="shared" ref="S811" si="3241">+(Q811-Q804)/Q804</f>
        <v>-0.22947934851650481</v>
      </c>
      <c r="T811" s="16"/>
      <c r="U811" s="41"/>
      <c r="V811" s="10">
        <f t="shared" si="568"/>
        <v>703</v>
      </c>
      <c r="W811" s="34">
        <v>38</v>
      </c>
      <c r="X811" s="33">
        <v>4256</v>
      </c>
      <c r="Y811" s="33"/>
      <c r="Z811" s="33">
        <f t="shared" ref="Z811" si="3242">SUM(W806:W811)</f>
        <v>890</v>
      </c>
      <c r="AA811" s="33">
        <f t="shared" ref="AA811" si="3243">+AA810+W811</f>
        <v>897156</v>
      </c>
      <c r="AB811" s="33"/>
      <c r="AC811" s="46">
        <f t="shared" ref="AC811" si="3244">+AA811/H811</f>
        <v>1.204731750205232E-2</v>
      </c>
      <c r="AD811" s="33"/>
      <c r="AE811" s="33">
        <f t="shared" ref="AE811" si="3245">+AA811/BW811</f>
        <v>1118.6483790523691</v>
      </c>
      <c r="AF811" s="50"/>
      <c r="AG811" s="33"/>
      <c r="AH811" s="33"/>
      <c r="AI811" s="213"/>
      <c r="AJ811" s="50"/>
      <c r="AL811" s="23">
        <f t="shared" ref="AL811" si="324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47">+AL811/AP810</f>
        <v>5.2953200181146004E-4</v>
      </c>
      <c r="AS811" s="25"/>
      <c r="AT811" s="25"/>
      <c r="AU811" s="24"/>
      <c r="AV811" s="298">
        <f t="shared" ref="AV811" si="3248">+AP811/H811</f>
        <v>1.1031628740508277</v>
      </c>
      <c r="AW811" s="298"/>
      <c r="AX811" s="24">
        <f t="shared" ref="AX811" si="3249">+AP811/BW811</f>
        <v>102433.70448877805</v>
      </c>
      <c r="AY811" s="308"/>
      <c r="BA811" s="65">
        <f t="shared" ref="BA811" si="3250">+BC811-BC810</f>
        <v>102807</v>
      </c>
      <c r="BB811" s="66"/>
      <c r="BC811" s="66">
        <v>1028392927</v>
      </c>
      <c r="BD811" s="66"/>
      <c r="BE811" s="66">
        <f t="shared" ref="BE811" si="3251">+D811</f>
        <v>6865</v>
      </c>
      <c r="BF811" s="66"/>
      <c r="BG811" s="144">
        <f t="shared" ref="BG811" si="325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53">+BC811/BW811</f>
        <v>1282285.4451371571</v>
      </c>
      <c r="BO811" s="66"/>
      <c r="BP811" s="66">
        <f t="shared" ref="BP811" si="3254">+BP810+BE811</f>
        <v>73562380</v>
      </c>
      <c r="BQ811" s="66"/>
      <c r="BR811" s="435">
        <f t="shared" ref="BR811" si="3255">+BP811/BC811</f>
        <v>7.1531394342232768E-2</v>
      </c>
      <c r="BS811" s="66"/>
      <c r="BT811" s="75"/>
      <c r="BU811" s="170"/>
      <c r="BV811" s="1"/>
      <c r="BW811" s="61">
        <f t="shared" si="1554"/>
        <v>802</v>
      </c>
      <c r="BY811" s="56"/>
      <c r="BZ811" s="1"/>
      <c r="CA811" s="61"/>
    </row>
    <row r="812" spans="2:79" x14ac:dyDescent="0.3">
      <c r="B812" s="158">
        <f t="shared" si="2435"/>
        <v>44712</v>
      </c>
      <c r="C812" s="61"/>
      <c r="D812" s="17">
        <v>44016</v>
      </c>
      <c r="E812" s="16"/>
      <c r="F812" s="16"/>
      <c r="G812" s="16"/>
      <c r="H812" s="16">
        <f t="shared" ref="H812" si="3256">+H811+D812</f>
        <v>74513374</v>
      </c>
      <c r="I812" s="16"/>
      <c r="J812" s="436">
        <f t="shared" ref="J812" si="3257">+D812/H811</f>
        <v>5.9106189689455899E-4</v>
      </c>
      <c r="K812" s="16"/>
      <c r="L812" s="16"/>
      <c r="M812" s="16"/>
      <c r="N812" s="16">
        <f t="shared" ref="N812" si="3258">SUM(D806:D812)</f>
        <v>354138</v>
      </c>
      <c r="O812" s="16">
        <f t="shared" ref="O812" si="3259">+H812/BW812</f>
        <v>92793.740971357416</v>
      </c>
      <c r="P812" s="41"/>
      <c r="Q812" s="17">
        <f t="shared" ref="Q812" si="3260">SUM(D806:D812)</f>
        <v>354138</v>
      </c>
      <c r="R812" s="16"/>
      <c r="S812" s="60">
        <f t="shared" ref="S812" si="3261">+(Q812-Q805)/Q805</f>
        <v>-0.29300648623397157</v>
      </c>
      <c r="T812" s="16"/>
      <c r="U812" s="41"/>
      <c r="V812" s="10">
        <f t="shared" si="568"/>
        <v>704</v>
      </c>
      <c r="W812" s="34">
        <v>129</v>
      </c>
      <c r="X812" s="33">
        <v>4256</v>
      </c>
      <c r="Y812" s="33"/>
      <c r="Z812" s="33">
        <f t="shared" ref="Z812" si="3262">SUM(W807:W812)</f>
        <v>702</v>
      </c>
      <c r="AA812" s="33">
        <f t="shared" ref="AA812" si="3263">+AA811+W812</f>
        <v>897285</v>
      </c>
      <c r="AB812" s="33"/>
      <c r="AC812" s="46">
        <f t="shared" ref="AC812" si="3264">+AA812/H812</f>
        <v>1.2041932230850263E-2</v>
      </c>
      <c r="AD812" s="33"/>
      <c r="AE812" s="33">
        <f t="shared" ref="AE812" si="3265">+AA812/BW812</f>
        <v>1117.4159402241594</v>
      </c>
      <c r="AF812" s="50"/>
      <c r="AG812" s="33"/>
      <c r="AH812" s="33"/>
      <c r="AI812" s="213"/>
      <c r="AJ812" s="50"/>
      <c r="AL812" s="23">
        <f t="shared" ref="AL812" si="326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67">+AL812/AP811</f>
        <v>1.0684606652285084E-3</v>
      </c>
      <c r="AS812" s="25"/>
      <c r="AT812" s="25"/>
      <c r="AU812" s="24"/>
      <c r="AV812" s="298">
        <f t="shared" ref="AV812" si="3268">+AP812/H812</f>
        <v>1.1036892115501307</v>
      </c>
      <c r="AW812" s="298"/>
      <c r="AX812" s="24">
        <f t="shared" ref="AX812" si="3269">+AP812/BW812</f>
        <v>102415.45080946451</v>
      </c>
      <c r="AY812" s="308"/>
      <c r="BA812" s="65">
        <f t="shared" ref="BA812" si="3270">+BC812-BC811</f>
        <v>1136704</v>
      </c>
      <c r="BB812" s="66"/>
      <c r="BC812" s="66">
        <v>1029529631</v>
      </c>
      <c r="BD812" s="66"/>
      <c r="BE812" s="66">
        <f t="shared" ref="BE812" si="3271">+D812</f>
        <v>44016</v>
      </c>
      <c r="BF812" s="66"/>
      <c r="BG812" s="144">
        <f t="shared" ref="BG812" si="327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73">+BC812/BW812</f>
        <v>1282104.1481942714</v>
      </c>
      <c r="BO812" s="66"/>
      <c r="BP812" s="66">
        <f t="shared" ref="BP812" si="3274">+BP811+BE812</f>
        <v>73606396</v>
      </c>
      <c r="BQ812" s="66"/>
      <c r="BR812" s="435">
        <f t="shared" ref="BR812" si="3275">+BP812/BC812</f>
        <v>7.1495170011284498E-2</v>
      </c>
      <c r="BS812" s="66"/>
      <c r="BT812" s="75"/>
      <c r="BU812" s="170"/>
      <c r="BV812" s="1"/>
      <c r="BW812" s="61">
        <f t="shared" si="1554"/>
        <v>803</v>
      </c>
      <c r="BY812" s="56"/>
      <c r="BZ812" s="1"/>
      <c r="CA812" s="61"/>
    </row>
    <row r="813" spans="2:79" x14ac:dyDescent="0.3">
      <c r="B813" s="158">
        <f t="shared" si="2435"/>
        <v>44713</v>
      </c>
      <c r="C813" s="61"/>
      <c r="D813" s="17">
        <v>95004</v>
      </c>
      <c r="E813" s="16"/>
      <c r="F813" s="16"/>
      <c r="G813" s="16"/>
      <c r="H813" s="16">
        <f t="shared" ref="H813" si="3276">+H812+D813</f>
        <v>74608378</v>
      </c>
      <c r="I813" s="16"/>
      <c r="J813" s="436">
        <f t="shared" ref="J813" si="3277">+D813/H812</f>
        <v>1.2749925939469604E-3</v>
      </c>
      <c r="K813" s="16"/>
      <c r="L813" s="16"/>
      <c r="M813" s="16"/>
      <c r="N813" s="16">
        <f t="shared" ref="N813" si="3278">SUM(D807:D813)</f>
        <v>347921</v>
      </c>
      <c r="O813" s="16">
        <f t="shared" ref="O813" si="3279">+H813/BW813</f>
        <v>92796.490049751243</v>
      </c>
      <c r="P813" s="41"/>
      <c r="Q813" s="17">
        <f t="shared" ref="Q813" si="3280">SUM(D807:D813)</f>
        <v>347921</v>
      </c>
      <c r="R813" s="16"/>
      <c r="S813" s="60">
        <f t="shared" ref="S813" si="3281">+(Q813-Q806)/Q806</f>
        <v>-0.30160186281791357</v>
      </c>
      <c r="T813" s="16"/>
      <c r="U813" s="41"/>
      <c r="V813" s="10">
        <f t="shared" si="568"/>
        <v>705</v>
      </c>
      <c r="W813" s="34">
        <v>347</v>
      </c>
      <c r="X813" s="33">
        <v>4256</v>
      </c>
      <c r="Y813" s="33"/>
      <c r="Z813" s="33">
        <f t="shared" ref="Z813" si="3282">SUM(W808:W813)</f>
        <v>832</v>
      </c>
      <c r="AA813" s="33">
        <f t="shared" ref="AA813" si="3283">+AA812+W813</f>
        <v>897632</v>
      </c>
      <c r="AB813" s="33"/>
      <c r="AC813" s="46">
        <f t="shared" ref="AC813" si="3284">+AA813/H813</f>
        <v>1.2031249359153741E-2</v>
      </c>
      <c r="AD813" s="33"/>
      <c r="AE813" s="33">
        <f t="shared" ref="AE813" si="3285">+AA813/BW813</f>
        <v>1116.4577114427861</v>
      </c>
      <c r="AF813" s="50"/>
      <c r="AG813" s="33"/>
      <c r="AH813" s="33"/>
      <c r="AI813" s="213"/>
      <c r="AJ813" s="50"/>
      <c r="AL813" s="23">
        <f t="shared" ref="AL813" si="328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87">+AL813/AP812</f>
        <v>7.7192732693870966E-4</v>
      </c>
      <c r="AS813" s="25"/>
      <c r="AT813" s="25"/>
      <c r="AU813" s="24"/>
      <c r="AV813" s="298">
        <f t="shared" ref="AV813" si="3288">+AP813/H813</f>
        <v>1.1031346908520112</v>
      </c>
      <c r="AW813" s="298"/>
      <c r="AX813" s="24">
        <f t="shared" ref="AX813" si="3289">+AP813/BW813</f>
        <v>102367.02736318408</v>
      </c>
      <c r="AY813" s="308"/>
      <c r="BA813" s="65">
        <f t="shared" ref="BA813" si="3290">+BC813-BC812</f>
        <v>1178499</v>
      </c>
      <c r="BB813" s="66"/>
      <c r="BC813" s="66">
        <v>1030708130</v>
      </c>
      <c r="BD813" s="66"/>
      <c r="BE813" s="66">
        <f t="shared" ref="BE813" si="3291">+D813</f>
        <v>95004</v>
      </c>
      <c r="BF813" s="66"/>
      <c r="BG813" s="144">
        <f t="shared" ref="BG813" si="329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93">+BC813/BW813</f>
        <v>1281975.2860696518</v>
      </c>
      <c r="BO813" s="66"/>
      <c r="BP813" s="66">
        <f t="shared" ref="BP813" si="3294">+BP812+BE813</f>
        <v>73701400</v>
      </c>
      <c r="BQ813" s="66"/>
      <c r="BR813" s="435">
        <f t="shared" ref="BR813" si="3295">+BP813/BC813</f>
        <v>7.1505596836613672E-2</v>
      </c>
      <c r="BS813" s="66"/>
      <c r="BT813" s="75"/>
      <c r="BU813" s="170"/>
      <c r="BV813" s="1"/>
      <c r="BW813" s="61">
        <f t="shared" si="1554"/>
        <v>804</v>
      </c>
      <c r="BY813" s="56"/>
      <c r="BZ813" s="1"/>
      <c r="CA813" s="61"/>
    </row>
    <row r="814" spans="2:79" x14ac:dyDescent="0.3">
      <c r="B814" s="158">
        <f t="shared" si="2435"/>
        <v>44714</v>
      </c>
      <c r="C814" s="61"/>
      <c r="D814" s="17">
        <v>82896</v>
      </c>
      <c r="E814" s="16"/>
      <c r="F814" s="16"/>
      <c r="G814" s="16"/>
      <c r="H814" s="16">
        <f t="shared" ref="H814" si="3296">+H813+D814</f>
        <v>74691274</v>
      </c>
      <c r="I814" s="16"/>
      <c r="J814" s="436">
        <f t="shared" ref="J814" si="3297">+D814/H813</f>
        <v>1.1110816535912361E-3</v>
      </c>
      <c r="K814" s="16"/>
      <c r="L814" s="16"/>
      <c r="M814" s="16"/>
      <c r="N814" s="16">
        <f t="shared" ref="N814" si="3298">SUM(D808:D814)</f>
        <v>343397</v>
      </c>
      <c r="O814" s="16">
        <f t="shared" ref="O814" si="3299">+H814/BW814</f>
        <v>92784.191304347827</v>
      </c>
      <c r="P814" s="41"/>
      <c r="Q814" s="17">
        <f t="shared" ref="Q814" si="3300">SUM(D808:D814)</f>
        <v>343397</v>
      </c>
      <c r="R814" s="16"/>
      <c r="S814" s="60">
        <f t="shared" ref="S814" si="3301">+(Q814-Q807)/Q807</f>
        <v>-0.27923943774308041</v>
      </c>
      <c r="T814" s="16"/>
      <c r="U814" s="41"/>
      <c r="V814" s="10">
        <f t="shared" si="568"/>
        <v>706</v>
      </c>
      <c r="W814" s="34">
        <v>216</v>
      </c>
      <c r="X814" s="33">
        <v>4256</v>
      </c>
      <c r="Y814" s="33"/>
      <c r="Z814" s="33">
        <f t="shared" ref="Z814" si="3302">SUM(W809:W814)</f>
        <v>785</v>
      </c>
      <c r="AA814" s="33">
        <f t="shared" ref="AA814" si="3303">+AA813+W814</f>
        <v>897848</v>
      </c>
      <c r="AB814" s="33"/>
      <c r="AC814" s="46">
        <f t="shared" ref="AC814" si="3304">+AA814/H814</f>
        <v>1.2020788398923279E-2</v>
      </c>
      <c r="AD814" s="33"/>
      <c r="AE814" s="33">
        <f t="shared" ref="AE814" si="3305">+AA814/BW814</f>
        <v>1115.3391304347826</v>
      </c>
      <c r="AF814" s="50"/>
      <c r="AG814" s="33"/>
      <c r="AH814" s="33"/>
      <c r="AI814" s="213"/>
      <c r="AJ814" s="50"/>
      <c r="AL814" s="23">
        <f t="shared" ref="AL814" si="330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307">+AL814/AP813</f>
        <v>1.1068114210535716E-3</v>
      </c>
      <c r="AS814" s="25"/>
      <c r="AT814" s="25"/>
      <c r="AU814" s="24"/>
      <c r="AV814" s="298">
        <f t="shared" ref="AV814" si="3308">+AP814/H814</f>
        <v>1.1031299854384597</v>
      </c>
      <c r="AW814" s="298"/>
      <c r="AX814" s="24">
        <f t="shared" ref="AX814" si="3309">+AP814/BW814</f>
        <v>102353.02360248448</v>
      </c>
      <c r="AY814" s="308"/>
      <c r="BA814" s="65">
        <f t="shared" ref="BA814" si="3310">+BC814-BC813</f>
        <v>602413</v>
      </c>
      <c r="BB814" s="66"/>
      <c r="BC814" s="66">
        <v>1031310543</v>
      </c>
      <c r="BD814" s="66"/>
      <c r="BE814" s="66">
        <f t="shared" ref="BE814" si="3311">+D814</f>
        <v>82896</v>
      </c>
      <c r="BF814" s="66"/>
      <c r="BG814" s="144">
        <f t="shared" ref="BG814" si="331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13">+BC814/BW814</f>
        <v>1281131.1093167702</v>
      </c>
      <c r="BO814" s="66"/>
      <c r="BP814" s="66">
        <f t="shared" ref="BP814" si="3314">+BP813+BE814</f>
        <v>73784296</v>
      </c>
      <c r="BQ814" s="66"/>
      <c r="BR814" s="435">
        <f t="shared" ref="BR814" si="3315">+BP814/BC814</f>
        <v>7.1544207999044956E-2</v>
      </c>
      <c r="BS814" s="66"/>
      <c r="BT814" s="75"/>
      <c r="BU814" s="170"/>
      <c r="BV814" s="1"/>
      <c r="BW814" s="61">
        <f t="shared" si="1554"/>
        <v>805</v>
      </c>
      <c r="BY814" s="56"/>
      <c r="BZ814" s="1"/>
      <c r="CA814" s="61"/>
    </row>
    <row r="815" spans="2:79" x14ac:dyDescent="0.3">
      <c r="B815" s="158">
        <f t="shared" si="2435"/>
        <v>44715</v>
      </c>
      <c r="C815" s="61"/>
      <c r="D815" s="17">
        <v>103221</v>
      </c>
      <c r="E815" s="16"/>
      <c r="F815" s="16"/>
      <c r="G815" s="16"/>
      <c r="H815" s="16">
        <f t="shared" ref="H815" si="3316">+H814+D815</f>
        <v>74794495</v>
      </c>
      <c r="I815" s="16"/>
      <c r="J815" s="436">
        <f t="shared" ref="J815" si="3317">+D815/H814</f>
        <v>1.3819686620956553E-3</v>
      </c>
      <c r="K815" s="16"/>
      <c r="L815" s="16"/>
      <c r="M815" s="16"/>
      <c r="N815" s="16">
        <f t="shared" ref="N815" si="3318">SUM(D809:D815)</f>
        <v>348369</v>
      </c>
      <c r="O815" s="16">
        <f t="shared" ref="O815" si="3319">+H815/BW815</f>
        <v>92797.140198511173</v>
      </c>
      <c r="P815" s="41"/>
      <c r="Q815" s="17">
        <f t="shared" ref="Q815" si="3320">SUM(D809:D815)</f>
        <v>348369</v>
      </c>
      <c r="R815" s="16"/>
      <c r="S815" s="60">
        <f t="shared" ref="S815" si="3321">+(Q815-Q808)/Q808</f>
        <v>-0.26816463979530314</v>
      </c>
      <c r="T815" s="16"/>
      <c r="U815" s="41"/>
      <c r="V815" s="10">
        <f t="shared" si="568"/>
        <v>707</v>
      </c>
      <c r="W815" s="34">
        <v>316</v>
      </c>
      <c r="X815" s="33">
        <v>4256</v>
      </c>
      <c r="Y815" s="33"/>
      <c r="Z815" s="33">
        <f t="shared" ref="Z815" si="3322">SUM(W810:W815)</f>
        <v>1060</v>
      </c>
      <c r="AA815" s="33">
        <f t="shared" ref="AA815" si="3323">+AA814+W815</f>
        <v>898164</v>
      </c>
      <c r="AB815" s="33"/>
      <c r="AC815" s="46">
        <f t="shared" ref="AC815" si="3324">+AA815/H815</f>
        <v>1.2008423881998267E-2</v>
      </c>
      <c r="AD815" s="33"/>
      <c r="AE815" s="33">
        <f t="shared" ref="AE815" si="3325">+AA815/BW815</f>
        <v>1114.347394540943</v>
      </c>
      <c r="AF815" s="50"/>
      <c r="AG815" s="33"/>
      <c r="AH815" s="33"/>
      <c r="AI815" s="213"/>
      <c r="AJ815" s="50"/>
      <c r="AL815" s="23">
        <f t="shared" ref="AL815" si="332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27">+AL815/AP814</f>
        <v>8.4134579207678054E-4</v>
      </c>
      <c r="AS815" s="25"/>
      <c r="AT815" s="25"/>
      <c r="AU815" s="24"/>
      <c r="AV815" s="298">
        <f t="shared" ref="AV815" si="3328">+AP815/H815</f>
        <v>1.102534431177054</v>
      </c>
      <c r="AW815" s="298"/>
      <c r="AX815" s="24">
        <f t="shared" ref="AX815" si="3329">+AP815/BW815</f>
        <v>102312.04218362283</v>
      </c>
      <c r="AY815" s="308"/>
      <c r="BA815" s="65">
        <f t="shared" ref="BA815" si="3330">+BC815-BC814</f>
        <v>2141884</v>
      </c>
      <c r="BB815" s="66"/>
      <c r="BC815" s="66">
        <v>1033452427</v>
      </c>
      <c r="BD815" s="66"/>
      <c r="BE815" s="66">
        <f t="shared" ref="BE815" si="3331">+D815</f>
        <v>103221</v>
      </c>
      <c r="BF815" s="66"/>
      <c r="BG815" s="144">
        <f t="shared" ref="BG815" si="333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33">+BC815/BW815</f>
        <v>1282199.0409429281</v>
      </c>
      <c r="BO815" s="66"/>
      <c r="BP815" s="66">
        <f t="shared" ref="BP815" si="3334">+BP814+BE815</f>
        <v>73887517</v>
      </c>
      <c r="BQ815" s="66"/>
      <c r="BR815" s="435">
        <f t="shared" ref="BR815" si="3335">+BP815/BC815</f>
        <v>7.1495808679348141E-2</v>
      </c>
      <c r="BS815" s="66"/>
      <c r="BT815" s="75"/>
      <c r="BU815" s="170"/>
      <c r="BV815" s="1"/>
      <c r="BW815" s="61">
        <f t="shared" si="1554"/>
        <v>806</v>
      </c>
      <c r="BY815" s="56"/>
      <c r="BZ815" s="1"/>
      <c r="CA815" s="61"/>
    </row>
    <row r="816" spans="2:79" x14ac:dyDescent="0.3">
      <c r="B816" s="158">
        <f t="shared" si="2435"/>
        <v>44716</v>
      </c>
      <c r="C816" s="61"/>
      <c r="D816" s="17">
        <v>46180</v>
      </c>
      <c r="E816" s="16"/>
      <c r="F816" s="16"/>
      <c r="G816" s="16"/>
      <c r="H816" s="16">
        <f t="shared" ref="H816" si="3336">+H815+D816</f>
        <v>74840675</v>
      </c>
      <c r="I816" s="16"/>
      <c r="J816" s="436">
        <f t="shared" ref="J816" si="3337">+D816/H815</f>
        <v>6.1742511932195011E-4</v>
      </c>
      <c r="K816" s="16"/>
      <c r="L816" s="16"/>
      <c r="M816" s="16"/>
      <c r="N816" s="16">
        <f t="shared" ref="N816" si="3338">SUM(D810:D816)</f>
        <v>382954</v>
      </c>
      <c r="O816" s="16">
        <f t="shared" ref="O816" si="3339">+H816/BW816</f>
        <v>92739.374225526641</v>
      </c>
      <c r="P816" s="41"/>
      <c r="Q816" s="17">
        <f t="shared" ref="Q816" si="3340">SUM(D810:D816)</f>
        <v>382954</v>
      </c>
      <c r="R816" s="16"/>
      <c r="S816" s="60">
        <f t="shared" ref="S816" si="3341">+(Q816-Q809)/Q809</f>
        <v>-0.14401498488993794</v>
      </c>
      <c r="T816" s="16"/>
      <c r="U816" s="41"/>
      <c r="V816" s="10">
        <f t="shared" si="568"/>
        <v>708</v>
      </c>
      <c r="W816" s="34">
        <v>96</v>
      </c>
      <c r="X816" s="33">
        <v>4256</v>
      </c>
      <c r="Y816" s="33"/>
      <c r="Z816" s="33">
        <f t="shared" ref="Z816" si="3342">SUM(W811:W816)</f>
        <v>1142</v>
      </c>
      <c r="AA816" s="33">
        <f t="shared" ref="AA816" si="3343">+AA815+W816</f>
        <v>898260</v>
      </c>
      <c r="AB816" s="33"/>
      <c r="AC816" s="46">
        <f t="shared" ref="AC816" si="3344">+AA816/H816</f>
        <v>1.2002296879337338E-2</v>
      </c>
      <c r="AD816" s="33"/>
      <c r="AE816" s="33">
        <f t="shared" ref="AE816" si="3345">+AA816/BW816</f>
        <v>1113.0855018587361</v>
      </c>
      <c r="AF816" s="50"/>
      <c r="AG816" s="33"/>
      <c r="AH816" s="33"/>
      <c r="AI816" s="213"/>
      <c r="AJ816" s="50"/>
      <c r="AL816" s="23">
        <f t="shared" ref="AL816" si="334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47">+AL816/AP815</f>
        <v>7.7953270626160377E-4</v>
      </c>
      <c r="AS816" s="25"/>
      <c r="AT816" s="25"/>
      <c r="AU816" s="24"/>
      <c r="AV816" s="298">
        <f t="shared" ref="AV816" si="3348">+AP816/H816</f>
        <v>1.1027130500894067</v>
      </c>
      <c r="AW816" s="298"/>
      <c r="AX816" s="24">
        <f t="shared" ref="AX816" si="3349">+AP816/BW816</f>
        <v>102264.91821561338</v>
      </c>
      <c r="AY816" s="308"/>
      <c r="BA816" s="65">
        <f t="shared" ref="BA816" si="3350">+BC816-BC815</f>
        <v>293564</v>
      </c>
      <c r="BB816" s="66"/>
      <c r="BC816" s="66">
        <v>1033745991</v>
      </c>
      <c r="BD816" s="66"/>
      <c r="BE816" s="66">
        <f t="shared" ref="BE816" si="3351">+D816</f>
        <v>46180</v>
      </c>
      <c r="BF816" s="66"/>
      <c r="BG816" s="144">
        <f t="shared" ref="BG816" si="335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53">+BC816/BW816</f>
        <v>1280973.9665427508</v>
      </c>
      <c r="BO816" s="66"/>
      <c r="BP816" s="66">
        <f t="shared" ref="BP816" si="3354">+BP815+BE816</f>
        <v>73933697</v>
      </c>
      <c r="BQ816" s="66"/>
      <c r="BR816" s="435">
        <f t="shared" ref="BR816" si="3355">+BP816/BC816</f>
        <v>7.1520177726135434E-2</v>
      </c>
      <c r="BS816" s="66"/>
      <c r="BT816" s="75"/>
      <c r="BU816" s="170"/>
      <c r="BV816" s="1"/>
      <c r="BW816" s="61">
        <f t="shared" si="1554"/>
        <v>807</v>
      </c>
      <c r="BY816" s="56"/>
      <c r="BZ816" s="1"/>
      <c r="CA816" s="61"/>
    </row>
    <row r="817" spans="2:79" x14ac:dyDescent="0.3">
      <c r="B817" s="347">
        <f t="shared" si="2435"/>
        <v>44717</v>
      </c>
      <c r="C817" s="61"/>
      <c r="D817" s="17">
        <v>19504</v>
      </c>
      <c r="E817" s="16"/>
      <c r="F817" s="16"/>
      <c r="G817" s="16"/>
      <c r="H817" s="16">
        <f t="shared" ref="H817" si="3356">+H816+D817</f>
        <v>74860179</v>
      </c>
      <c r="I817" s="16"/>
      <c r="J817" s="436">
        <f t="shared" ref="J817" si="3357">+D817/H816</f>
        <v>2.6060694936276297E-4</v>
      </c>
      <c r="K817" s="16"/>
      <c r="L817" s="16"/>
      <c r="M817" s="16"/>
      <c r="N817" s="16">
        <f t="shared" ref="N817" si="3358">SUM(D811:D817)</f>
        <v>397686</v>
      </c>
      <c r="O817" s="16">
        <f t="shared" ref="O817" si="3359">+H817/BW817</f>
        <v>92648.736386138611</v>
      </c>
      <c r="P817" s="41"/>
      <c r="Q817" s="17">
        <f t="shared" ref="Q817" si="3360">SUM(D811:D817)</f>
        <v>397686</v>
      </c>
      <c r="R817" s="16"/>
      <c r="S817" s="60">
        <f t="shared" ref="S817" si="3361">+(Q817-Q810)/Q810</f>
        <v>-7.9807578839225596E-2</v>
      </c>
      <c r="T817" s="16"/>
      <c r="U817" s="41"/>
      <c r="V817" s="10">
        <f t="shared" si="568"/>
        <v>709</v>
      </c>
      <c r="W817" s="34">
        <v>20</v>
      </c>
      <c r="X817" s="33">
        <v>4256</v>
      </c>
      <c r="Y817" s="33"/>
      <c r="Z817" s="33">
        <f t="shared" ref="Z817" si="3362">SUM(W812:W817)</f>
        <v>1124</v>
      </c>
      <c r="AA817" s="33">
        <f t="shared" ref="AA817" si="3363">+AA816+W817</f>
        <v>898280</v>
      </c>
      <c r="AB817" s="33"/>
      <c r="AC817" s="46">
        <f t="shared" ref="AC817" si="3364">+AA817/H817</f>
        <v>1.1999436977034213E-2</v>
      </c>
      <c r="AD817" s="33"/>
      <c r="AE817" s="33">
        <f t="shared" ref="AE817" si="3365">+AA817/BW817</f>
        <v>1111.7326732673268</v>
      </c>
      <c r="AF817" s="50"/>
      <c r="AG817" s="33"/>
      <c r="AH817" s="33"/>
      <c r="AI817" s="213"/>
      <c r="AJ817" s="50"/>
      <c r="AL817" s="23">
        <f t="shared" ref="AL817" si="336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67">+AL817/AP816</f>
        <v>6.8755022626378612E-4</v>
      </c>
      <c r="AS817" s="25"/>
      <c r="AT817" s="25"/>
      <c r="AU817" s="24"/>
      <c r="AV817" s="298">
        <f t="shared" ref="AV817" si="3368">+AP817/H817</f>
        <v>1.1031837233517703</v>
      </c>
      <c r="AW817" s="298"/>
      <c r="AX817" s="24">
        <f t="shared" ref="AX817" si="3369">+AP817/BW817</f>
        <v>102208.57797029703</v>
      </c>
      <c r="AY817" s="308"/>
      <c r="BA817" s="65">
        <f t="shared" ref="BA817" si="3370">+BC817-BC816</f>
        <v>188383</v>
      </c>
      <c r="BB817" s="66"/>
      <c r="BC817" s="66">
        <v>1033934374</v>
      </c>
      <c r="BD817" s="66"/>
      <c r="BE817" s="66">
        <f t="shared" ref="BE817" si="3371">+D817</f>
        <v>19504</v>
      </c>
      <c r="BF817" s="66"/>
      <c r="BG817" s="144">
        <f t="shared" ref="BG817" si="337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73">+BC817/BW817</f>
        <v>1279621.75</v>
      </c>
      <c r="BO817" s="66"/>
      <c r="BP817" s="66">
        <f t="shared" ref="BP817" si="3374">+BP816+BE817</f>
        <v>73953201</v>
      </c>
      <c r="BQ817" s="66"/>
      <c r="BR817" s="435">
        <f t="shared" ref="BR817" si="3375">+BP817/BC817</f>
        <v>7.1526010605388768E-2</v>
      </c>
      <c r="BS817" s="66"/>
      <c r="BT817" s="75"/>
      <c r="BU817" s="170"/>
      <c r="BV817" s="1"/>
      <c r="BW817" s="61">
        <f t="shared" si="1554"/>
        <v>808</v>
      </c>
      <c r="BY817" s="56"/>
      <c r="BZ817" s="1"/>
      <c r="CA817" s="61"/>
    </row>
    <row r="818" spans="2:79" x14ac:dyDescent="0.3">
      <c r="B818" s="158">
        <f t="shared" si="2435"/>
        <v>44718</v>
      </c>
      <c r="C818" s="61"/>
      <c r="D818" s="17">
        <v>81332</v>
      </c>
      <c r="E818" s="16"/>
      <c r="F818" s="16"/>
      <c r="G818" s="16"/>
      <c r="H818" s="16">
        <f t="shared" ref="H818" si="3376">+H817+D818</f>
        <v>74941511</v>
      </c>
      <c r="I818" s="16"/>
      <c r="J818" s="436">
        <f t="shared" ref="J818" si="3377">+D818/H817</f>
        <v>1.0864521176205042E-3</v>
      </c>
      <c r="K818" s="16"/>
      <c r="L818" s="16"/>
      <c r="M818" s="16"/>
      <c r="N818" s="16">
        <f t="shared" ref="N818" si="3378">SUM(D812:D818)</f>
        <v>472153</v>
      </c>
      <c r="O818" s="16">
        <f t="shared" ref="O818" si="3379">+H818/BW818</f>
        <v>92634.747836835595</v>
      </c>
      <c r="P818" s="41"/>
      <c r="Q818" s="17">
        <f t="shared" ref="Q818" si="3380">SUM(D812:D818)</f>
        <v>472153</v>
      </c>
      <c r="R818" s="16"/>
      <c r="S818" s="60">
        <f t="shared" ref="S818" si="3381">+(Q818-Q811)/Q811</f>
        <v>0.22397117341317677</v>
      </c>
      <c r="T818" s="16"/>
      <c r="U818" s="41"/>
      <c r="V818" s="10">
        <f t="shared" si="568"/>
        <v>710</v>
      </c>
      <c r="W818" s="34">
        <v>339</v>
      </c>
      <c r="X818" s="33">
        <v>4256</v>
      </c>
      <c r="Y818" s="33"/>
      <c r="Z818" s="33">
        <f t="shared" ref="Z818" si="3382">SUM(W813:W818)</f>
        <v>1334</v>
      </c>
      <c r="AA818" s="33">
        <f t="shared" ref="AA818" si="3383">+AA817+W818</f>
        <v>898619</v>
      </c>
      <c r="AB818" s="33"/>
      <c r="AC818" s="46">
        <f t="shared" ref="AC818" si="3384">+AA818/H818</f>
        <v>1.1990937839510602E-2</v>
      </c>
      <c r="AD818" s="33"/>
      <c r="AE818" s="33">
        <f t="shared" ref="AE818" si="3385">+AA818/BW818</f>
        <v>1110.7775030902349</v>
      </c>
      <c r="AF818" s="50"/>
      <c r="AG818" s="33"/>
      <c r="AH818" s="33"/>
      <c r="AI818" s="213"/>
      <c r="AJ818" s="50"/>
      <c r="AL818" s="23">
        <f t="shared" ref="AL818" si="338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87">+AL818/AP817</f>
        <v>2.0570075042261851E-3</v>
      </c>
      <c r="AS818" s="25"/>
      <c r="AT818" s="25"/>
      <c r="AU818" s="24"/>
      <c r="AV818" s="298">
        <f t="shared" ref="AV818" si="3388">+AP818/H818</f>
        <v>1.1042532622540797</v>
      </c>
      <c r="AW818" s="298"/>
      <c r="AX818" s="24">
        <f t="shared" ref="AX818" si="3389">+AP818/BW818</f>
        <v>102292.22249690976</v>
      </c>
      <c r="AY818" s="308"/>
      <c r="BA818" s="65">
        <f t="shared" ref="BA818" si="3390">+BC818-BC817</f>
        <v>2047966</v>
      </c>
      <c r="BB818" s="66"/>
      <c r="BC818" s="66">
        <v>1035982340</v>
      </c>
      <c r="BD818" s="66"/>
      <c r="BE818" s="66">
        <f t="shared" ref="BE818" si="3391">+D818</f>
        <v>81332</v>
      </c>
      <c r="BF818" s="66"/>
      <c r="BG818" s="144">
        <f t="shared" ref="BG818" si="339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93">+BC818/BW818</f>
        <v>1280571.4956736711</v>
      </c>
      <c r="BO818" s="66"/>
      <c r="BP818" s="66">
        <f t="shared" ref="BP818" si="3394">+BP817+BE818</f>
        <v>74034533</v>
      </c>
      <c r="BQ818" s="66"/>
      <c r="BR818" s="435">
        <f t="shared" ref="BR818" si="3395">+BP818/BC818</f>
        <v>7.1463122624271763E-2</v>
      </c>
      <c r="BS818" s="66"/>
      <c r="BT818" s="75"/>
      <c r="BU818" s="170"/>
      <c r="BV818" s="1"/>
      <c r="BW818" s="61">
        <f t="shared" si="1554"/>
        <v>809</v>
      </c>
      <c r="BY818" s="56"/>
      <c r="BZ818" s="1"/>
      <c r="CA818" s="61"/>
    </row>
    <row r="819" spans="2:79" x14ac:dyDescent="0.3">
      <c r="B819" s="158">
        <f t="shared" si="2435"/>
        <v>44719</v>
      </c>
      <c r="C819" s="61"/>
      <c r="D819" s="17">
        <v>96848</v>
      </c>
      <c r="E819" s="16"/>
      <c r="F819" s="16"/>
      <c r="G819" s="16"/>
      <c r="H819" s="16">
        <f t="shared" ref="H819" si="3396">+H818+D819</f>
        <v>75038359</v>
      </c>
      <c r="I819" s="16"/>
      <c r="J819" s="436">
        <f t="shared" ref="J819" si="3397">+D819/H818</f>
        <v>1.2923144824234995E-3</v>
      </c>
      <c r="K819" s="16"/>
      <c r="L819" s="16"/>
      <c r="M819" s="16"/>
      <c r="N819" s="16">
        <f t="shared" ref="N819" si="3398">SUM(D813:D819)</f>
        <v>524985</v>
      </c>
      <c r="O819" s="16">
        <f t="shared" ref="O819" si="3399">+H819/BW819</f>
        <v>92639.949382716048</v>
      </c>
      <c r="P819" s="41"/>
      <c r="Q819" s="17">
        <f t="shared" ref="Q819" si="3400">SUM(D813:D819)</f>
        <v>524985</v>
      </c>
      <c r="R819" s="16"/>
      <c r="S819" s="60">
        <f t="shared" ref="S819" si="3401">+(Q819-Q812)/Q812</f>
        <v>0.48243057791030614</v>
      </c>
      <c r="T819" s="16"/>
      <c r="U819" s="41"/>
      <c r="V819" s="10">
        <f t="shared" si="568"/>
        <v>711</v>
      </c>
      <c r="W819" s="34">
        <v>283</v>
      </c>
      <c r="X819" s="33">
        <v>4256</v>
      </c>
      <c r="Y819" s="33"/>
      <c r="Z819" s="33">
        <f t="shared" ref="Z819" si="3402">SUM(W814:W819)</f>
        <v>1270</v>
      </c>
      <c r="AA819" s="33">
        <f t="shared" ref="AA819" si="3403">+AA818+W819</f>
        <v>898902</v>
      </c>
      <c r="AB819" s="33"/>
      <c r="AC819" s="46">
        <f t="shared" ref="AC819" si="3404">+AA819/H819</f>
        <v>1.1979233181258668E-2</v>
      </c>
      <c r="AD819" s="33"/>
      <c r="AE819" s="33">
        <f t="shared" ref="AE819" si="3405">+AA819/BW819</f>
        <v>1109.7555555555555</v>
      </c>
      <c r="AF819" s="50"/>
      <c r="AG819" s="33"/>
      <c r="AH819" s="33"/>
      <c r="AI819" s="213"/>
      <c r="AJ819" s="50"/>
      <c r="AL819" s="23">
        <f t="shared" ref="AL819" si="340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407">+AL819/AP818</f>
        <v>8.6510195323975976E-4</v>
      </c>
      <c r="AS819" s="25"/>
      <c r="AT819" s="25"/>
      <c r="AU819" s="24"/>
      <c r="AV819" s="298">
        <f t="shared" ref="AV819" si="3408">+AP819/H819</f>
        <v>1.103782120288638</v>
      </c>
      <c r="AW819" s="298"/>
      <c r="AX819" s="24">
        <f t="shared" ref="AX819" si="3409">+AP819/BW819</f>
        <v>102254.31975308641</v>
      </c>
      <c r="AY819" s="308"/>
      <c r="BA819" s="65">
        <f t="shared" ref="BA819" si="3410">+BC819-BC818</f>
        <v>1244408</v>
      </c>
      <c r="BB819" s="66"/>
      <c r="BC819" s="66">
        <v>1037226748</v>
      </c>
      <c r="BD819" s="66"/>
      <c r="BE819" s="66">
        <f t="shared" ref="BE819" si="3411">+D819</f>
        <v>96848</v>
      </c>
      <c r="BF819" s="66"/>
      <c r="BG819" s="144">
        <f t="shared" ref="BG819" si="341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13">+BC819/BW819</f>
        <v>1280526.849382716</v>
      </c>
      <c r="BO819" s="66"/>
      <c r="BP819" s="66">
        <f t="shared" ref="BP819" si="3414">+BP818+BE819</f>
        <v>74131381</v>
      </c>
      <c r="BQ819" s="66"/>
      <c r="BR819" s="435">
        <f t="shared" ref="BR819" si="3415">+BP819/BC819</f>
        <v>7.1470757134774549E-2</v>
      </c>
      <c r="BS819" s="66"/>
      <c r="BT819" s="75"/>
      <c r="BU819" s="170"/>
      <c r="BV819" s="1"/>
      <c r="BW819" s="61">
        <f t="shared" si="1554"/>
        <v>810</v>
      </c>
      <c r="BY819" s="56"/>
      <c r="BZ819" s="1"/>
      <c r="CA819" s="61"/>
    </row>
    <row r="820" spans="2:79" x14ac:dyDescent="0.3">
      <c r="B820" s="158">
        <f t="shared" si="2435"/>
        <v>44720</v>
      </c>
      <c r="C820" s="61"/>
      <c r="D820" s="17">
        <v>98765</v>
      </c>
      <c r="E820" s="16"/>
      <c r="F820" s="16"/>
      <c r="G820" s="16"/>
      <c r="H820" s="16">
        <f t="shared" ref="H820" si="3416">+H819+D820</f>
        <v>75137124</v>
      </c>
      <c r="I820" s="16"/>
      <c r="J820" s="436">
        <f t="shared" ref="J820" si="3417">+D820/H819</f>
        <v>1.3161934951162778E-3</v>
      </c>
      <c r="K820" s="16"/>
      <c r="L820" s="16"/>
      <c r="M820" s="16"/>
      <c r="N820" s="16">
        <f t="shared" ref="N820" si="3418">SUM(D814:D820)</f>
        <v>528746</v>
      </c>
      <c r="O820" s="16">
        <f t="shared" ref="O820" si="3419">+H820/BW820</f>
        <v>92647.501849568434</v>
      </c>
      <c r="P820" s="41"/>
      <c r="Q820" s="17">
        <f t="shared" ref="Q820" si="3420">SUM(D814:D820)</f>
        <v>528746</v>
      </c>
      <c r="R820" s="16"/>
      <c r="S820" s="60">
        <f t="shared" ref="S820" si="3421">+(Q820-Q813)/Q813</f>
        <v>0.51973005366160707</v>
      </c>
      <c r="T820" s="16"/>
      <c r="U820" s="41"/>
      <c r="V820" s="10">
        <f t="shared" si="568"/>
        <v>712</v>
      </c>
      <c r="W820" s="34">
        <v>436</v>
      </c>
      <c r="X820" s="33">
        <v>4256</v>
      </c>
      <c r="Y820" s="33"/>
      <c r="Z820" s="33">
        <f t="shared" ref="Z820" si="3422">SUM(W815:W820)</f>
        <v>1490</v>
      </c>
      <c r="AA820" s="33">
        <f t="shared" ref="AA820" si="3423">+AA819+W820</f>
        <v>899338</v>
      </c>
      <c r="AB820" s="33"/>
      <c r="AC820" s="46">
        <f t="shared" ref="AC820" si="3424">+AA820/H820</f>
        <v>1.1969289641695628E-2</v>
      </c>
      <c r="AD820" s="33"/>
      <c r="AE820" s="33">
        <f t="shared" ref="AE820" si="3425">+AA820/BW820</f>
        <v>1108.9247842170159</v>
      </c>
      <c r="AF820" s="50"/>
      <c r="AG820" s="33"/>
      <c r="AH820" s="33"/>
      <c r="AI820" s="213"/>
      <c r="AJ820" s="50"/>
      <c r="AL820" s="23">
        <f t="shared" ref="AL820" si="342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27">+AL820/AP819</f>
        <v>6.5198126979428288E-4</v>
      </c>
      <c r="AS820" s="25"/>
      <c r="AT820" s="25"/>
      <c r="AU820" s="24"/>
      <c r="AV820" s="298">
        <f t="shared" ref="AV820" si="3428">+AP820/H820</f>
        <v>1.1030499384032852</v>
      </c>
      <c r="AW820" s="298"/>
      <c r="AX820" s="24">
        <f t="shared" ref="AX820" si="3429">+AP820/BW820</f>
        <v>102194.82120838472</v>
      </c>
      <c r="AY820" s="308"/>
      <c r="BA820" s="65">
        <f t="shared" ref="BA820" si="3430">+BC820-BC819</f>
        <v>143252</v>
      </c>
      <c r="BB820" s="66"/>
      <c r="BC820" s="66">
        <v>1037370000</v>
      </c>
      <c r="BD820" s="66"/>
      <c r="BE820" s="66">
        <f t="shared" ref="BE820" si="3431">+D820</f>
        <v>98765</v>
      </c>
      <c r="BF820" s="66"/>
      <c r="BG820" s="144">
        <f t="shared" ref="BG820" si="343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33">+BC820/BW820</f>
        <v>1279124.5376078915</v>
      </c>
      <c r="BO820" s="66"/>
      <c r="BP820" s="66">
        <f t="shared" ref="BP820" si="3434">+BP819+BE820</f>
        <v>74230146</v>
      </c>
      <c r="BQ820" s="66"/>
      <c r="BR820" s="435">
        <f t="shared" ref="BR820" si="3435">+BP820/BC820</f>
        <v>7.1556094739581827E-2</v>
      </c>
      <c r="BS820" s="66"/>
      <c r="BT820" s="75"/>
      <c r="BU820" s="170"/>
      <c r="BV820" s="1"/>
      <c r="BW820" s="61">
        <f t="shared" si="1554"/>
        <v>811</v>
      </c>
      <c r="BY820" s="56"/>
      <c r="BZ820" s="1"/>
      <c r="CA820" s="61"/>
    </row>
    <row r="821" spans="2:79" x14ac:dyDescent="0.3">
      <c r="B821" s="158">
        <f t="shared" si="2435"/>
        <v>44721</v>
      </c>
      <c r="C821" s="61"/>
      <c r="D821" s="17">
        <v>104628</v>
      </c>
      <c r="E821" s="16"/>
      <c r="F821" s="16"/>
      <c r="G821" s="16"/>
      <c r="H821" s="16">
        <f t="shared" ref="H821" si="3436">+H820+D821</f>
        <v>75241752</v>
      </c>
      <c r="I821" s="16"/>
      <c r="J821" s="436">
        <f t="shared" ref="J821" si="3437">+D821/H820</f>
        <v>1.3924940752323711E-3</v>
      </c>
      <c r="K821" s="16"/>
      <c r="L821" s="16"/>
      <c r="M821" s="16"/>
      <c r="N821" s="16">
        <f t="shared" ref="N821" si="3438">SUM(D815:D821)</f>
        <v>550478</v>
      </c>
      <c r="O821" s="16">
        <f t="shared" ref="O821" si="3439">+H821/BW821</f>
        <v>92662.256157635464</v>
      </c>
      <c r="P821" s="41"/>
      <c r="Q821" s="17">
        <f t="shared" ref="Q821" si="3440">SUM(D815:D821)</f>
        <v>550478</v>
      </c>
      <c r="R821" s="16"/>
      <c r="S821" s="60">
        <f t="shared" ref="S821" si="3441">+(Q821-Q814)/Q814</f>
        <v>0.60303671843376616</v>
      </c>
      <c r="T821" s="16"/>
      <c r="U821" s="41"/>
      <c r="V821" s="10">
        <f t="shared" si="568"/>
        <v>713</v>
      </c>
      <c r="W821" s="34">
        <v>260</v>
      </c>
      <c r="X821" s="33">
        <v>4256</v>
      </c>
      <c r="Y821" s="33"/>
      <c r="Z821" s="33">
        <f t="shared" ref="Z821" si="3442">SUM(W816:W821)</f>
        <v>1434</v>
      </c>
      <c r="AA821" s="33">
        <f t="shared" ref="AA821" si="3443">+AA820+W821</f>
        <v>899598</v>
      </c>
      <c r="AB821" s="33"/>
      <c r="AC821" s="46">
        <f t="shared" ref="AC821" si="3444">+AA821/H821</f>
        <v>1.1956101181694972E-2</v>
      </c>
      <c r="AD821" s="33"/>
      <c r="AE821" s="33">
        <f t="shared" ref="AE821" si="3445">+AA821/BW821</f>
        <v>1107.8793103448277</v>
      </c>
      <c r="AF821" s="50"/>
      <c r="AG821" s="33"/>
      <c r="AH821" s="33"/>
      <c r="AI821" s="213"/>
      <c r="AJ821" s="50"/>
      <c r="AL821" s="23">
        <f t="shared" ref="AL821" si="344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47">+AL821/AP820</f>
        <v>6.665299227799228E-4</v>
      </c>
      <c r="AS821" s="25"/>
      <c r="AT821" s="25"/>
      <c r="AU821" s="24"/>
      <c r="AV821" s="298">
        <f t="shared" ref="AV821" si="3448">+AP821/H821</f>
        <v>1.1022502772131091</v>
      </c>
      <c r="AW821" s="298"/>
      <c r="AX821" s="24">
        <f t="shared" ref="AX821" si="3449">+AP821/BW821</f>
        <v>102136.99753694581</v>
      </c>
      <c r="AY821" s="308"/>
      <c r="BA821" s="65">
        <f t="shared" ref="BA821" si="3450">+BC821-BC820</f>
        <v>1035268</v>
      </c>
      <c r="BB821" s="66"/>
      <c r="BC821" s="66">
        <v>1038405268</v>
      </c>
      <c r="BD821" s="66"/>
      <c r="BE821" s="66">
        <f t="shared" ref="BE821" si="3451">+D821</f>
        <v>104628</v>
      </c>
      <c r="BF821" s="66"/>
      <c r="BG821" s="144">
        <f t="shared" ref="BG821" si="345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53">+BC821/BW821</f>
        <v>1278824.2216748768</v>
      </c>
      <c r="BO821" s="66"/>
      <c r="BP821" s="66">
        <f t="shared" ref="BP821" si="3454">+BP820+BE821</f>
        <v>74334774</v>
      </c>
      <c r="BQ821" s="66"/>
      <c r="BR821" s="435">
        <f t="shared" ref="BR821" si="3455">+BP821/BC821</f>
        <v>7.1585513181352617E-2</v>
      </c>
      <c r="BS821" s="66"/>
      <c r="BT821" s="75"/>
      <c r="BU821" s="170"/>
      <c r="BV821" s="1"/>
      <c r="BW821" s="61">
        <f t="shared" si="1554"/>
        <v>812</v>
      </c>
      <c r="BY821" s="56"/>
      <c r="BZ821" s="1"/>
      <c r="CA821" s="61"/>
    </row>
    <row r="822" spans="2:79" x14ac:dyDescent="0.3">
      <c r="B822" s="158">
        <f t="shared" si="2435"/>
        <v>44722</v>
      </c>
      <c r="C822" s="61"/>
      <c r="D822" s="17">
        <v>93870</v>
      </c>
      <c r="E822" s="16"/>
      <c r="F822" s="16"/>
      <c r="G822" s="16"/>
      <c r="H822" s="16">
        <f t="shared" ref="H822" si="3456">+H821+D822</f>
        <v>75335622</v>
      </c>
      <c r="I822" s="16"/>
      <c r="J822" s="436">
        <f t="shared" ref="J822" si="3457">+D822/H821</f>
        <v>1.2475786050276979E-3</v>
      </c>
      <c r="K822" s="16"/>
      <c r="L822" s="16"/>
      <c r="M822" s="16"/>
      <c r="N822" s="16">
        <f t="shared" ref="N822" si="3458">SUM(D816:D822)</f>
        <v>541127</v>
      </c>
      <c r="O822" s="16">
        <f t="shared" ref="O822" si="3459">+H822/BW822</f>
        <v>92663.741697416976</v>
      </c>
      <c r="P822" s="41"/>
      <c r="Q822" s="17">
        <f t="shared" ref="Q822" si="3460">SUM(D816:D822)</f>
        <v>541127</v>
      </c>
      <c r="R822" s="16"/>
      <c r="S822" s="60">
        <f t="shared" ref="S822" si="3461">+(Q822-Q815)/Q815</f>
        <v>0.55331559352295989</v>
      </c>
      <c r="T822" s="16"/>
      <c r="U822" s="41"/>
      <c r="V822" s="10">
        <f t="shared" si="568"/>
        <v>714</v>
      </c>
      <c r="W822" s="34">
        <v>205</v>
      </c>
      <c r="X822" s="33">
        <v>4256</v>
      </c>
      <c r="Y822" s="33"/>
      <c r="Z822" s="33">
        <f t="shared" ref="Z822" si="3462">SUM(W817:W822)</f>
        <v>1543</v>
      </c>
      <c r="AA822" s="33">
        <f t="shared" ref="AA822" si="3463">+AA821+W822</f>
        <v>899803</v>
      </c>
      <c r="AB822" s="33"/>
      <c r="AC822" s="46">
        <f t="shared" ref="AC822" si="3464">+AA822/H822</f>
        <v>1.1943924747843723E-2</v>
      </c>
      <c r="AD822" s="33"/>
      <c r="AE822" s="33">
        <f t="shared" ref="AE822" si="3465">+AA822/BW822</f>
        <v>1106.7687576875769</v>
      </c>
      <c r="AF822" s="50"/>
      <c r="AG822" s="33"/>
      <c r="AH822" s="33"/>
      <c r="AI822" s="213"/>
      <c r="AJ822" s="50"/>
      <c r="AL822" s="23">
        <f t="shared" ref="AL822" si="346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67">+AL822/AP821</f>
        <v>9.5587832251095377E-4</v>
      </c>
      <c r="AS822" s="25"/>
      <c r="AT822" s="25"/>
      <c r="AU822" s="24"/>
      <c r="AV822" s="298">
        <f t="shared" ref="AV822" si="3468">+AP822/H822</f>
        <v>1.1019291511258777</v>
      </c>
      <c r="AW822" s="298"/>
      <c r="AX822" s="24">
        <f t="shared" ref="AX822" si="3469">+AP822/BW822</f>
        <v>102108.87822878228</v>
      </c>
      <c r="AY822" s="308"/>
      <c r="BA822" s="65">
        <f t="shared" ref="BA822" si="3470">+BC822-BC821</f>
        <v>721244</v>
      </c>
      <c r="BB822" s="66"/>
      <c r="BC822" s="66">
        <v>1039126512</v>
      </c>
      <c r="BD822" s="66"/>
      <c r="BE822" s="66">
        <f t="shared" ref="BE822" si="3471">+D822</f>
        <v>93870</v>
      </c>
      <c r="BF822" s="66"/>
      <c r="BG822" s="144">
        <f t="shared" ref="BG822" si="347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73">+BC822/BW822</f>
        <v>1278138.3911439115</v>
      </c>
      <c r="BO822" s="66"/>
      <c r="BP822" s="66">
        <f t="shared" ref="BP822" si="3474">+BP821+BE822</f>
        <v>74428644</v>
      </c>
      <c r="BQ822" s="66"/>
      <c r="BR822" s="435">
        <f t="shared" ref="BR822" si="3475">+BP822/BC822</f>
        <v>7.1626162108738498E-2</v>
      </c>
      <c r="BS822" s="66"/>
      <c r="BT822" s="75"/>
      <c r="BU822" s="170"/>
      <c r="BV822" s="1"/>
      <c r="BW822" s="61">
        <f t="shared" si="1554"/>
        <v>813</v>
      </c>
      <c r="BY822" s="56"/>
      <c r="BZ822" s="1"/>
      <c r="CA822" s="61"/>
    </row>
    <row r="823" spans="2:79" x14ac:dyDescent="0.3">
      <c r="B823" s="158">
        <f t="shared" si="2435"/>
        <v>44723</v>
      </c>
      <c r="C823" s="61"/>
      <c r="D823" s="17">
        <v>39743</v>
      </c>
      <c r="E823" s="16"/>
      <c r="F823" s="16"/>
      <c r="G823" s="16"/>
      <c r="H823" s="16">
        <f t="shared" ref="H823" si="3476">+H822+D823</f>
        <v>75375365</v>
      </c>
      <c r="I823" s="16"/>
      <c r="J823" s="436">
        <f t="shared" ref="J823" si="3477">+D823/H822</f>
        <v>5.275459197774991E-4</v>
      </c>
      <c r="K823" s="16"/>
      <c r="L823" s="16"/>
      <c r="M823" s="16"/>
      <c r="N823" s="16">
        <f t="shared" ref="N823" si="3478">SUM(D817:D823)</f>
        <v>534690</v>
      </c>
      <c r="O823" s="16">
        <f t="shared" ref="O823" si="3479">+H823/BW823</f>
        <v>92598.728501228499</v>
      </c>
      <c r="P823" s="41"/>
      <c r="Q823" s="17">
        <f t="shared" ref="Q823" si="3480">SUM(D817:D823)</f>
        <v>534690</v>
      </c>
      <c r="R823" s="16"/>
      <c r="S823" s="60">
        <f t="shared" ref="S823" si="3481">+(Q823-Q816)/Q816</f>
        <v>0.39622513408921178</v>
      </c>
      <c r="T823" s="16"/>
      <c r="U823" s="41"/>
      <c r="V823" s="10">
        <f t="shared" si="568"/>
        <v>715</v>
      </c>
      <c r="W823" s="34">
        <v>74</v>
      </c>
      <c r="X823" s="33">
        <v>4256</v>
      </c>
      <c r="Y823" s="33"/>
      <c r="Z823" s="33">
        <f t="shared" ref="Z823" si="3482">SUM(W818:W823)</f>
        <v>1597</v>
      </c>
      <c r="AA823" s="33">
        <f t="shared" ref="AA823" si="3483">+AA822+W823</f>
        <v>899877</v>
      </c>
      <c r="AB823" s="33"/>
      <c r="AC823" s="46">
        <f t="shared" ref="AC823" si="3484">+AA823/H823</f>
        <v>1.1938608854497752E-2</v>
      </c>
      <c r="AD823" s="33"/>
      <c r="AE823" s="33">
        <f t="shared" ref="AE823" si="3485">+AA823/BW823</f>
        <v>1105.5</v>
      </c>
      <c r="AF823" s="50"/>
      <c r="AG823" s="33"/>
      <c r="AH823" s="33"/>
      <c r="AI823" s="213"/>
      <c r="AJ823" s="50"/>
      <c r="AL823" s="23">
        <f t="shared" ref="AL823" si="348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87">+AL823/AP822</f>
        <v>7.9153624670807586E-4</v>
      </c>
      <c r="AS823" s="25"/>
      <c r="AT823" s="25"/>
      <c r="AU823" s="24"/>
      <c r="AV823" s="298">
        <f t="shared" ref="AV823" si="3488">+AP823/H823</f>
        <v>1.1022198963812646</v>
      </c>
      <c r="AW823" s="298"/>
      <c r="AX823" s="24">
        <f t="shared" ref="AX823" si="3489">+AP823/BW823</f>
        <v>102064.16093366094</v>
      </c>
      <c r="AY823" s="308"/>
      <c r="BA823" s="65">
        <f t="shared" ref="BA823" si="3490">+BC823-BC822</f>
        <v>257724</v>
      </c>
      <c r="BB823" s="66"/>
      <c r="BC823" s="66">
        <v>1039384236</v>
      </c>
      <c r="BD823" s="66"/>
      <c r="BE823" s="66">
        <f t="shared" ref="BE823" si="3491">+D823</f>
        <v>39743</v>
      </c>
      <c r="BF823" s="66"/>
      <c r="BG823" s="144">
        <f t="shared" ref="BG823" si="349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93">+BC823/BW823</f>
        <v>1276884.8108108109</v>
      </c>
      <c r="BO823" s="66"/>
      <c r="BP823" s="66">
        <f t="shared" ref="BP823" si="3494">+BP822+BE823</f>
        <v>74468387</v>
      </c>
      <c r="BQ823" s="66"/>
      <c r="BR823" s="435">
        <f t="shared" ref="BR823" si="3495">+BP823/BC823</f>
        <v>7.1646638866283516E-2</v>
      </c>
      <c r="BS823" s="66"/>
      <c r="BT823" s="75"/>
      <c r="BU823" s="170"/>
      <c r="BV823" s="1"/>
      <c r="BW823" s="61">
        <f t="shared" si="1554"/>
        <v>814</v>
      </c>
      <c r="BY823" s="56"/>
      <c r="BZ823" s="1"/>
      <c r="CA823" s="61"/>
    </row>
    <row r="824" spans="2:79" x14ac:dyDescent="0.3">
      <c r="B824" s="347">
        <f t="shared" si="2435"/>
        <v>44724</v>
      </c>
      <c r="C824" s="61"/>
      <c r="D824" s="17">
        <v>16284</v>
      </c>
      <c r="E824" s="16"/>
      <c r="F824" s="16"/>
      <c r="G824" s="16"/>
      <c r="H824" s="16">
        <f t="shared" ref="H824" si="3496">+H823+D824</f>
        <v>75391649</v>
      </c>
      <c r="I824" s="16"/>
      <c r="J824" s="436">
        <f t="shared" ref="J824" si="3497">+D824/H823</f>
        <v>2.1603875483720708E-4</v>
      </c>
      <c r="K824" s="16"/>
      <c r="L824" s="16"/>
      <c r="M824" s="16"/>
      <c r="N824" s="16">
        <f t="shared" ref="N824" si="3498">SUM(D818:D824)</f>
        <v>531470</v>
      </c>
      <c r="O824" s="16">
        <f t="shared" ref="O824" si="3499">+H824/BW824</f>
        <v>92505.090797546014</v>
      </c>
      <c r="P824" s="41"/>
      <c r="Q824" s="17">
        <f t="shared" ref="Q824" si="3500">SUM(D818:D824)</f>
        <v>531470</v>
      </c>
      <c r="R824" s="16"/>
      <c r="S824" s="60">
        <f t="shared" ref="S824" si="3501">+(Q824-Q817)/Q817</f>
        <v>0.33640610934254661</v>
      </c>
      <c r="T824" s="16"/>
      <c r="U824" s="41"/>
      <c r="V824" s="10">
        <f t="shared" si="568"/>
        <v>716</v>
      </c>
      <c r="W824" s="34">
        <v>19</v>
      </c>
      <c r="X824" s="33">
        <v>4256</v>
      </c>
      <c r="Y824" s="33"/>
      <c r="Z824" s="33">
        <f t="shared" ref="Z824" si="3502">SUM(W819:W824)</f>
        <v>1277</v>
      </c>
      <c r="AA824" s="33">
        <f t="shared" ref="AA824" si="3503">+AA823+W824</f>
        <v>899896</v>
      </c>
      <c r="AB824" s="33"/>
      <c r="AC824" s="46">
        <f t="shared" ref="AC824" si="3504">+AA824/H824</f>
        <v>1.1936282226695957E-2</v>
      </c>
      <c r="AD824" s="33"/>
      <c r="AE824" s="33">
        <f t="shared" ref="AE824" si="3505">+AA824/BW824</f>
        <v>1104.1668711656441</v>
      </c>
      <c r="AF824" s="50"/>
      <c r="AG824" s="33"/>
      <c r="AH824" s="33"/>
      <c r="AI824" s="213"/>
      <c r="AJ824" s="50"/>
      <c r="AL824" s="23">
        <f t="shared" ref="AL824" si="350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507">+AL824/AP823</f>
        <v>9.5768876510171305E-4</v>
      </c>
      <c r="AS824" s="25"/>
      <c r="AT824" s="25"/>
      <c r="AU824" s="24"/>
      <c r="AV824" s="298">
        <f t="shared" ref="AV824" si="3508">+AP824/H824</f>
        <v>1.103037181213532</v>
      </c>
      <c r="AW824" s="298"/>
      <c r="AX824" s="24">
        <f t="shared" ref="AX824" si="3509">+AP824/BW824</f>
        <v>102036.55460122699</v>
      </c>
      <c r="AY824" s="308"/>
      <c r="BA824" s="65">
        <f t="shared" ref="BA824" si="3510">+BC824-BC823</f>
        <v>190108</v>
      </c>
      <c r="BB824" s="66"/>
      <c r="BC824" s="66">
        <v>1039574344</v>
      </c>
      <c r="BD824" s="66"/>
      <c r="BE824" s="66">
        <f t="shared" ref="BE824" si="3511">+D824</f>
        <v>16284</v>
      </c>
      <c r="BF824" s="66"/>
      <c r="BG824" s="144">
        <f t="shared" ref="BG824" si="351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13">+BC824/BW824</f>
        <v>1275551.3423312884</v>
      </c>
      <c r="BO824" s="66"/>
      <c r="BP824" s="66">
        <f t="shared" ref="BP824" si="3514">+BP823+BE824</f>
        <v>74484671</v>
      </c>
      <c r="BQ824" s="66"/>
      <c r="BR824" s="435">
        <f t="shared" ref="BR824" si="3515">+BP824/BC824</f>
        <v>7.1649200877162089E-2</v>
      </c>
      <c r="BS824" s="66"/>
      <c r="BT824" s="75"/>
      <c r="BU824" s="170"/>
      <c r="BV824" s="1"/>
      <c r="BW824" s="61">
        <f t="shared" si="1554"/>
        <v>815</v>
      </c>
      <c r="BY824" s="56"/>
      <c r="BZ824" s="1"/>
      <c r="CA824" s="61"/>
    </row>
    <row r="825" spans="2:79" x14ac:dyDescent="0.3">
      <c r="B825" s="158">
        <f t="shared" si="2435"/>
        <v>44725</v>
      </c>
      <c r="C825" s="61"/>
      <c r="D825" s="17">
        <v>49422</v>
      </c>
      <c r="E825" s="16"/>
      <c r="F825" s="16"/>
      <c r="G825" s="16"/>
      <c r="H825" s="16">
        <f t="shared" ref="H825" si="3516">+H824+D825</f>
        <v>75441071</v>
      </c>
      <c r="I825" s="16"/>
      <c r="J825" s="436">
        <f t="shared" ref="J825" si="3517">+D825/H824</f>
        <v>6.5553679559389921E-4</v>
      </c>
      <c r="K825" s="16"/>
      <c r="L825" s="16"/>
      <c r="M825" s="16"/>
      <c r="N825" s="16">
        <f t="shared" ref="N825" si="3518">SUM(D819:D825)</f>
        <v>499560</v>
      </c>
      <c r="O825" s="16">
        <f t="shared" ref="O825" si="3519">+H825/BW825</f>
        <v>92452.292892156867</v>
      </c>
      <c r="P825" s="41"/>
      <c r="Q825" s="17">
        <f t="shared" ref="Q825" si="3520">SUM(D819:D825)</f>
        <v>499560</v>
      </c>
      <c r="R825" s="16"/>
      <c r="S825" s="60">
        <f t="shared" ref="S825" si="3521">+(Q825-Q818)/Q818</f>
        <v>5.8046861928230893E-2</v>
      </c>
      <c r="T825" s="16"/>
      <c r="U825" s="41"/>
      <c r="V825" s="10">
        <f t="shared" si="568"/>
        <v>717</v>
      </c>
      <c r="W825" s="34">
        <v>117</v>
      </c>
      <c r="X825" s="33">
        <v>4256</v>
      </c>
      <c r="Y825" s="33"/>
      <c r="Z825" s="33">
        <f t="shared" ref="Z825" si="3522">SUM(W820:W825)</f>
        <v>1111</v>
      </c>
      <c r="AA825" s="33">
        <f t="shared" ref="AA825" si="3523">+AA824+W825</f>
        <v>900013</v>
      </c>
      <c r="AB825" s="33"/>
      <c r="AC825" s="46">
        <f t="shared" ref="AC825" si="3524">+AA825/H825</f>
        <v>1.1930013559855214E-2</v>
      </c>
      <c r="AD825" s="33"/>
      <c r="AE825" s="33">
        <f t="shared" ref="AE825" si="3525">+AA825/BW825</f>
        <v>1102.9571078431372</v>
      </c>
      <c r="AF825" s="50"/>
      <c r="AG825" s="33"/>
      <c r="AH825" s="33"/>
      <c r="AI825" s="213"/>
      <c r="AJ825" s="50"/>
      <c r="AL825" s="23">
        <f t="shared" ref="AL825" si="352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27">+AL825/AP824</f>
        <v>1.0342257710312696E-3</v>
      </c>
      <c r="AS825" s="25"/>
      <c r="AT825" s="25"/>
      <c r="AU825" s="24"/>
      <c r="AV825" s="298">
        <f t="shared" ref="AV825" si="3528">+AP825/H825</f>
        <v>1.1034546155899616</v>
      </c>
      <c r="AW825" s="298"/>
      <c r="AX825" s="24">
        <f t="shared" ref="AX825" si="3529">+AP825/BW825</f>
        <v>102016.9093137255</v>
      </c>
      <c r="AY825" s="308"/>
      <c r="BA825" s="65">
        <f t="shared" ref="BA825" si="3530">+BC825-BC824</f>
        <v>530919</v>
      </c>
      <c r="BB825" s="66"/>
      <c r="BC825" s="66">
        <v>1040105263</v>
      </c>
      <c r="BD825" s="66"/>
      <c r="BE825" s="66">
        <f t="shared" ref="BE825" si="3531">+D825</f>
        <v>49422</v>
      </c>
      <c r="BF825" s="66"/>
      <c r="BG825" s="144">
        <f t="shared" ref="BG825" si="353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33">+BC825/BW825</f>
        <v>1274638.8026960783</v>
      </c>
      <c r="BO825" s="66"/>
      <c r="BP825" s="66">
        <f t="shared" ref="BP825" si="3534">+BP824+BE825</f>
        <v>74534093</v>
      </c>
      <c r="BQ825" s="66"/>
      <c r="BR825" s="435">
        <f t="shared" ref="BR825" si="3535">+BP825/BC825</f>
        <v>7.1660144075244431E-2</v>
      </c>
      <c r="BS825" s="66"/>
      <c r="BT825" s="75"/>
      <c r="BU825" s="170"/>
      <c r="BV825" s="1"/>
      <c r="BW825" s="61">
        <f t="shared" si="1554"/>
        <v>816</v>
      </c>
      <c r="BY825" s="56"/>
      <c r="BZ825" s="1"/>
      <c r="CA825" s="61"/>
    </row>
    <row r="826" spans="2:79" x14ac:dyDescent="0.3">
      <c r="B826" s="158">
        <f t="shared" si="2435"/>
        <v>44726</v>
      </c>
      <c r="C826" s="61"/>
      <c r="D826" s="17">
        <v>73312</v>
      </c>
      <c r="E826" s="16"/>
      <c r="F826" s="16"/>
      <c r="G826" s="16"/>
      <c r="H826" s="16">
        <f t="shared" ref="H826" si="3536">+H825+D826</f>
        <v>75514383</v>
      </c>
      <c r="I826" s="16"/>
      <c r="J826" s="436">
        <f t="shared" ref="J826" si="3537">+D826/H825</f>
        <v>9.7177835664607679E-4</v>
      </c>
      <c r="K826" s="16"/>
      <c r="L826" s="16"/>
      <c r="M826" s="16"/>
      <c r="N826" s="16">
        <f t="shared" ref="N826" si="3538">SUM(D820:D826)</f>
        <v>476024</v>
      </c>
      <c r="O826" s="16">
        <f t="shared" ref="O826" si="3539">+H826/BW826</f>
        <v>92428.865361077114</v>
      </c>
      <c r="P826" s="41"/>
      <c r="Q826" s="17">
        <f t="shared" ref="Q826" si="3540">SUM(D820:D826)</f>
        <v>476024</v>
      </c>
      <c r="R826" s="16"/>
      <c r="S826" s="60">
        <f t="shared" ref="S826" si="3541">+(Q826-Q819)/Q819</f>
        <v>-9.3261712239397318E-2</v>
      </c>
      <c r="T826" s="16"/>
      <c r="U826" s="41"/>
      <c r="V826" s="10">
        <f t="shared" si="568"/>
        <v>718</v>
      </c>
      <c r="W826" s="34">
        <v>279</v>
      </c>
      <c r="X826" s="33">
        <v>4256</v>
      </c>
      <c r="Y826" s="33"/>
      <c r="Z826" s="33">
        <f t="shared" ref="Z826" si="3542">SUM(W821:W826)</f>
        <v>954</v>
      </c>
      <c r="AA826" s="33">
        <f t="shared" ref="AA826" si="3543">+AA825+W826</f>
        <v>900292</v>
      </c>
      <c r="AB826" s="33"/>
      <c r="AC826" s="46">
        <f t="shared" ref="AC826" si="3544">+AA826/H826</f>
        <v>1.1922126146485234E-2</v>
      </c>
      <c r="AD826" s="33"/>
      <c r="AE826" s="33">
        <f t="shared" ref="AE826" si="3545">+AA826/BW826</f>
        <v>1101.9485924112607</v>
      </c>
      <c r="AF826" s="50"/>
      <c r="AG826" s="33"/>
      <c r="AH826" s="33"/>
      <c r="AI826" s="213"/>
      <c r="AJ826" s="50"/>
      <c r="AL826" s="23">
        <f t="shared" ref="AL826" si="354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47">+AL826/AP825</f>
        <v>1.1277686352409043E-3</v>
      </c>
      <c r="AS826" s="25"/>
      <c r="AT826" s="25"/>
      <c r="AU826" s="24"/>
      <c r="AV826" s="298">
        <f t="shared" ref="AV826" si="3548">+AP826/H826</f>
        <v>1.1036265766748037</v>
      </c>
      <c r="AW826" s="298"/>
      <c r="AX826" s="24">
        <f t="shared" ref="AX826" si="3549">+AP826/BW826</f>
        <v>102006.95226438188</v>
      </c>
      <c r="AY826" s="308"/>
      <c r="BA826" s="65">
        <f t="shared" ref="BA826" si="3550">+BC826-BC825</f>
        <v>388063</v>
      </c>
      <c r="BB826" s="66"/>
      <c r="BC826" s="66">
        <v>1040493326</v>
      </c>
      <c r="BD826" s="66"/>
      <c r="BE826" s="66">
        <f t="shared" ref="BE826" si="3551">+D826</f>
        <v>73312</v>
      </c>
      <c r="BF826" s="66"/>
      <c r="BG826" s="144">
        <f t="shared" ref="BG826" si="355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53">+BC826/BW826</f>
        <v>1273553.6425948592</v>
      </c>
      <c r="BO826" s="66"/>
      <c r="BP826" s="66">
        <f t="shared" ref="BP826" si="3554">+BP825+BE826</f>
        <v>74607405</v>
      </c>
      <c r="BQ826" s="66"/>
      <c r="BR826" s="435">
        <f t="shared" ref="BR826" si="3555">+BP826/BC826</f>
        <v>7.1703876551342721E-2</v>
      </c>
      <c r="BS826" s="66"/>
      <c r="BT826" s="75"/>
      <c r="BU826" s="170"/>
      <c r="BV826" s="1"/>
      <c r="BW826" s="61">
        <f t="shared" si="1554"/>
        <v>817</v>
      </c>
      <c r="BY826" s="56"/>
      <c r="BZ826" s="1"/>
      <c r="CA826" s="61"/>
    </row>
    <row r="827" spans="2:79" x14ac:dyDescent="0.3">
      <c r="B827" s="158">
        <f t="shared" si="2435"/>
        <v>44727</v>
      </c>
      <c r="C827" s="61"/>
      <c r="D827" s="17">
        <v>99100</v>
      </c>
      <c r="E827" s="16"/>
      <c r="F827" s="16"/>
      <c r="G827" s="16"/>
      <c r="H827" s="16">
        <f t="shared" ref="H827" si="3556">+H826+D827</f>
        <v>75613483</v>
      </c>
      <c r="I827" s="16"/>
      <c r="J827" s="436">
        <f t="shared" ref="J827" si="3557">+D827/H826</f>
        <v>1.3123327777173257E-3</v>
      </c>
      <c r="K827" s="16"/>
      <c r="L827" s="16"/>
      <c r="M827" s="16"/>
      <c r="N827" s="16">
        <f t="shared" ref="N827" si="3558">SUM(D821:D827)</f>
        <v>476359</v>
      </c>
      <c r="O827" s="16">
        <f t="shared" ref="O827" si="3559">+H827/BW827</f>
        <v>92437.020782396081</v>
      </c>
      <c r="P827" s="41"/>
      <c r="Q827" s="17">
        <f t="shared" ref="Q827" si="3560">SUM(D821:D827)</f>
        <v>476359</v>
      </c>
      <c r="R827" s="16"/>
      <c r="S827" s="60">
        <f t="shared" ref="S827" si="3561">+(Q827-Q820)/Q820</f>
        <v>-9.9077818082784555E-2</v>
      </c>
      <c r="T827" s="16"/>
      <c r="U827" s="41"/>
      <c r="V827" s="10">
        <f t="shared" si="568"/>
        <v>719</v>
      </c>
      <c r="W827" s="34">
        <v>305</v>
      </c>
      <c r="X827" s="33">
        <v>4256</v>
      </c>
      <c r="Y827" s="33"/>
      <c r="Z827" s="33">
        <f t="shared" ref="Z827" si="3562">SUM(W822:W827)</f>
        <v>999</v>
      </c>
      <c r="AA827" s="33">
        <f t="shared" ref="AA827" si="3563">+AA826+W827</f>
        <v>900597</v>
      </c>
      <c r="AB827" s="33"/>
      <c r="AC827" s="46">
        <f t="shared" ref="AC827" si="3564">+AA827/H827</f>
        <v>1.1910534527287945E-2</v>
      </c>
      <c r="AD827" s="33"/>
      <c r="AE827" s="33">
        <f t="shared" ref="AE827" si="3565">+AA827/BW827</f>
        <v>1100.9743276283618</v>
      </c>
      <c r="AF827" s="50"/>
      <c r="AG827" s="33"/>
      <c r="AH827" s="33"/>
      <c r="AI827" s="213"/>
      <c r="AJ827" s="50"/>
      <c r="AL827" s="23">
        <f t="shared" ref="AL827" si="356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67">+AL827/AP826</f>
        <v>1.9850208208142869E-3</v>
      </c>
      <c r="AS827" s="25"/>
      <c r="AT827" s="25"/>
      <c r="AU827" s="24"/>
      <c r="AV827" s="298">
        <f t="shared" ref="AV827" si="3568">+AP827/H827</f>
        <v>1.1043680000827365</v>
      </c>
      <c r="AW827" s="298"/>
      <c r="AX827" s="24">
        <f t="shared" ref="AX827" si="3569">+AP827/BW827</f>
        <v>102084.48777506112</v>
      </c>
      <c r="AY827" s="308"/>
      <c r="BA827" s="65">
        <f t="shared" ref="BA827" si="3570">+BC827-BC826</f>
        <v>957292</v>
      </c>
      <c r="BB827" s="66"/>
      <c r="BC827" s="66">
        <v>1041450618</v>
      </c>
      <c r="BD827" s="66"/>
      <c r="BE827" s="66">
        <f t="shared" ref="BE827" si="3571">+D827</f>
        <v>99100</v>
      </c>
      <c r="BF827" s="66"/>
      <c r="BG827" s="144">
        <f t="shared" ref="BG827" si="357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73">+BC827/BW827</f>
        <v>1273167.0146699266</v>
      </c>
      <c r="BO827" s="66"/>
      <c r="BP827" s="66">
        <f t="shared" ref="BP827" si="3574">+BP826+BE827</f>
        <v>74706505</v>
      </c>
      <c r="BQ827" s="66"/>
      <c r="BR827" s="435">
        <f t="shared" ref="BR827" si="3575">+BP827/BC827</f>
        <v>7.1733122731701141E-2</v>
      </c>
      <c r="BS827" s="66"/>
      <c r="BT827" s="75"/>
      <c r="BU827" s="170"/>
      <c r="BV827" s="1"/>
      <c r="BW827" s="61">
        <f t="shared" si="1554"/>
        <v>818</v>
      </c>
      <c r="BY827" s="56"/>
      <c r="BZ827" s="1"/>
      <c r="CA827" s="61"/>
    </row>
    <row r="828" spans="2:79" x14ac:dyDescent="0.3">
      <c r="B828" s="158">
        <f t="shared" si="2435"/>
        <v>44728</v>
      </c>
      <c r="C828" s="61"/>
      <c r="D828" s="17">
        <v>92472</v>
      </c>
      <c r="E828" s="16"/>
      <c r="F828" s="16"/>
      <c r="G828" s="16"/>
      <c r="H828" s="16">
        <f t="shared" ref="H828" si="3576">+H827+D828</f>
        <v>75705955</v>
      </c>
      <c r="I828" s="16"/>
      <c r="J828" s="436">
        <f t="shared" ref="J828" si="3577">+D828/H827</f>
        <v>1.2229564930899956E-3</v>
      </c>
      <c r="K828" s="16"/>
      <c r="L828" s="16"/>
      <c r="M828" s="16"/>
      <c r="N828" s="16">
        <f t="shared" ref="N828" si="3578">SUM(D822:D828)</f>
        <v>464203</v>
      </c>
      <c r="O828" s="16">
        <f t="shared" ref="O828" si="3579">+H828/BW828</f>
        <v>92437.063492063491</v>
      </c>
      <c r="P828" s="41"/>
      <c r="Q828" s="17">
        <f t="shared" ref="Q828" si="3580">SUM(D822:D828)</f>
        <v>464203</v>
      </c>
      <c r="R828" s="16"/>
      <c r="S828" s="60">
        <f t="shared" ref="S828" si="3581">+(Q828-Q821)/Q821</f>
        <v>-0.15672742598250974</v>
      </c>
      <c r="T828" s="16"/>
      <c r="U828" s="41"/>
      <c r="V828" s="10">
        <f t="shared" si="568"/>
        <v>720</v>
      </c>
      <c r="W828" s="34">
        <v>237</v>
      </c>
      <c r="X828" s="33">
        <v>4256</v>
      </c>
      <c r="Y828" s="33"/>
      <c r="Z828" s="33">
        <f t="shared" ref="Z828" si="3582">SUM(W823:W828)</f>
        <v>1031</v>
      </c>
      <c r="AA828" s="33">
        <f t="shared" ref="AA828" si="3583">+AA827+W828</f>
        <v>900834</v>
      </c>
      <c r="AB828" s="33"/>
      <c r="AC828" s="46">
        <f t="shared" ref="AC828" si="3584">+AA828/H828</f>
        <v>1.1899116786783813E-2</v>
      </c>
      <c r="AD828" s="33"/>
      <c r="AE828" s="33">
        <f t="shared" ref="AE828" si="3585">+AA828/BW828</f>
        <v>1099.919413919414</v>
      </c>
      <c r="AF828" s="50"/>
      <c r="AG828" s="33"/>
      <c r="AH828" s="33"/>
      <c r="AI828" s="213"/>
      <c r="AJ828" s="50"/>
      <c r="AL828" s="23">
        <f t="shared" ref="AL828" si="358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87">+AL828/AP827</f>
        <v>1.2753351109251266E-3</v>
      </c>
      <c r="AS828" s="25"/>
      <c r="AT828" s="25"/>
      <c r="AU828" s="24"/>
      <c r="AV828" s="298">
        <f t="shared" ref="AV828" si="3588">+AP828/H828</f>
        <v>1.1044257746963235</v>
      </c>
      <c r="AW828" s="298"/>
      <c r="AX828" s="24">
        <f t="shared" ref="AX828" si="3589">+AP828/BW828</f>
        <v>102089.87545787546</v>
      </c>
      <c r="AY828" s="308"/>
      <c r="BA828" s="65">
        <f t="shared" ref="BA828" si="3590">+BC828-BC827</f>
        <v>405695</v>
      </c>
      <c r="BB828" s="66"/>
      <c r="BC828" s="66">
        <v>1041856313</v>
      </c>
      <c r="BD828" s="66"/>
      <c r="BE828" s="66">
        <f t="shared" ref="BE828" si="3591">+D828</f>
        <v>92472</v>
      </c>
      <c r="BF828" s="66"/>
      <c r="BG828" s="144">
        <f t="shared" ref="BG828" si="359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93">+BC828/BW828</f>
        <v>1272107.8302808304</v>
      </c>
      <c r="BO828" s="66"/>
      <c r="BP828" s="66">
        <f t="shared" ref="BP828" si="3594">+BP827+BE828</f>
        <v>74798977</v>
      </c>
      <c r="BQ828" s="66"/>
      <c r="BR828" s="435">
        <f t="shared" ref="BR828" si="3595">+BP828/BC828</f>
        <v>7.1793947079533599E-2</v>
      </c>
      <c r="BS828" s="66"/>
      <c r="BT828" s="75"/>
      <c r="BU828" s="170"/>
      <c r="BV828" s="1"/>
      <c r="BW828" s="61">
        <f t="shared" si="1554"/>
        <v>819</v>
      </c>
      <c r="BY828" s="56"/>
      <c r="BZ828" s="1"/>
      <c r="CA828" s="61"/>
    </row>
    <row r="829" spans="2:79" x14ac:dyDescent="0.3">
      <c r="B829" s="158">
        <f t="shared" si="2435"/>
        <v>44729</v>
      </c>
      <c r="C829" s="61"/>
      <c r="D829" s="17">
        <v>81733</v>
      </c>
      <c r="E829" s="16"/>
      <c r="F829" s="16"/>
      <c r="G829" s="16"/>
      <c r="H829" s="16">
        <f t="shared" ref="H829" si="3596">+H828+D829</f>
        <v>75787688</v>
      </c>
      <c r="I829" s="16"/>
      <c r="J829" s="436">
        <f t="shared" ref="J829" si="3597">+D829/H828</f>
        <v>1.0796112406216921E-3</v>
      </c>
      <c r="K829" s="16"/>
      <c r="L829" s="16"/>
      <c r="M829" s="16"/>
      <c r="N829" s="16">
        <f t="shared" ref="N829" si="3598">SUM(D823:D829)</f>
        <v>452066</v>
      </c>
      <c r="O829" s="16">
        <f t="shared" ref="O829" si="3599">+H829/BW829</f>
        <v>92424.009756097556</v>
      </c>
      <c r="P829" s="41"/>
      <c r="Q829" s="17">
        <f t="shared" ref="Q829" si="3600">SUM(D823:D829)</f>
        <v>452066</v>
      </c>
      <c r="R829" s="16"/>
      <c r="S829" s="60">
        <f t="shared" ref="S829" si="3601">+(Q829-Q822)/Q822</f>
        <v>-0.16458428428076957</v>
      </c>
      <c r="T829" s="16"/>
      <c r="U829" s="41"/>
      <c r="V829" s="10">
        <f t="shared" si="568"/>
        <v>721</v>
      </c>
      <c r="W829" s="34">
        <v>200</v>
      </c>
      <c r="X829" s="33">
        <v>4256</v>
      </c>
      <c r="Y829" s="33"/>
      <c r="Z829" s="33">
        <f t="shared" ref="Z829" si="3602">SUM(W824:W829)</f>
        <v>1157</v>
      </c>
      <c r="AA829" s="33">
        <f t="shared" ref="AA829" si="3603">+AA828+W829</f>
        <v>901034</v>
      </c>
      <c r="AB829" s="33"/>
      <c r="AC829" s="46">
        <f t="shared" ref="AC829" si="3604">+AA829/H829</f>
        <v>1.1888923171795398E-2</v>
      </c>
      <c r="AD829" s="33"/>
      <c r="AE829" s="33">
        <f t="shared" ref="AE829" si="3605">+AA829/BW829</f>
        <v>1098.8219512195121</v>
      </c>
      <c r="AF829" s="50"/>
      <c r="AG829" s="33"/>
      <c r="AH829" s="33"/>
      <c r="AI829" s="213"/>
      <c r="AJ829" s="50"/>
      <c r="AL829" s="23">
        <f t="shared" ref="AL829" si="360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607">+AL829/AP828</f>
        <v>1.0214729992993317E-3</v>
      </c>
      <c r="AS829" s="25"/>
      <c r="AT829" s="25"/>
      <c r="AU829" s="24"/>
      <c r="AV829" s="298">
        <f t="shared" ref="AV829" si="3608">+AP829/H829</f>
        <v>1.1043616345705123</v>
      </c>
      <c r="AW829" s="298"/>
      <c r="AX829" s="24">
        <f t="shared" ref="AX829" si="3609">+AP829/BW829</f>
        <v>102069.53048780488</v>
      </c>
      <c r="AY829" s="308"/>
      <c r="BA829" s="65">
        <f t="shared" ref="BA829" si="3610">+BC829-BC828</f>
        <v>411895</v>
      </c>
      <c r="BB829" s="66"/>
      <c r="BC829" s="66">
        <v>1042268208</v>
      </c>
      <c r="BD829" s="66"/>
      <c r="BE829" s="66">
        <f t="shared" ref="BE829" si="3611">+D829</f>
        <v>81733</v>
      </c>
      <c r="BF829" s="66"/>
      <c r="BG829" s="144">
        <f t="shared" ref="BG829" si="361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13">+BC829/BW829</f>
        <v>1271058.7902439025</v>
      </c>
      <c r="BO829" s="66"/>
      <c r="BP829" s="66">
        <f t="shared" ref="BP829" si="3614">+BP828+BE829</f>
        <v>74880710</v>
      </c>
      <c r="BQ829" s="66"/>
      <c r="BR829" s="435">
        <f t="shared" ref="BR829" si="3615">+BP829/BC829</f>
        <v>7.1843993153823602E-2</v>
      </c>
      <c r="BS829" s="66"/>
      <c r="BT829" s="75"/>
      <c r="BU829" s="170"/>
      <c r="BV829" s="1"/>
      <c r="BW829" s="61">
        <f t="shared" si="1554"/>
        <v>820</v>
      </c>
      <c r="BY829" s="56"/>
      <c r="BZ829" s="1"/>
      <c r="CA829" s="61"/>
    </row>
    <row r="830" spans="2:79" x14ac:dyDescent="0.3">
      <c r="B830" s="158">
        <f t="shared" si="2435"/>
        <v>44730</v>
      </c>
      <c r="C830" s="61"/>
      <c r="D830" s="17">
        <v>30852</v>
      </c>
      <c r="E830" s="16"/>
      <c r="F830" s="16"/>
      <c r="G830" s="16"/>
      <c r="H830" s="16">
        <f t="shared" ref="H830" si="3616">+H829+D830</f>
        <v>75818540</v>
      </c>
      <c r="I830" s="16"/>
      <c r="J830" s="436">
        <f t="shared" ref="J830" si="3617">+D830/H829</f>
        <v>4.0708459136528876E-4</v>
      </c>
      <c r="K830" s="16"/>
      <c r="L830" s="16"/>
      <c r="M830" s="16"/>
      <c r="N830" s="16">
        <f t="shared" ref="N830" si="3618">SUM(D824:D830)</f>
        <v>443175</v>
      </c>
      <c r="O830" s="16">
        <f t="shared" ref="O830" si="3619">+H830/BW830</f>
        <v>92349.013398294759</v>
      </c>
      <c r="P830" s="41"/>
      <c r="Q830" s="17">
        <f t="shared" ref="Q830" si="3620">SUM(D824:D830)</f>
        <v>443175</v>
      </c>
      <c r="R830" s="16"/>
      <c r="S830" s="60">
        <f t="shared" ref="S830" si="3621">+(Q830-Q823)/Q823</f>
        <v>-0.17115524883577399</v>
      </c>
      <c r="T830" s="16"/>
      <c r="U830" s="41"/>
      <c r="V830" s="10">
        <f t="shared" si="568"/>
        <v>722</v>
      </c>
      <c r="W830" s="34">
        <v>45</v>
      </c>
      <c r="X830" s="33">
        <v>4256</v>
      </c>
      <c r="Y830" s="33"/>
      <c r="Z830" s="33">
        <f t="shared" ref="Z830" si="3622">SUM(W825:W830)</f>
        <v>1183</v>
      </c>
      <c r="AA830" s="33">
        <f t="shared" ref="AA830" si="3623">+AA829+W830</f>
        <v>901079</v>
      </c>
      <c r="AB830" s="33"/>
      <c r="AC830" s="46">
        <f t="shared" ref="AC830" si="3624">+AA830/H830</f>
        <v>1.1884678866145405E-2</v>
      </c>
      <c r="AD830" s="33"/>
      <c r="AE830" s="33">
        <f t="shared" ref="AE830" si="3625">+AA830/BW830</f>
        <v>1097.5383678440926</v>
      </c>
      <c r="AF830" s="50"/>
      <c r="AG830" s="33"/>
      <c r="AH830" s="33"/>
      <c r="AI830" s="213"/>
      <c r="AJ830" s="50"/>
      <c r="AL830" s="23">
        <f t="shared" ref="AL830" si="362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27">+AL830/AP829</f>
        <v>8.1373272392091882E-4</v>
      </c>
      <c r="AS830" s="25"/>
      <c r="AT830" s="25"/>
      <c r="AU830" s="24"/>
      <c r="AV830" s="298">
        <f t="shared" ref="AV830" si="3628">+AP830/H830</f>
        <v>1.1048105384250344</v>
      </c>
      <c r="AW830" s="298"/>
      <c r="AX830" s="24">
        <f t="shared" ref="AX830" si="3629">+AP830/BW830</f>
        <v>102028.16321559074</v>
      </c>
      <c r="AY830" s="308"/>
      <c r="BA830" s="65">
        <f t="shared" ref="BA830" si="3630">+BC830-BC829</f>
        <v>48905</v>
      </c>
      <c r="BB830" s="66"/>
      <c r="BC830" s="66">
        <v>1042317113</v>
      </c>
      <c r="BD830" s="66"/>
      <c r="BE830" s="66">
        <f t="shared" ref="BE830" si="3631">+D830</f>
        <v>30852</v>
      </c>
      <c r="BF830" s="66"/>
      <c r="BG830" s="144">
        <f t="shared" ref="BG830" si="363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33">+BC830/BW830</f>
        <v>1269570.174177832</v>
      </c>
      <c r="BO830" s="66"/>
      <c r="BP830" s="66">
        <f t="shared" ref="BP830" si="3634">+BP829+BE830</f>
        <v>74911562</v>
      </c>
      <c r="BQ830" s="66"/>
      <c r="BR830" s="435">
        <f t="shared" ref="BR830" si="3635">+BP830/BC830</f>
        <v>7.1870221706702417E-2</v>
      </c>
      <c r="BS830" s="66"/>
      <c r="BT830" s="75"/>
      <c r="BU830" s="170"/>
      <c r="BV830" s="1"/>
      <c r="BW830" s="61">
        <f t="shared" si="1554"/>
        <v>821</v>
      </c>
      <c r="BY830" s="56"/>
      <c r="BZ830" s="1"/>
      <c r="CA830" s="61"/>
    </row>
    <row r="831" spans="2:79" x14ac:dyDescent="0.3">
      <c r="B831" s="347">
        <f t="shared" si="2435"/>
        <v>44731</v>
      </c>
      <c r="C831" s="61"/>
      <c r="D831" s="17">
        <v>30747</v>
      </c>
      <c r="E831" s="16"/>
      <c r="F831" s="16"/>
      <c r="G831" s="16"/>
      <c r="H831" s="16">
        <f t="shared" ref="H831" si="3636">+H830+D831</f>
        <v>75849287</v>
      </c>
      <c r="I831" s="16"/>
      <c r="J831" s="436">
        <f t="shared" ref="J831" si="3637">+D831/H830</f>
        <v>4.0553405539067359E-4</v>
      </c>
      <c r="K831" s="16"/>
      <c r="L831" s="16"/>
      <c r="M831" s="16"/>
      <c r="N831" s="16">
        <f t="shared" ref="N831" si="3638">SUM(D825:D831)</f>
        <v>457638</v>
      </c>
      <c r="O831" s="16">
        <f t="shared" ref="O831" si="3639">+H831/BW831</f>
        <v>92274.071776155717</v>
      </c>
      <c r="P831" s="41"/>
      <c r="Q831" s="17">
        <f t="shared" ref="Q831" si="3640">SUM(D825:D831)</f>
        <v>457638</v>
      </c>
      <c r="R831" s="16"/>
      <c r="S831" s="60">
        <f t="shared" ref="S831" si="3641">+(Q831-Q824)/Q824</f>
        <v>-0.13892035298323518</v>
      </c>
      <c r="T831" s="16"/>
      <c r="U831" s="41"/>
      <c r="V831" s="10">
        <f t="shared" si="568"/>
        <v>723</v>
      </c>
      <c r="W831" s="34">
        <v>30</v>
      </c>
      <c r="X831" s="33">
        <v>4256</v>
      </c>
      <c r="Y831" s="33"/>
      <c r="Z831" s="33">
        <f t="shared" ref="Z831" si="3642">SUM(W826:W831)</f>
        <v>1096</v>
      </c>
      <c r="AA831" s="33">
        <f t="shared" ref="AA831" si="3643">+AA830+W831</f>
        <v>901109</v>
      </c>
      <c r="AB831" s="33"/>
      <c r="AC831" s="46">
        <f t="shared" ref="AC831" si="3644">+AA831/H831</f>
        <v>1.1880256699051106E-2</v>
      </c>
      <c r="AD831" s="33"/>
      <c r="AE831" s="33">
        <f t="shared" ref="AE831" si="3645">+AA831/BW831</f>
        <v>1096.2396593673966</v>
      </c>
      <c r="AF831" s="50"/>
      <c r="AG831" s="33"/>
      <c r="AH831" s="33"/>
      <c r="AI831" s="213"/>
      <c r="AJ831" s="50"/>
      <c r="AL831" s="23">
        <f t="shared" ref="AL831" si="364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47">+AL831/AP830</f>
        <v>1.2462704942995248E-3</v>
      </c>
      <c r="AS831" s="25"/>
      <c r="AT831" s="25"/>
      <c r="AU831" s="24"/>
      <c r="AV831" s="298">
        <f t="shared" ref="AV831" si="3648">+AP831/H831</f>
        <v>1.1057390163733509</v>
      </c>
      <c r="AW831" s="298"/>
      <c r="AX831" s="24">
        <f t="shared" ref="AX831" si="3649">+AP831/BW831</f>
        <v>102031.04136253042</v>
      </c>
      <c r="AY831" s="308"/>
      <c r="BA831" s="65">
        <f t="shared" ref="BA831" si="3650">+BC831-BC830</f>
        <v>233516</v>
      </c>
      <c r="BB831" s="66"/>
      <c r="BC831" s="66">
        <v>1042550629</v>
      </c>
      <c r="BD831" s="66"/>
      <c r="BE831" s="66">
        <f t="shared" ref="BE831" si="3651">+D831</f>
        <v>30747</v>
      </c>
      <c r="BF831" s="66"/>
      <c r="BG831" s="144">
        <f t="shared" ref="BG831" si="365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53">+BC831/BW831</f>
        <v>1268309.7676399027</v>
      </c>
      <c r="BO831" s="66"/>
      <c r="BP831" s="66">
        <f t="shared" ref="BP831" si="3654">+BP830+BE831</f>
        <v>74942309</v>
      </c>
      <c r="BQ831" s="66"/>
      <c r="BR831" s="435">
        <f t="shared" ref="BR831" si="3655">+BP831/BC831</f>
        <v>7.1883615927490846E-2</v>
      </c>
      <c r="BS831" s="66"/>
      <c r="BT831" s="75"/>
      <c r="BU831" s="170"/>
      <c r="BV831" s="1"/>
      <c r="BW831" s="61">
        <f t="shared" si="1554"/>
        <v>822</v>
      </c>
      <c r="BY831" s="56"/>
      <c r="BZ831" s="1"/>
      <c r="CA831" s="61"/>
    </row>
    <row r="832" spans="2:79" x14ac:dyDescent="0.3">
      <c r="B832" s="158">
        <f t="shared" si="2435"/>
        <v>44732</v>
      </c>
      <c r="C832" s="61"/>
      <c r="D832" s="17"/>
      <c r="E832" s="16"/>
      <c r="F832" s="16"/>
      <c r="G832" s="16"/>
      <c r="H832" s="16"/>
      <c r="I832" s="16"/>
      <c r="J832" s="436"/>
      <c r="K832" s="16"/>
      <c r="L832" s="16"/>
      <c r="M832" s="16"/>
      <c r="N832" s="16"/>
      <c r="O832" s="16"/>
      <c r="P832" s="41"/>
      <c r="Q832" s="410"/>
      <c r="R832" s="16"/>
      <c r="S832" s="60"/>
      <c r="T832" s="16"/>
      <c r="U832" s="41"/>
      <c r="V832" s="10"/>
      <c r="W832" s="34"/>
      <c r="X832" s="33"/>
      <c r="Y832" s="33"/>
      <c r="Z832" s="33"/>
      <c r="AA832" s="33"/>
      <c r="AB832" s="33"/>
      <c r="AC832" s="46"/>
      <c r="AD832" s="33"/>
      <c r="AE832" s="33"/>
      <c r="AF832" s="50"/>
      <c r="AG832" s="33"/>
      <c r="AH832" s="33"/>
      <c r="AI832" s="213"/>
      <c r="AJ832" s="50"/>
      <c r="AK832" s="10"/>
      <c r="AL832" s="23"/>
      <c r="AM832" s="24"/>
      <c r="AN832" s="24"/>
      <c r="AO832" s="24"/>
      <c r="AP832" s="24"/>
      <c r="AQ832" s="24"/>
      <c r="AR832" s="461"/>
      <c r="AS832" s="25"/>
      <c r="AT832" s="25"/>
      <c r="AU832" s="24"/>
      <c r="AV832" s="298"/>
      <c r="AW832" s="298"/>
      <c r="AX832" s="24"/>
      <c r="AY832" s="308"/>
      <c r="AZ832" s="10"/>
      <c r="BA832" s="65"/>
      <c r="BB832" s="66"/>
      <c r="BC832" s="66"/>
      <c r="BD832" s="66"/>
      <c r="BE832" s="66"/>
      <c r="BF832" s="66"/>
      <c r="BG832" s="144"/>
      <c r="BH832" s="66"/>
      <c r="BI832" s="170"/>
      <c r="BJ832" s="66"/>
      <c r="BK832" s="66"/>
      <c r="BL832" s="66"/>
      <c r="BM832" s="144"/>
      <c r="BN832" s="65"/>
      <c r="BO832" s="66"/>
      <c r="BP832" s="66"/>
      <c r="BQ832" s="66"/>
      <c r="BR832" s="435"/>
      <c r="BS832" s="66"/>
      <c r="BT832" s="75"/>
      <c r="BU832" s="170"/>
      <c r="BV832" s="1"/>
      <c r="BW832" s="61">
        <f>+BW586+1</f>
        <v>578</v>
      </c>
      <c r="BY832" s="59">
        <f>+BY769/BY690</f>
        <v>0.74248886945318338</v>
      </c>
    </row>
    <row r="833" spans="2:85" x14ac:dyDescent="0.3">
      <c r="B833" s="158">
        <f t="shared" si="2435"/>
        <v>44733</v>
      </c>
      <c r="D833" s="559"/>
      <c r="E833" s="19"/>
      <c r="F833" s="19"/>
      <c r="G833" s="19"/>
      <c r="H833" s="19"/>
      <c r="I833" s="19"/>
      <c r="J833" s="39"/>
      <c r="K833" s="19"/>
      <c r="L833" s="19"/>
      <c r="M833" s="19"/>
      <c r="N833" s="19"/>
      <c r="O833" s="19"/>
      <c r="P833" s="43"/>
      <c r="Q833" s="18"/>
      <c r="R833" s="19"/>
      <c r="S833" s="19"/>
      <c r="T833" s="19"/>
      <c r="U833" s="43"/>
      <c r="V833" s="1"/>
      <c r="W833" s="35"/>
      <c r="X833" s="36"/>
      <c r="Y833" s="36"/>
      <c r="Z833" s="36"/>
      <c r="AA833" s="36"/>
      <c r="AB833" s="36"/>
      <c r="AC833" s="47"/>
      <c r="AD833" s="36"/>
      <c r="AE833" s="36"/>
      <c r="AF833" s="51"/>
      <c r="AG833" s="36"/>
      <c r="AH833" s="36"/>
      <c r="AI833" s="36"/>
      <c r="AJ833" s="51"/>
      <c r="AK833" s="1"/>
      <c r="AL833" s="26"/>
      <c r="AM833" s="27"/>
      <c r="AN833" s="27"/>
      <c r="AO833" s="27"/>
      <c r="AP833" s="27"/>
      <c r="AQ833" s="27"/>
      <c r="AR833" s="27"/>
      <c r="AS833" s="27"/>
      <c r="AT833" s="27"/>
      <c r="AU833" s="27"/>
      <c r="AV833" s="300"/>
      <c r="AW833" s="300"/>
      <c r="AX833" s="27"/>
      <c r="AY833" s="307"/>
      <c r="AZ833" s="1"/>
      <c r="BA833" s="67"/>
      <c r="BB833" s="68"/>
      <c r="BC833" s="68"/>
      <c r="BD833" s="68"/>
      <c r="BE833" s="68"/>
      <c r="BF833" s="68"/>
      <c r="BG833" s="68"/>
      <c r="BH833" s="68"/>
      <c r="BI833" s="171"/>
      <c r="BJ833" s="68"/>
      <c r="BK833" s="68"/>
      <c r="BL833" s="68"/>
      <c r="BM833" s="68"/>
      <c r="BN833" s="67"/>
      <c r="BO833" s="68"/>
      <c r="BP833" s="68"/>
      <c r="BQ833" s="68"/>
      <c r="BR833" s="70"/>
      <c r="BS833" s="68"/>
      <c r="BT833" s="68"/>
      <c r="BU833" s="171"/>
      <c r="BV833" s="1"/>
      <c r="BW833" s="61">
        <f>+BW832+1</f>
        <v>579</v>
      </c>
    </row>
    <row r="834" spans="2:85" x14ac:dyDescent="0.3">
      <c r="B834" s="56"/>
      <c r="D834" s="1"/>
      <c r="E834" s="1"/>
      <c r="F834" s="1"/>
      <c r="G834" s="1"/>
      <c r="H834" s="59"/>
      <c r="I834" s="1"/>
      <c r="J834" s="59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59"/>
      <c r="X834" s="1"/>
      <c r="Y834" s="1"/>
      <c r="Z834" s="1"/>
      <c r="AA834" s="1"/>
      <c r="AB834" s="1"/>
      <c r="AC834" s="59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59"/>
      <c r="BD834" s="1"/>
      <c r="BE834" s="59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 spans="2:85" x14ac:dyDescent="0.3">
      <c r="B835" s="166" t="s">
        <v>74</v>
      </c>
      <c r="D835" s="56">
        <f>+D831</f>
        <v>30747</v>
      </c>
      <c r="E835" s="56">
        <f>+E238</f>
        <v>0</v>
      </c>
      <c r="F835" s="56">
        <f>+F238</f>
        <v>0</v>
      </c>
      <c r="G835" s="56">
        <f>+G238</f>
        <v>0</v>
      </c>
      <c r="H835" s="56">
        <f t="shared" ref="H835:BP835" si="3656">+H831</f>
        <v>75849287</v>
      </c>
      <c r="I835" s="56">
        <f t="shared" si="3656"/>
        <v>0</v>
      </c>
      <c r="J835" s="56">
        <f t="shared" si="3656"/>
        <v>4.0553405539067359E-4</v>
      </c>
      <c r="K835" s="56">
        <f t="shared" si="3656"/>
        <v>0</v>
      </c>
      <c r="L835" s="56">
        <f t="shared" si="3656"/>
        <v>0</v>
      </c>
      <c r="M835" s="56">
        <f t="shared" si="3656"/>
        <v>0</v>
      </c>
      <c r="N835" s="56">
        <f t="shared" si="3656"/>
        <v>457638</v>
      </c>
      <c r="O835" s="56">
        <f t="shared" si="3656"/>
        <v>92274.071776155717</v>
      </c>
      <c r="P835" s="56">
        <f t="shared" si="3656"/>
        <v>0</v>
      </c>
      <c r="Q835" s="56">
        <f t="shared" si="3656"/>
        <v>457638</v>
      </c>
      <c r="R835" s="56">
        <f t="shared" si="3656"/>
        <v>0</v>
      </c>
      <c r="S835" s="56">
        <f t="shared" si="3656"/>
        <v>-0.13892035298323518</v>
      </c>
      <c r="T835" s="56">
        <f t="shared" si="3656"/>
        <v>0</v>
      </c>
      <c r="U835" s="56">
        <f t="shared" si="3656"/>
        <v>0</v>
      </c>
      <c r="V835" s="56">
        <f t="shared" si="3656"/>
        <v>723</v>
      </c>
      <c r="W835" s="56">
        <f t="shared" si="3656"/>
        <v>30</v>
      </c>
      <c r="X835" s="56">
        <f t="shared" si="3656"/>
        <v>4256</v>
      </c>
      <c r="Y835" s="56">
        <f t="shared" si="3656"/>
        <v>0</v>
      </c>
      <c r="Z835" s="56">
        <f t="shared" si="3656"/>
        <v>1096</v>
      </c>
      <c r="AA835" s="56">
        <f t="shared" si="3656"/>
        <v>901109</v>
      </c>
      <c r="AB835" s="56">
        <f t="shared" si="3656"/>
        <v>0</v>
      </c>
      <c r="AC835" s="56">
        <f t="shared" si="3656"/>
        <v>1.1880256699051106E-2</v>
      </c>
      <c r="AD835" s="56">
        <f t="shared" si="3656"/>
        <v>0</v>
      </c>
      <c r="AE835" s="56">
        <f t="shared" si="3656"/>
        <v>1096.2396593673966</v>
      </c>
      <c r="AF835" s="56">
        <f t="shared" si="3656"/>
        <v>0</v>
      </c>
      <c r="AG835" s="56">
        <f t="shared" si="3656"/>
        <v>0</v>
      </c>
      <c r="AH835" s="56">
        <f t="shared" si="3656"/>
        <v>0</v>
      </c>
      <c r="AI835" s="56">
        <f t="shared" si="3656"/>
        <v>0</v>
      </c>
      <c r="AJ835" s="56">
        <f t="shared" si="3656"/>
        <v>0</v>
      </c>
      <c r="AK835" s="56">
        <f t="shared" si="3656"/>
        <v>0</v>
      </c>
      <c r="AL835" s="56">
        <f t="shared" si="3656"/>
        <v>104394</v>
      </c>
      <c r="AM835" s="56">
        <f t="shared" si="3656"/>
        <v>0</v>
      </c>
      <c r="AN835" s="56">
        <f t="shared" si="3656"/>
        <v>0</v>
      </c>
      <c r="AO835" s="56">
        <f t="shared" si="3656"/>
        <v>178263</v>
      </c>
      <c r="AP835" s="56">
        <f t="shared" si="3656"/>
        <v>83869516</v>
      </c>
      <c r="AQ835" s="56">
        <f t="shared" si="3656"/>
        <v>20336656</v>
      </c>
      <c r="AR835" s="56">
        <f t="shared" si="3656"/>
        <v>1.2462704942995248E-3</v>
      </c>
      <c r="AS835" s="56">
        <f t="shared" si="3656"/>
        <v>0</v>
      </c>
      <c r="AT835" s="56">
        <f t="shared" si="3656"/>
        <v>0</v>
      </c>
      <c r="AU835" s="56">
        <f t="shared" si="3656"/>
        <v>0</v>
      </c>
      <c r="AV835" s="56">
        <f t="shared" si="3656"/>
        <v>1.1057390163733509</v>
      </c>
      <c r="AW835" s="56">
        <f t="shared" si="3656"/>
        <v>0</v>
      </c>
      <c r="AX835" s="56">
        <f t="shared" si="3656"/>
        <v>102031.04136253042</v>
      </c>
      <c r="AY835" s="56">
        <f t="shared" si="3656"/>
        <v>0</v>
      </c>
      <c r="AZ835" s="56">
        <f t="shared" si="3656"/>
        <v>0</v>
      </c>
      <c r="BA835" s="56">
        <f t="shared" si="3656"/>
        <v>233516</v>
      </c>
      <c r="BB835" s="56">
        <f t="shared" si="3656"/>
        <v>0</v>
      </c>
      <c r="BC835" s="56">
        <f t="shared" si="3656"/>
        <v>1042550629</v>
      </c>
      <c r="BD835" s="56">
        <f t="shared" si="3656"/>
        <v>0</v>
      </c>
      <c r="BE835" s="56">
        <f t="shared" si="3656"/>
        <v>30747</v>
      </c>
      <c r="BF835" s="56">
        <f t="shared" si="3656"/>
        <v>0</v>
      </c>
      <c r="BG835" s="56">
        <f t="shared" si="3656"/>
        <v>0.13166977851624728</v>
      </c>
      <c r="BH835" s="56">
        <f t="shared" si="3656"/>
        <v>0</v>
      </c>
      <c r="BI835" s="56">
        <f t="shared" si="3656"/>
        <v>0</v>
      </c>
      <c r="BJ835" s="56">
        <f t="shared" si="3656"/>
        <v>0</v>
      </c>
      <c r="BK835" s="56">
        <f t="shared" si="3656"/>
        <v>0</v>
      </c>
      <c r="BL835" s="56">
        <f t="shared" si="3656"/>
        <v>0</v>
      </c>
      <c r="BM835" s="56">
        <f t="shared" si="3656"/>
        <v>0</v>
      </c>
      <c r="BN835" s="56">
        <f t="shared" si="3656"/>
        <v>1268309.7676399027</v>
      </c>
      <c r="BO835" s="56">
        <f t="shared" si="3656"/>
        <v>0</v>
      </c>
      <c r="BP835" s="56">
        <f t="shared" si="3656"/>
        <v>74942309</v>
      </c>
      <c r="BQ835" s="56">
        <f t="shared" ref="BQ835" si="3657">+BQ731</f>
        <v>0</v>
      </c>
      <c r="BR835" s="56"/>
      <c r="BS835" s="56"/>
      <c r="BT835" s="56"/>
      <c r="BU835" s="56">
        <f>+BU509</f>
        <v>0</v>
      </c>
      <c r="BV835" s="56">
        <f>+BV505</f>
        <v>0</v>
      </c>
      <c r="BW835" s="56"/>
      <c r="BX835" s="56"/>
      <c r="BY835" s="56"/>
      <c r="BZ835" s="56"/>
      <c r="CA835" s="56"/>
      <c r="CB835" s="56"/>
      <c r="CC835" s="56"/>
      <c r="CD835" s="56"/>
      <c r="CE835" s="61"/>
      <c r="CF835" s="61"/>
      <c r="CG835" s="145"/>
    </row>
    <row r="836" spans="2:85" x14ac:dyDescent="0.3">
      <c r="B836" t="s">
        <v>105</v>
      </c>
      <c r="D836" s="56">
        <f>+D830-D835</f>
        <v>105</v>
      </c>
      <c r="E836" s="56">
        <f>+E237-E835</f>
        <v>0</v>
      </c>
      <c r="F836" s="56">
        <f>+F237-F835</f>
        <v>0</v>
      </c>
      <c r="G836" s="56">
        <f>+G237-G835</f>
        <v>0</v>
      </c>
      <c r="H836" s="56">
        <f t="shared" ref="H836:BP836" si="3658">+H830-H835</f>
        <v>-30747</v>
      </c>
      <c r="I836" s="56">
        <f t="shared" si="3658"/>
        <v>0</v>
      </c>
      <c r="J836" s="56">
        <f t="shared" si="3658"/>
        <v>1.5505359746151781E-6</v>
      </c>
      <c r="K836" s="56">
        <f t="shared" si="3658"/>
        <v>0</v>
      </c>
      <c r="L836" s="56">
        <f t="shared" si="3658"/>
        <v>0</v>
      </c>
      <c r="M836" s="56">
        <f t="shared" si="3658"/>
        <v>0</v>
      </c>
      <c r="N836" s="56">
        <f t="shared" si="3658"/>
        <v>-14463</v>
      </c>
      <c r="O836" s="56">
        <f t="shared" si="3658"/>
        <v>74.941622139042011</v>
      </c>
      <c r="P836" s="56">
        <f t="shared" si="3658"/>
        <v>0</v>
      </c>
      <c r="Q836" s="56">
        <f t="shared" si="3658"/>
        <v>-14463</v>
      </c>
      <c r="R836" s="56">
        <f t="shared" si="3658"/>
        <v>0</v>
      </c>
      <c r="S836" s="56">
        <f t="shared" si="3658"/>
        <v>-3.2234895852538803E-2</v>
      </c>
      <c r="T836" s="56">
        <f t="shared" si="3658"/>
        <v>0</v>
      </c>
      <c r="U836" s="56">
        <f t="shared" si="3658"/>
        <v>0</v>
      </c>
      <c r="V836" s="56">
        <f t="shared" si="3658"/>
        <v>-1</v>
      </c>
      <c r="W836" s="56">
        <f t="shared" si="3658"/>
        <v>15</v>
      </c>
      <c r="X836" s="56">
        <f t="shared" si="3658"/>
        <v>0</v>
      </c>
      <c r="Y836" s="56">
        <f t="shared" si="3658"/>
        <v>0</v>
      </c>
      <c r="Z836" s="56">
        <f t="shared" si="3658"/>
        <v>87</v>
      </c>
      <c r="AA836" s="56">
        <f t="shared" si="3658"/>
        <v>-30</v>
      </c>
      <c r="AB836" s="56">
        <f t="shared" si="3658"/>
        <v>0</v>
      </c>
      <c r="AC836" s="56">
        <f t="shared" si="3658"/>
        <v>4.4221670942989205E-6</v>
      </c>
      <c r="AD836" s="56">
        <f t="shared" si="3658"/>
        <v>0</v>
      </c>
      <c r="AE836" s="56">
        <f t="shared" si="3658"/>
        <v>1.2987084766959924</v>
      </c>
      <c r="AF836" s="56">
        <f t="shared" si="3658"/>
        <v>0</v>
      </c>
      <c r="AG836" s="56">
        <f t="shared" si="3658"/>
        <v>0</v>
      </c>
      <c r="AH836" s="56">
        <f t="shared" si="3658"/>
        <v>0</v>
      </c>
      <c r="AI836" s="56">
        <f t="shared" si="3658"/>
        <v>0</v>
      </c>
      <c r="AJ836" s="56">
        <f t="shared" si="3658"/>
        <v>0</v>
      </c>
      <c r="AK836" s="56">
        <f t="shared" si="3658"/>
        <v>0</v>
      </c>
      <c r="AL836" s="56">
        <f t="shared" si="3658"/>
        <v>-36287</v>
      </c>
      <c r="AM836" s="56">
        <f t="shared" si="3658"/>
        <v>0</v>
      </c>
      <c r="AN836" s="56">
        <f t="shared" si="3658"/>
        <v>0</v>
      </c>
      <c r="AO836" s="56">
        <f t="shared" si="3658"/>
        <v>0</v>
      </c>
      <c r="AP836" s="56">
        <f t="shared" si="3658"/>
        <v>-104394</v>
      </c>
      <c r="AQ836" s="56">
        <f t="shared" si="3658"/>
        <v>0</v>
      </c>
      <c r="AR836" s="56">
        <f t="shared" si="3658"/>
        <v>-4.3253777037860594E-4</v>
      </c>
      <c r="AS836" s="56">
        <f t="shared" si="3658"/>
        <v>0</v>
      </c>
      <c r="AT836" s="56">
        <f t="shared" si="3658"/>
        <v>0</v>
      </c>
      <c r="AU836" s="56">
        <f t="shared" si="3658"/>
        <v>0</v>
      </c>
      <c r="AV836" s="56">
        <f t="shared" si="3658"/>
        <v>-9.2847794831651953E-4</v>
      </c>
      <c r="AW836" s="56">
        <f t="shared" si="3658"/>
        <v>0</v>
      </c>
      <c r="AX836" s="56">
        <f t="shared" si="3658"/>
        <v>-2.8781469396781176</v>
      </c>
      <c r="AY836" s="56">
        <f t="shared" si="3658"/>
        <v>0</v>
      </c>
      <c r="AZ836" s="56">
        <f t="shared" si="3658"/>
        <v>0</v>
      </c>
      <c r="BA836" s="56">
        <f t="shared" si="3658"/>
        <v>-184611</v>
      </c>
      <c r="BB836" s="56">
        <f t="shared" si="3658"/>
        <v>0</v>
      </c>
      <c r="BC836" s="56">
        <f t="shared" si="3658"/>
        <v>-233516</v>
      </c>
      <c r="BD836" s="56">
        <f t="shared" si="3658"/>
        <v>0</v>
      </c>
      <c r="BE836" s="56">
        <f t="shared" si="3658"/>
        <v>105</v>
      </c>
      <c r="BF836" s="56">
        <f t="shared" si="3658"/>
        <v>0</v>
      </c>
      <c r="BG836" s="56">
        <f t="shared" si="3658"/>
        <v>0.49918596220556033</v>
      </c>
      <c r="BH836" s="56">
        <f t="shared" si="3658"/>
        <v>0</v>
      </c>
      <c r="BI836" s="56">
        <f t="shared" si="3658"/>
        <v>0</v>
      </c>
      <c r="BJ836" s="56">
        <f t="shared" si="3658"/>
        <v>0</v>
      </c>
      <c r="BK836" s="56">
        <f t="shared" si="3658"/>
        <v>0</v>
      </c>
      <c r="BL836" s="56">
        <f t="shared" si="3658"/>
        <v>0</v>
      </c>
      <c r="BM836" s="56">
        <f t="shared" si="3658"/>
        <v>0</v>
      </c>
      <c r="BN836" s="56">
        <f t="shared" si="3658"/>
        <v>1260.406537929317</v>
      </c>
      <c r="BO836" s="56">
        <f t="shared" si="3658"/>
        <v>0</v>
      </c>
      <c r="BP836" s="56">
        <f t="shared" si="3658"/>
        <v>-30747</v>
      </c>
      <c r="BQ836" s="56">
        <f t="shared" ref="BQ836" si="3659">+BQ730-BQ835</f>
        <v>0</v>
      </c>
      <c r="BR836" s="56"/>
      <c r="BS836" s="56"/>
      <c r="BT836" s="56"/>
      <c r="BU836" s="56">
        <f>+BU508-BU835</f>
        <v>0</v>
      </c>
      <c r="BV836" s="56">
        <f>+BV504-BV835</f>
        <v>0</v>
      </c>
      <c r="BW836" s="56"/>
      <c r="BX836" s="56"/>
      <c r="BY836" s="56"/>
      <c r="BZ836" s="56"/>
      <c r="CA836" s="56"/>
      <c r="CB836" s="56"/>
      <c r="CC836" s="56"/>
      <c r="CD836" s="56"/>
      <c r="CE836" s="61"/>
      <c r="CF836" s="61"/>
      <c r="CG836" s="105"/>
    </row>
    <row r="837" spans="2:85" x14ac:dyDescent="0.3">
      <c r="B837" s="56"/>
      <c r="D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10"/>
      <c r="BT837" s="10"/>
      <c r="BU837" s="10"/>
      <c r="BV837" s="10"/>
      <c r="BW837" s="10"/>
      <c r="BX837" s="10"/>
      <c r="BY837" s="10"/>
      <c r="BZ837" s="10"/>
      <c r="CA837" s="10"/>
      <c r="CB837" s="61"/>
      <c r="CC837" s="105"/>
      <c r="CD837" s="105"/>
      <c r="CE837" s="105"/>
      <c r="CF837" s="105"/>
    </row>
    <row r="838" spans="2:85" x14ac:dyDescent="0.3">
      <c r="B838" s="56"/>
      <c r="D838" s="56"/>
      <c r="H838" s="1"/>
      <c r="N838" s="145">
        <f>+N803-N796</f>
        <v>81872</v>
      </c>
      <c r="O838" s="1"/>
      <c r="W838" s="56">
        <f>SUM(W297:W677)</f>
        <v>434376</v>
      </c>
      <c r="AA838" s="59"/>
      <c r="BA838" s="59"/>
      <c r="BC838" s="56"/>
      <c r="BE838" s="59"/>
      <c r="BJ838" s="61"/>
      <c r="BK838" s="10">
        <f>+BK187</f>
        <v>4928581</v>
      </c>
      <c r="BL838" s="61"/>
      <c r="BM838" s="61"/>
      <c r="BN838" s="61"/>
      <c r="BO838" s="61"/>
      <c r="BP838" s="61"/>
      <c r="BQ838" s="61"/>
      <c r="BR838" s="61"/>
      <c r="BS838" s="10"/>
      <c r="BT838" s="10"/>
    </row>
    <row r="839" spans="2:85" x14ac:dyDescent="0.3">
      <c r="B839" s="56"/>
      <c r="D839" s="56"/>
      <c r="H839" s="56"/>
      <c r="N839" s="59">
        <f>+N838/N796</f>
        <v>0.19021597710122301</v>
      </c>
      <c r="W839" s="56">
        <f>SUM(W762:W768)</f>
        <v>1808</v>
      </c>
      <c r="AA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56"/>
      <c r="AU839" t="s">
        <v>161</v>
      </c>
      <c r="BC839" s="56"/>
      <c r="BE839" s="59"/>
      <c r="BH839" s="96"/>
      <c r="BI839" s="96"/>
      <c r="BJ839" s="96"/>
      <c r="BK839" s="493"/>
      <c r="BL839" s="96"/>
      <c r="BM839" s="96"/>
      <c r="BN839" s="96"/>
      <c r="BO839" s="96"/>
      <c r="BP839" s="96"/>
      <c r="BQ839" s="96"/>
      <c r="BR839" s="78"/>
      <c r="BS839" s="1"/>
      <c r="BT839" s="1"/>
    </row>
    <row r="840" spans="2:85" x14ac:dyDescent="0.3">
      <c r="D840" s="1"/>
      <c r="E840" s="111" t="s">
        <v>26</v>
      </c>
      <c r="F840" s="112"/>
      <c r="H840" s="112" t="s">
        <v>59</v>
      </c>
      <c r="I840" s="104"/>
      <c r="J840" s="104"/>
      <c r="K840" s="61"/>
      <c r="L840" s="10"/>
      <c r="W840" s="56">
        <f>SUM(W671:W676)</f>
        <v>10848</v>
      </c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BA840" s="56">
        <f>SUM(BA664:BA677)</f>
        <v>44881345</v>
      </c>
      <c r="BC840" s="56"/>
      <c r="BE840" s="56">
        <f>SUM(BE664:BE677)</f>
        <v>9000128</v>
      </c>
      <c r="BG840" s="231">
        <f>+BE840/BA840</f>
        <v>0.20053160171559029</v>
      </c>
      <c r="BH840" s="96"/>
      <c r="BI840" s="96"/>
      <c r="BJ840" s="96"/>
      <c r="BK840" s="493">
        <f>+BK194-BK835</f>
        <v>5763109</v>
      </c>
      <c r="BL840" s="96"/>
      <c r="BM840" s="96"/>
      <c r="BN840" s="96"/>
      <c r="BO840" s="96"/>
      <c r="BP840" s="96"/>
      <c r="BQ840" s="96"/>
      <c r="BR840" s="78"/>
      <c r="BS840" s="1"/>
      <c r="BT840" s="1"/>
    </row>
    <row r="841" spans="2:85" x14ac:dyDescent="0.3">
      <c r="B841" s="56"/>
      <c r="D841" s="1"/>
      <c r="E841" s="111" t="s">
        <v>38</v>
      </c>
      <c r="F841" s="112"/>
      <c r="H841" s="112" t="s">
        <v>40</v>
      </c>
      <c r="I841" s="10"/>
      <c r="J841" s="10"/>
      <c r="K841" s="61"/>
      <c r="L841" s="10"/>
      <c r="AD841" s="1"/>
      <c r="AE841" s="1"/>
      <c r="AF841" s="1"/>
      <c r="AG841" s="1"/>
      <c r="AH841" s="1"/>
      <c r="AI841" s="1">
        <f>SUM(W213:W243)</f>
        <v>25465</v>
      </c>
      <c r="AJ841" s="1"/>
      <c r="AK841" s="1"/>
      <c r="AL841" s="1" t="s">
        <v>17</v>
      </c>
      <c r="AM841" s="1"/>
      <c r="AN841" s="1"/>
      <c r="AO841" s="1"/>
      <c r="BC841" s="56"/>
      <c r="BE841" s="59"/>
      <c r="BH841" s="97"/>
      <c r="BI841" s="97"/>
      <c r="BJ841" s="97"/>
      <c r="BK841" s="493">
        <f>+BK187-BK835</f>
        <v>4928581</v>
      </c>
      <c r="BL841" s="97"/>
      <c r="BM841" s="97"/>
      <c r="BN841" s="97"/>
      <c r="BO841" s="97"/>
      <c r="BP841" s="97"/>
      <c r="BQ841" s="97"/>
      <c r="BR841" s="78"/>
      <c r="BS841" s="1"/>
      <c r="BT841" s="1"/>
    </row>
    <row r="842" spans="2:85" x14ac:dyDescent="0.3">
      <c r="B842" s="231"/>
      <c r="D842" s="1"/>
      <c r="E842" s="111" t="s">
        <v>45</v>
      </c>
      <c r="F842" s="112"/>
      <c r="H842" s="112" t="s">
        <v>55</v>
      </c>
      <c r="I842" s="10"/>
      <c r="J842" s="10"/>
      <c r="K842" s="61"/>
      <c r="L842" s="10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BC842" s="56"/>
      <c r="BE842" s="59"/>
      <c r="BH842" s="97"/>
      <c r="BI842" s="97"/>
      <c r="BJ842" s="97"/>
      <c r="BK842" s="493"/>
      <c r="BL842" s="97"/>
      <c r="BM842" s="97"/>
      <c r="BN842" s="97"/>
      <c r="BO842" s="97"/>
      <c r="BP842" s="97"/>
      <c r="BQ842" s="97"/>
      <c r="BR842" s="78"/>
      <c r="BS842" s="1"/>
      <c r="BT842" s="1"/>
    </row>
    <row r="843" spans="2:85" x14ac:dyDescent="0.3">
      <c r="D843" s="1"/>
      <c r="E843" s="111" t="s">
        <v>60</v>
      </c>
      <c r="F843" s="61"/>
      <c r="H843" s="81" t="s">
        <v>135</v>
      </c>
      <c r="I843" s="61"/>
      <c r="J843" s="61"/>
      <c r="K843" s="61"/>
      <c r="L843" s="6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BH843" s="97"/>
      <c r="BI843" s="97"/>
      <c r="BJ843" s="97"/>
      <c r="BK843" s="496"/>
      <c r="BL843" s="97"/>
      <c r="BM843" s="97"/>
      <c r="BN843" s="97"/>
      <c r="BO843" s="97"/>
      <c r="BP843" s="97"/>
      <c r="BQ843" s="97"/>
      <c r="BR843" s="78"/>
      <c r="BS843" s="1"/>
      <c r="BT843" s="1"/>
    </row>
    <row r="844" spans="2:85" x14ac:dyDescent="0.3">
      <c r="E844" s="111" t="s">
        <v>136</v>
      </c>
      <c r="H844" s="81" t="s">
        <v>137</v>
      </c>
      <c r="AD844" s="1"/>
      <c r="AE844" s="1"/>
      <c r="AF844" s="1"/>
      <c r="AG844" s="1"/>
      <c r="AH844" s="1"/>
      <c r="AI844" s="1"/>
      <c r="BD844" s="78"/>
      <c r="BE844" s="78"/>
      <c r="BF844" s="78"/>
      <c r="BG844" s="78"/>
      <c r="BH844" s="78"/>
      <c r="BI844" s="78"/>
      <c r="BJ844" s="78"/>
      <c r="BK844" s="494"/>
      <c r="BL844" s="78"/>
      <c r="BM844" s="78"/>
      <c r="BN844" s="78"/>
      <c r="BO844" s="78"/>
      <c r="BP844" s="78"/>
      <c r="BQ844" s="78"/>
      <c r="BR844" s="78"/>
      <c r="BS844" s="1"/>
      <c r="BT844" s="1"/>
    </row>
    <row r="845" spans="2:85" x14ac:dyDescent="0.3">
      <c r="B845" s="56"/>
      <c r="AD845" s="1"/>
      <c r="AE845" s="1"/>
      <c r="AF845" s="1"/>
      <c r="AG845" s="1"/>
      <c r="AH845" s="1"/>
      <c r="AI845" s="1"/>
      <c r="BA845" s="545">
        <v>157602857</v>
      </c>
      <c r="BK845" s="495"/>
    </row>
    <row r="846" spans="2:85" ht="15" thickBot="1" x14ac:dyDescent="0.35">
      <c r="D846" s="56">
        <f>SUM(D363:D369)</f>
        <v>378583</v>
      </c>
      <c r="AA846">
        <f>+AA796/688</f>
        <v>1300.2267441860465</v>
      </c>
      <c r="AD846" s="1"/>
      <c r="AE846" s="507"/>
      <c r="AF846" s="547"/>
      <c r="AG846" s="507"/>
      <c r="AH846" s="507"/>
      <c r="AI846" s="507"/>
      <c r="AJ846" s="500"/>
      <c r="AK846" s="500"/>
      <c r="AL846" s="500"/>
      <c r="AM846" s="500"/>
      <c r="AN846" s="500"/>
      <c r="AO846" s="500"/>
      <c r="AP846" s="500"/>
      <c r="AQ846" s="500"/>
      <c r="AR846" s="500"/>
      <c r="AS846" s="500"/>
      <c r="AT846" s="500"/>
      <c r="AU846" s="500"/>
      <c r="AV846" s="500"/>
      <c r="AW846" s="500"/>
      <c r="AX846" s="500"/>
      <c r="AZ846" s="106"/>
      <c r="BA846" s="106"/>
      <c r="BB846" s="106"/>
      <c r="BC846" s="106"/>
      <c r="BK846" s="1"/>
    </row>
    <row r="847" spans="2:85" x14ac:dyDescent="0.3">
      <c r="D847" s="531">
        <f>SUM(D356:D362)</f>
        <v>417052</v>
      </c>
      <c r="J847" s="486"/>
      <c r="N847" s="56">
        <f>+N796-N789</f>
        <v>64925</v>
      </c>
      <c r="V847" s="106"/>
      <c r="AA847" s="56"/>
      <c r="AD847" s="1"/>
      <c r="AE847" s="507"/>
      <c r="AF847" s="546"/>
      <c r="AG847" s="1"/>
      <c r="AH847" s="1"/>
      <c r="AI847" s="485"/>
      <c r="AJ847" s="464"/>
      <c r="AK847" s="465"/>
      <c r="AL847" s="465"/>
      <c r="AM847" s="465"/>
      <c r="AN847" s="465"/>
      <c r="AO847" s="465"/>
      <c r="AP847" s="465"/>
      <c r="AQ847" s="465"/>
      <c r="AR847" s="465"/>
      <c r="AS847" s="465"/>
      <c r="AT847" s="465"/>
      <c r="AU847" s="465"/>
      <c r="AV847" s="465"/>
      <c r="AW847" s="466"/>
      <c r="AX847" s="500"/>
      <c r="AZ847" s="106"/>
      <c r="BA847" s="77"/>
      <c r="BB847" s="106"/>
      <c r="BC847" s="106"/>
      <c r="BK847" s="56"/>
    </row>
    <row r="848" spans="2:85" x14ac:dyDescent="0.3">
      <c r="D848" s="1"/>
      <c r="J848" s="214"/>
      <c r="N848" s="231">
        <f>+N847/N789</f>
        <v>0.1776377530500067</v>
      </c>
      <c r="AD848" s="1"/>
      <c r="AE848" s="507"/>
      <c r="AF848" s="546"/>
      <c r="AG848" s="1"/>
      <c r="AH848" s="1"/>
      <c r="AI848" s="485"/>
      <c r="AJ848" s="467"/>
      <c r="AK848" s="609" t="s">
        <v>142</v>
      </c>
      <c r="AL848" s="609"/>
      <c r="AM848" s="609"/>
      <c r="AN848" s="609"/>
      <c r="AO848" s="609"/>
      <c r="AP848" s="609"/>
      <c r="AQ848" s="609"/>
      <c r="AR848" s="609"/>
      <c r="AS848" s="609"/>
      <c r="AT848" s="609"/>
      <c r="AU848" s="609"/>
      <c r="AV848" s="609"/>
      <c r="AW848" s="468"/>
      <c r="AX848" s="500"/>
      <c r="AZ848" s="106"/>
      <c r="BA848" s="106"/>
      <c r="BB848" s="106"/>
      <c r="BC848" s="106"/>
    </row>
    <row r="849" spans="2:87" ht="15.6" x14ac:dyDescent="0.3">
      <c r="D849" s="1">
        <v>331000000</v>
      </c>
      <c r="H849" s="235">
        <f>+H269/D849</f>
        <v>4.5635842900302113E-2</v>
      </c>
      <c r="J849" s="57"/>
      <c r="N849" s="56">
        <f>+N796-N782</f>
        <v>125883</v>
      </c>
      <c r="AD849" s="1"/>
      <c r="AE849" s="507"/>
      <c r="AF849" s="546"/>
      <c r="AG849" s="1"/>
      <c r="AH849" s="1"/>
      <c r="AI849" s="485"/>
      <c r="AJ849" s="467"/>
      <c r="AK849" s="609" t="s">
        <v>141</v>
      </c>
      <c r="AL849" s="609"/>
      <c r="AM849" s="609"/>
      <c r="AN849" s="609"/>
      <c r="AO849" s="473"/>
      <c r="AP849" s="474" t="s">
        <v>20</v>
      </c>
      <c r="AQ849" s="473"/>
      <c r="AR849" s="474" t="s">
        <v>4</v>
      </c>
      <c r="AS849" s="475"/>
      <c r="AT849" s="475"/>
      <c r="AU849" s="475"/>
      <c r="AV849" s="479" t="s">
        <v>10</v>
      </c>
      <c r="AW849" s="468"/>
      <c r="AX849" s="500"/>
      <c r="AZ849" s="106"/>
      <c r="BA849" s="106"/>
      <c r="BB849" s="106"/>
      <c r="BC849" s="106"/>
    </row>
    <row r="850" spans="2:87" ht="15.6" x14ac:dyDescent="0.3">
      <c r="H850" s="235">
        <f>+AA269/H269</f>
        <v>1.9000541790705667E-2</v>
      </c>
      <c r="N850" s="231">
        <f>+N849/N782</f>
        <v>0.41336406891863936</v>
      </c>
      <c r="AD850" s="1"/>
      <c r="AE850" s="507"/>
      <c r="AF850" s="546"/>
      <c r="AG850" s="1"/>
      <c r="AH850" s="1"/>
      <c r="AI850" s="485"/>
      <c r="AJ850" s="467"/>
      <c r="AK850" s="624" t="s">
        <v>138</v>
      </c>
      <c r="AL850" s="624"/>
      <c r="AM850" s="624"/>
      <c r="AN850" s="624"/>
      <c r="AO850" s="473"/>
      <c r="AP850" s="476">
        <f>+AH50</f>
        <v>898992</v>
      </c>
      <c r="AQ850" s="477"/>
      <c r="AR850" s="476">
        <f>+AH51</f>
        <v>55687</v>
      </c>
      <c r="AS850" s="478"/>
      <c r="AT850" s="478"/>
      <c r="AU850" s="478"/>
      <c r="AV850" s="491">
        <f t="shared" ref="AV850:AV856" si="3660">+AR850/AP850</f>
        <v>6.194382152455194E-2</v>
      </c>
      <c r="AW850" s="468"/>
      <c r="AX850" s="500"/>
      <c r="AZ850" s="106"/>
      <c r="BA850" s="77"/>
      <c r="BB850" s="106"/>
      <c r="BC850" s="106"/>
    </row>
    <row r="851" spans="2:87" ht="15.6" x14ac:dyDescent="0.3">
      <c r="D851" s="235"/>
      <c r="AD851" s="1"/>
      <c r="AE851" s="507"/>
      <c r="AF851" s="546"/>
      <c r="AG851" s="1"/>
      <c r="AH851" s="1"/>
      <c r="AI851" s="485"/>
      <c r="AJ851" s="467"/>
      <c r="AK851" s="625" t="s">
        <v>139</v>
      </c>
      <c r="AL851" s="626"/>
      <c r="AM851" s="626"/>
      <c r="AN851" s="626"/>
      <c r="AO851" s="64"/>
      <c r="AP851" s="469">
        <f>+AG83</f>
        <v>742147</v>
      </c>
      <c r="AQ851" s="64"/>
      <c r="AR851" s="469">
        <f>+AG84</f>
        <v>42339</v>
      </c>
      <c r="AS851" s="64"/>
      <c r="AT851" s="64"/>
      <c r="AU851" s="64"/>
      <c r="AV851" s="489">
        <f t="shared" si="3660"/>
        <v>5.7049344671608188E-2</v>
      </c>
      <c r="AW851" s="468"/>
      <c r="AX851" s="500"/>
      <c r="AZ851" s="106"/>
      <c r="BA851" s="77"/>
      <c r="BB851" s="106"/>
      <c r="BC851" s="106"/>
    </row>
    <row r="852" spans="2:87" ht="15.6" x14ac:dyDescent="0.3">
      <c r="AD852" s="1"/>
      <c r="AE852" s="507"/>
      <c r="AF852" s="546"/>
      <c r="AG852" s="1"/>
      <c r="AH852" s="1"/>
      <c r="AI852" s="485"/>
      <c r="AJ852" s="467"/>
      <c r="AK852" s="626" t="s">
        <v>140</v>
      </c>
      <c r="AL852" s="626"/>
      <c r="AM852" s="626"/>
      <c r="AN852" s="626"/>
      <c r="AO852" s="64"/>
      <c r="AP852" s="469">
        <f>+AH113</f>
        <v>869627</v>
      </c>
      <c r="AQ852" s="64"/>
      <c r="AR852" s="469">
        <f>+AH114</f>
        <v>21252</v>
      </c>
      <c r="AS852" s="64"/>
      <c r="AT852" s="64"/>
      <c r="AU852" s="64"/>
      <c r="AV852" s="489">
        <f t="shared" si="3660"/>
        <v>2.4438063675575852E-2</v>
      </c>
      <c r="AW852" s="468"/>
      <c r="AX852" s="500"/>
      <c r="AZ852" s="106"/>
      <c r="BA852" s="106"/>
      <c r="BB852" s="106"/>
      <c r="BC852" s="106"/>
    </row>
    <row r="853" spans="2:87" ht="15.6" x14ac:dyDescent="0.3">
      <c r="D853" s="428"/>
      <c r="AD853" s="1"/>
      <c r="AE853" s="507"/>
      <c r="AF853" s="546"/>
      <c r="AG853" s="1"/>
      <c r="AH853" s="1"/>
      <c r="AI853" s="485"/>
      <c r="AJ853" s="467"/>
      <c r="AK853" s="626" t="s">
        <v>143</v>
      </c>
      <c r="AL853" s="626"/>
      <c r="AM853" s="626"/>
      <c r="AN853" s="626"/>
      <c r="AO853" s="64"/>
      <c r="AP853" s="469">
        <f>+AG859</f>
        <v>1970617</v>
      </c>
      <c r="AQ853" s="64"/>
      <c r="AR853" s="469">
        <f>+AG861</f>
        <v>25901</v>
      </c>
      <c r="AS853" s="64"/>
      <c r="AT853" s="64"/>
      <c r="AU853" s="64"/>
      <c r="AV853" s="489">
        <f t="shared" si="3660"/>
        <v>1.3143599187462607E-2</v>
      </c>
      <c r="AW853" s="468"/>
      <c r="AX853" s="500"/>
    </row>
    <row r="854" spans="2:87" ht="15.6" x14ac:dyDescent="0.3">
      <c r="D854" s="428"/>
      <c r="AD854" s="1"/>
      <c r="AE854" s="507"/>
      <c r="AF854" s="546"/>
      <c r="AG854" s="1"/>
      <c r="AH854" s="1"/>
      <c r="AI854" s="485"/>
      <c r="AJ854" s="467"/>
      <c r="AK854" s="543"/>
      <c r="AL854" s="543" t="s">
        <v>151</v>
      </c>
      <c r="AM854" s="543"/>
      <c r="AN854" s="543"/>
      <c r="AO854" s="64"/>
      <c r="AP854" s="469">
        <f>SUM(D144:D174)</f>
        <v>1493931</v>
      </c>
      <c r="AQ854" s="64"/>
      <c r="AR854" s="469">
        <f>SUM(W144:W174)</f>
        <v>30354</v>
      </c>
      <c r="AS854" s="64"/>
      <c r="AT854" s="64"/>
      <c r="AU854" s="64"/>
      <c r="AV854" s="489">
        <f t="shared" si="3660"/>
        <v>2.0318207467413155E-2</v>
      </c>
      <c r="AW854" s="468"/>
      <c r="AX854" s="500"/>
    </row>
    <row r="855" spans="2:87" ht="15.6" x14ac:dyDescent="0.3">
      <c r="D855" s="428"/>
      <c r="AD855" s="1"/>
      <c r="AE855" s="507"/>
      <c r="AF855" s="546"/>
      <c r="AG855" s="1"/>
      <c r="AH855" s="1"/>
      <c r="AI855" s="485"/>
      <c r="AJ855" s="467"/>
      <c r="AK855" s="543"/>
      <c r="AL855" s="543" t="s">
        <v>152</v>
      </c>
      <c r="AM855" s="543"/>
      <c r="AN855" s="543"/>
      <c r="AO855" s="64"/>
      <c r="AP855" s="469">
        <f>SUM(D175:D204)</f>
        <v>1202331</v>
      </c>
      <c r="AQ855" s="64"/>
      <c r="AR855" s="544">
        <f>SUM(W175:W204)</f>
        <v>24042</v>
      </c>
      <c r="AS855" s="64"/>
      <c r="AT855" s="64"/>
      <c r="AU855" s="64"/>
      <c r="AV855" s="489">
        <f t="shared" si="3660"/>
        <v>1.9996157464125936E-2</v>
      </c>
      <c r="AW855" s="468"/>
      <c r="AX855" s="500"/>
    </row>
    <row r="856" spans="2:87" ht="15.6" x14ac:dyDescent="0.3">
      <c r="D856" s="428"/>
      <c r="AD856" s="1"/>
      <c r="AE856" s="507"/>
      <c r="AF856" s="546"/>
      <c r="AG856" s="1"/>
      <c r="AH856" s="1"/>
      <c r="AI856" s="485"/>
      <c r="AJ856" s="467"/>
      <c r="AK856" s="543"/>
      <c r="AL856" s="543" t="s">
        <v>153</v>
      </c>
      <c r="AM856" s="543"/>
      <c r="AN856" s="543"/>
      <c r="AO856" s="64"/>
      <c r="AP856" s="469">
        <f>SUM(D205:D230)</f>
        <v>1470960</v>
      </c>
      <c r="AQ856" s="64"/>
      <c r="AR856" s="469">
        <f>SUM(W205:W235)</f>
        <v>24156</v>
      </c>
      <c r="AS856" s="64"/>
      <c r="AT856" s="64"/>
      <c r="AU856" s="64"/>
      <c r="AV856" s="489">
        <f t="shared" si="3660"/>
        <v>1.6421928536465982E-2</v>
      </c>
      <c r="AW856" s="468"/>
      <c r="AX856" s="500"/>
      <c r="BA856" s="486">
        <f>+AV850-AV856</f>
        <v>4.5521892988085955E-2</v>
      </c>
    </row>
    <row r="857" spans="2:87" ht="15" thickBot="1" x14ac:dyDescent="0.35">
      <c r="B857" s="427"/>
      <c r="D857" s="235"/>
      <c r="AD857" s="1"/>
      <c r="AE857" s="507"/>
      <c r="AF857" s="546"/>
      <c r="AG857" s="1"/>
      <c r="AH857" s="1"/>
      <c r="AI857" s="485"/>
      <c r="AJ857" s="467"/>
      <c r="AK857" s="480"/>
      <c r="AL857" s="480"/>
      <c r="AM857" s="480"/>
      <c r="AN857" s="480"/>
      <c r="AO857" s="481"/>
      <c r="AP857" s="482"/>
      <c r="AQ857" s="481"/>
      <c r="AR857" s="482"/>
      <c r="AS857" s="481"/>
      <c r="AT857" s="481"/>
      <c r="AU857" s="481"/>
      <c r="AV857" s="483"/>
      <c r="AW857" s="468"/>
      <c r="AX857" s="500"/>
      <c r="BA857">
        <f>+BA856/AV850</f>
        <v>0.73488996751747038</v>
      </c>
    </row>
    <row r="858" spans="2:87" ht="15.6" x14ac:dyDescent="0.3">
      <c r="B858" s="427"/>
      <c r="D858" s="235"/>
      <c r="AD858" s="1"/>
      <c r="AE858" s="507"/>
      <c r="AF858" s="546"/>
      <c r="AG858" s="1"/>
      <c r="AH858" s="1"/>
      <c r="AI858" s="485"/>
      <c r="AJ858" s="467"/>
      <c r="AK858" s="624" t="s">
        <v>138</v>
      </c>
      <c r="AL858" s="624"/>
      <c r="AM858" s="624"/>
      <c r="AN858" s="624"/>
      <c r="AO858" s="64"/>
      <c r="AP858" s="469"/>
      <c r="AQ858" s="64"/>
      <c r="AR858" s="469">
        <f>+AR850</f>
        <v>55687</v>
      </c>
      <c r="AS858" s="64"/>
      <c r="AT858" s="64"/>
      <c r="AU858" s="64"/>
      <c r="AV858" s="144"/>
      <c r="AW858" s="468"/>
      <c r="AX858" s="500"/>
    </row>
    <row r="859" spans="2:87" ht="15.6" x14ac:dyDescent="0.3">
      <c r="B859" s="427"/>
      <c r="D859" s="235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10"/>
      <c r="AE859" s="507"/>
      <c r="AF859" s="546"/>
      <c r="AG859" s="33">
        <f>SUM(D113:D143)</f>
        <v>1970617</v>
      </c>
      <c r="AH859" s="1"/>
      <c r="AI859" s="485"/>
      <c r="AJ859" s="467"/>
      <c r="AK859" s="610" t="s">
        <v>153</v>
      </c>
      <c r="AL859" s="610"/>
      <c r="AM859" s="610"/>
      <c r="AN859" s="610"/>
      <c r="AO859" s="64"/>
      <c r="AP859" s="469"/>
      <c r="AQ859" s="64"/>
      <c r="AR859" s="469">
        <f>+AR856</f>
        <v>24156</v>
      </c>
      <c r="AS859" s="64"/>
      <c r="AT859" s="64"/>
      <c r="AU859" s="64"/>
      <c r="AV859" s="144"/>
      <c r="AW859" s="468"/>
      <c r="AX859" s="500"/>
    </row>
    <row r="860" spans="2:87" ht="15.6" x14ac:dyDescent="0.3">
      <c r="B860" s="427"/>
      <c r="D860" s="235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10"/>
      <c r="AE860" s="507"/>
      <c r="AF860" s="546"/>
      <c r="AG860" s="33">
        <f>SUM(W125:W138)</f>
        <v>12117</v>
      </c>
      <c r="AH860" s="1"/>
      <c r="AI860" s="485"/>
      <c r="AJ860" s="467"/>
      <c r="AK860" s="63"/>
      <c r="AL860" s="497" t="s">
        <v>3</v>
      </c>
      <c r="AM860" s="63"/>
      <c r="AN860" s="63"/>
      <c r="AO860" s="64"/>
      <c r="AP860" s="469"/>
      <c r="AQ860" s="64"/>
      <c r="AR860" s="469">
        <f>+AR858-AR859</f>
        <v>31531</v>
      </c>
      <c r="AS860" s="64"/>
      <c r="AT860" s="64"/>
      <c r="AU860" s="64"/>
      <c r="AV860" s="484">
        <f>+AR860/AR858</f>
        <v>0.5662183274372834</v>
      </c>
      <c r="AW860" s="468"/>
      <c r="AX860" s="500"/>
    </row>
    <row r="861" spans="2:87" ht="15" thickBot="1" x14ac:dyDescent="0.35">
      <c r="D861" s="427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10"/>
      <c r="AE861" s="507"/>
      <c r="AF861" s="548"/>
      <c r="AG861" s="33">
        <f>SUM(W113:W143)</f>
        <v>25901</v>
      </c>
      <c r="AH861" s="1"/>
      <c r="AI861" s="485"/>
      <c r="AJ861" s="470"/>
      <c r="AK861" s="471"/>
      <c r="AL861" s="471"/>
      <c r="AM861" s="471"/>
      <c r="AN861" s="471"/>
      <c r="AO861" s="471"/>
      <c r="AP861" s="471"/>
      <c r="AQ861" s="471"/>
      <c r="AR861" s="471"/>
      <c r="AS861" s="471"/>
      <c r="AT861" s="471"/>
      <c r="AU861" s="471"/>
      <c r="AV861" s="471"/>
      <c r="AW861" s="472"/>
      <c r="AX861" s="500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78"/>
      <c r="BP861" s="78"/>
      <c r="BQ861" s="78"/>
      <c r="BR861" s="78"/>
      <c r="BS861" s="1"/>
      <c r="BT861" s="1"/>
      <c r="BU861" s="1"/>
      <c r="BV861" s="1"/>
      <c r="BW861" s="78"/>
      <c r="BX861" s="78"/>
      <c r="BY861" s="78"/>
      <c r="BZ861" s="78"/>
      <c r="CA861" s="78"/>
      <c r="CB861" s="78"/>
      <c r="CC861" s="78"/>
      <c r="CD861" s="78"/>
      <c r="CE861" s="78"/>
      <c r="CF861" s="78"/>
      <c r="CG861" s="78"/>
      <c r="CH861" s="78"/>
      <c r="CI861" s="78"/>
    </row>
    <row r="862" spans="2:87" x14ac:dyDescent="0.3"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10"/>
      <c r="AE862" s="507"/>
      <c r="AF862" s="507"/>
      <c r="AG862" s="507"/>
      <c r="AH862" s="507"/>
      <c r="AI862" s="507"/>
      <c r="AJ862" s="500"/>
      <c r="AK862" s="500"/>
      <c r="AL862" s="500"/>
      <c r="AM862" s="500"/>
      <c r="AN862" s="500"/>
      <c r="AO862" s="500"/>
      <c r="AP862" s="500"/>
      <c r="AQ862" s="500"/>
      <c r="AR862" s="500"/>
      <c r="AS862" s="500"/>
      <c r="AT862" s="500"/>
      <c r="AU862" s="500"/>
      <c r="AV862" s="500"/>
      <c r="AW862" s="500"/>
      <c r="AX862" s="500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77"/>
      <c r="BX862" s="77"/>
      <c r="BY862" s="77"/>
      <c r="BZ862" s="77"/>
      <c r="CA862" s="109"/>
      <c r="CB862" s="1"/>
      <c r="CC862" s="1"/>
      <c r="CD862" s="1"/>
      <c r="CE862" s="1"/>
      <c r="CF862" s="1"/>
      <c r="CG862" s="1"/>
      <c r="CH862" s="1"/>
      <c r="CI862" s="1"/>
    </row>
    <row r="863" spans="2:87" x14ac:dyDescent="0.3">
      <c r="D863">
        <v>10</v>
      </c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10"/>
      <c r="AE863" s="10"/>
      <c r="AF863" s="10"/>
      <c r="AG863" s="10"/>
      <c r="AH863" s="10"/>
      <c r="AI863" s="10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77"/>
      <c r="BX863" s="77"/>
      <c r="BY863" s="77"/>
      <c r="BZ863" s="77"/>
      <c r="CA863" s="77"/>
      <c r="CB863" s="1"/>
      <c r="CC863" s="1"/>
      <c r="CD863" s="1"/>
      <c r="CE863" s="1"/>
      <c r="CF863" s="1"/>
      <c r="CG863" s="1"/>
      <c r="CH863" s="1"/>
      <c r="CI863" s="1"/>
    </row>
    <row r="864" spans="2:87" x14ac:dyDescent="0.3">
      <c r="D864" s="1">
        <v>77000000</v>
      </c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10"/>
      <c r="AE864" s="10"/>
      <c r="AF864" s="10"/>
      <c r="AG864" s="10"/>
      <c r="AH864" s="10"/>
      <c r="AI864" s="10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77"/>
      <c r="BX864" s="77"/>
      <c r="BY864" s="77"/>
      <c r="BZ864" s="77"/>
      <c r="CA864" s="77"/>
      <c r="CB864" s="1"/>
      <c r="CC864" s="1"/>
      <c r="CD864" s="1"/>
      <c r="CE864" s="1"/>
      <c r="CF864" s="1"/>
      <c r="CG864" s="1"/>
    </row>
    <row r="865" spans="2:85" x14ac:dyDescent="0.3">
      <c r="D865" s="57">
        <f>+D864/D867</f>
        <v>0.23262839879154079</v>
      </c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10"/>
      <c r="AE865" s="10"/>
      <c r="AF865" s="10"/>
      <c r="AG865" s="501"/>
      <c r="AH865" s="10"/>
      <c r="AI865" s="10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77"/>
      <c r="BX865" s="77"/>
      <c r="BY865" s="77"/>
      <c r="BZ865" s="77"/>
      <c r="CA865" s="77"/>
      <c r="CB865" s="1"/>
      <c r="CC865" s="1"/>
      <c r="CD865" s="1"/>
      <c r="CE865" s="1"/>
      <c r="CF865" s="1"/>
      <c r="CG865" s="1"/>
    </row>
    <row r="866" spans="2:85" x14ac:dyDescent="0.3"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10"/>
      <c r="AE866" s="10"/>
      <c r="AF866" s="507"/>
      <c r="AG866" s="526"/>
      <c r="AH866" s="507"/>
      <c r="AI866" s="507"/>
      <c r="AJ866" s="500"/>
      <c r="AK866" s="500"/>
      <c r="AL866" s="500"/>
      <c r="AM866" s="500"/>
      <c r="AN866" s="500"/>
      <c r="AO866" s="500"/>
      <c r="AP866" s="500"/>
      <c r="AQ866" s="500"/>
      <c r="AR866" s="500"/>
      <c r="AS866" s="500"/>
      <c r="AT866" s="500"/>
      <c r="AU866" s="500"/>
      <c r="AV866" s="500"/>
      <c r="AW866" s="500"/>
      <c r="AX866" s="500"/>
      <c r="AY866" s="500"/>
      <c r="AZ866" s="500"/>
      <c r="BA866" s="500"/>
      <c r="BB866" s="500"/>
      <c r="BC866" s="500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77"/>
      <c r="BX866" s="77"/>
      <c r="BY866" s="110"/>
      <c r="BZ866" s="77"/>
      <c r="CA866" s="77"/>
    </row>
    <row r="867" spans="2:85" x14ac:dyDescent="0.3">
      <c r="D867" s="1">
        <v>331000000</v>
      </c>
      <c r="H867">
        <v>0.13400000000000001</v>
      </c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10"/>
      <c r="AE867" s="10"/>
      <c r="AF867" s="507"/>
      <c r="AG867" s="527"/>
      <c r="AH867" s="507"/>
      <c r="AI867" s="507"/>
      <c r="AJ867" s="524"/>
      <c r="AK867" s="524"/>
      <c r="AL867" s="525"/>
      <c r="AM867" s="525"/>
      <c r="AN867" s="525"/>
      <c r="AO867" s="525"/>
      <c r="AP867" s="525"/>
      <c r="AQ867" s="525"/>
      <c r="AR867" s="525"/>
      <c r="AS867" s="525"/>
      <c r="AT867" s="525"/>
      <c r="AU867" s="525"/>
      <c r="AV867" s="525"/>
      <c r="AW867" s="525"/>
      <c r="AX867" s="525"/>
      <c r="AY867" s="525"/>
      <c r="AZ867" s="525"/>
      <c r="BA867" s="525"/>
      <c r="BB867" s="524"/>
      <c r="BC867" s="524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77"/>
      <c r="BX867" s="77"/>
      <c r="BY867" s="77"/>
      <c r="BZ867" s="77"/>
      <c r="CA867" s="77"/>
    </row>
    <row r="868" spans="2:85" x14ac:dyDescent="0.3">
      <c r="D868" s="1">
        <f>+D867*H867</f>
        <v>44354000</v>
      </c>
      <c r="H868" s="1">
        <f>+D868*0.001</f>
        <v>44354</v>
      </c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10"/>
      <c r="AE868" s="10"/>
      <c r="AF868" s="507"/>
      <c r="AG868" s="526"/>
      <c r="AH868" s="507"/>
      <c r="AI868" s="507"/>
      <c r="AJ868" s="524"/>
      <c r="AK868" s="524"/>
      <c r="AL868" s="138"/>
      <c r="AM868" s="138"/>
      <c r="AN868" s="138"/>
      <c r="AO868" s="138"/>
      <c r="AP868" s="138"/>
      <c r="AQ868" s="138"/>
      <c r="AR868" s="138"/>
      <c r="AS868" s="78"/>
      <c r="AT868" s="78"/>
      <c r="AU868" s="78"/>
      <c r="AV868" s="98"/>
      <c r="AW868" s="98"/>
      <c r="AX868" s="98"/>
      <c r="AY868" s="98"/>
      <c r="AZ868" s="524"/>
      <c r="BA868" s="524"/>
      <c r="BB868" s="530"/>
      <c r="BC868" s="524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77"/>
      <c r="BX868" s="77"/>
      <c r="BY868" s="77"/>
      <c r="BZ868" s="77"/>
      <c r="CA868" s="77"/>
    </row>
    <row r="869" spans="2:85" x14ac:dyDescent="0.3">
      <c r="D869" s="425">
        <v>7.1999999999999995E-2</v>
      </c>
      <c r="H869" s="1">
        <f>+AA204*H867</f>
        <v>28746.886000000002</v>
      </c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10"/>
      <c r="AE869" s="10"/>
      <c r="AF869" s="507"/>
      <c r="AG869" s="526">
        <v>44031</v>
      </c>
      <c r="AH869" s="507"/>
      <c r="AI869" s="507"/>
      <c r="AJ869" s="524"/>
      <c r="AK869" s="524"/>
      <c r="AL869" s="138"/>
      <c r="AM869" s="138"/>
      <c r="AN869" s="138"/>
      <c r="AO869" s="138"/>
      <c r="AP869" s="138"/>
      <c r="AQ869" s="138"/>
      <c r="AR869" s="138"/>
      <c r="AS869" s="138"/>
      <c r="AT869" s="98"/>
      <c r="AU869" s="78"/>
      <c r="AV869" s="98"/>
      <c r="AW869" s="98"/>
      <c r="AX869" s="98"/>
      <c r="AY869" s="98"/>
      <c r="AZ869" s="524"/>
      <c r="BA869" s="524"/>
      <c r="BB869" s="530"/>
      <c r="BC869" s="524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77"/>
      <c r="BX869" s="77"/>
      <c r="BY869" s="77"/>
      <c r="BZ869" s="77"/>
      <c r="CA869" s="77"/>
    </row>
    <row r="870" spans="2:85" x14ac:dyDescent="0.3"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10"/>
      <c r="AE870" s="10"/>
      <c r="AF870" s="507"/>
      <c r="AG870" s="526">
        <v>44038</v>
      </c>
      <c r="AH870" s="507"/>
      <c r="AI870" s="507"/>
      <c r="AJ870" s="524"/>
      <c r="AK870" s="524"/>
      <c r="AL870" s="78"/>
      <c r="AM870" s="78"/>
      <c r="AN870" s="139"/>
      <c r="AO870" s="139"/>
      <c r="AP870" s="139"/>
      <c r="AQ870" s="139"/>
      <c r="AR870" s="139"/>
      <c r="AS870" s="78"/>
      <c r="AT870" s="78"/>
      <c r="AU870" s="78"/>
      <c r="AV870" s="98"/>
      <c r="AW870" s="98"/>
      <c r="AX870" s="98"/>
      <c r="AY870" s="98"/>
      <c r="AZ870" s="524"/>
      <c r="BA870" s="524"/>
      <c r="BB870" s="530"/>
      <c r="BC870" s="524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77"/>
      <c r="BX870" s="77"/>
      <c r="BY870" s="77"/>
      <c r="BZ870" s="77"/>
      <c r="CA870" s="77"/>
    </row>
    <row r="871" spans="2:85" x14ac:dyDescent="0.3">
      <c r="D871" s="235">
        <v>4.2000000000000003E-2</v>
      </c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10"/>
      <c r="AE871" s="10"/>
      <c r="AF871" s="507"/>
      <c r="AG871" s="526">
        <v>44045</v>
      </c>
      <c r="AH871" s="507"/>
      <c r="AI871" s="507"/>
      <c r="AJ871" s="524"/>
      <c r="AK871" s="524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98"/>
      <c r="AW871" s="98"/>
      <c r="AX871" s="98"/>
      <c r="AY871" s="98"/>
      <c r="AZ871" s="524"/>
      <c r="BA871" s="524"/>
      <c r="BB871" s="530"/>
      <c r="BC871" s="524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2:85" x14ac:dyDescent="0.3">
      <c r="D872" s="531">
        <f>+D867*D869*D871</f>
        <v>1000944.0000000001</v>
      </c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10"/>
      <c r="AE872" s="10"/>
      <c r="AF872" s="507"/>
      <c r="AG872" s="526">
        <v>44052</v>
      </c>
      <c r="AH872" s="507"/>
      <c r="AI872" s="507"/>
      <c r="AJ872" s="524"/>
      <c r="AK872" s="524"/>
      <c r="AL872" s="78"/>
      <c r="AM872" s="78"/>
      <c r="AN872" s="139"/>
      <c r="AO872" s="139"/>
      <c r="AP872" s="139"/>
      <c r="AQ872" s="139"/>
      <c r="AR872" s="139"/>
      <c r="AS872" s="139"/>
      <c r="AT872" s="139"/>
      <c r="AU872" s="78"/>
      <c r="AV872" s="98"/>
      <c r="AW872" s="98"/>
      <c r="AX872" s="98"/>
      <c r="AY872" s="98"/>
      <c r="AZ872" s="524"/>
      <c r="BA872" s="524"/>
      <c r="BB872" s="530"/>
      <c r="BC872" s="524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2:85" x14ac:dyDescent="0.3"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10"/>
      <c r="AE873" s="10"/>
      <c r="AF873" s="507"/>
      <c r="AG873" s="526"/>
      <c r="AH873" s="507"/>
      <c r="AI873" s="507"/>
      <c r="AJ873" s="524"/>
      <c r="AK873" s="524"/>
      <c r="AL873" s="78"/>
      <c r="AM873" s="78"/>
      <c r="AN873" s="139"/>
      <c r="AO873" s="139"/>
      <c r="AP873" s="139"/>
      <c r="AQ873" s="139"/>
      <c r="AR873" s="139"/>
      <c r="AS873" s="139"/>
      <c r="AT873" s="139"/>
      <c r="AU873" s="78"/>
      <c r="AV873" s="98"/>
      <c r="AW873" s="98"/>
      <c r="AX873" s="98"/>
      <c r="AY873" s="98"/>
      <c r="AZ873" s="524"/>
      <c r="BA873" s="524"/>
      <c r="BB873" s="530"/>
      <c r="BC873" s="524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2:85" x14ac:dyDescent="0.3"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10"/>
      <c r="AE874" s="10"/>
      <c r="AF874" s="507"/>
      <c r="AG874" s="526"/>
      <c r="AH874" s="507"/>
      <c r="AI874" s="507"/>
      <c r="AJ874" s="524"/>
      <c r="AK874" s="524"/>
      <c r="AL874" s="78"/>
      <c r="AM874" s="78"/>
      <c r="AN874" s="139"/>
      <c r="AO874" s="139"/>
      <c r="AP874" s="139"/>
      <c r="AQ874" s="139"/>
      <c r="AR874" s="139"/>
      <c r="AS874" s="139"/>
      <c r="AT874" s="139"/>
      <c r="AU874" s="78"/>
      <c r="AV874" s="98"/>
      <c r="AW874" s="98"/>
      <c r="AX874" s="98"/>
      <c r="AY874" s="98"/>
      <c r="AZ874" s="524"/>
      <c r="BA874" s="524"/>
      <c r="BB874" s="530"/>
      <c r="BC874" s="524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2:85" x14ac:dyDescent="0.3"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10"/>
      <c r="AE875" s="10"/>
      <c r="AF875" s="507"/>
      <c r="AG875" s="528"/>
      <c r="AH875" s="507"/>
      <c r="AI875" s="507"/>
      <c r="AJ875" s="524"/>
      <c r="AK875" s="524"/>
      <c r="AL875" s="78"/>
      <c r="AM875" s="78"/>
      <c r="AN875" s="139"/>
      <c r="AO875" s="139"/>
      <c r="AP875" s="139"/>
      <c r="AQ875" s="139"/>
      <c r="AR875" s="139"/>
      <c r="AS875" s="139"/>
      <c r="AT875" s="139"/>
      <c r="AU875" s="78"/>
      <c r="AV875" s="98"/>
      <c r="AW875" s="98"/>
      <c r="AX875" s="98"/>
      <c r="AY875" s="98"/>
      <c r="AZ875" s="524"/>
      <c r="BA875" s="524"/>
      <c r="BB875" s="530"/>
      <c r="BC875" s="524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2:85" x14ac:dyDescent="0.3"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10"/>
      <c r="AE876" s="10"/>
      <c r="AF876" s="507"/>
      <c r="AG876" s="507"/>
      <c r="AH876" s="507"/>
      <c r="AI876" s="507"/>
      <c r="AJ876" s="524"/>
      <c r="AK876" s="524"/>
      <c r="AL876" s="78"/>
      <c r="AM876" s="78"/>
      <c r="AN876" s="139"/>
      <c r="AO876" s="139"/>
      <c r="AP876" s="139"/>
      <c r="AQ876" s="139"/>
      <c r="AR876" s="139"/>
      <c r="AS876" s="139"/>
      <c r="AT876" s="139"/>
      <c r="AU876" s="78"/>
      <c r="AV876" s="98"/>
      <c r="AW876" s="98"/>
      <c r="AX876" s="98"/>
      <c r="AY876" s="98"/>
      <c r="AZ876" s="524"/>
      <c r="BA876" s="524"/>
      <c r="BB876" s="530"/>
      <c r="BC876" s="524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2:85" x14ac:dyDescent="0.3"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10"/>
      <c r="AE877" s="10"/>
      <c r="AF877" s="507"/>
      <c r="AG877" s="507"/>
      <c r="AH877" s="507"/>
      <c r="AI877" s="507"/>
      <c r="AJ877" s="524"/>
      <c r="AK877" s="524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78"/>
      <c r="AW877" s="78"/>
      <c r="AX877" s="78"/>
      <c r="AY877" s="78"/>
      <c r="AZ877" s="524"/>
      <c r="BA877" s="530"/>
      <c r="BB877" s="530"/>
      <c r="BC877" s="524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2:85" x14ac:dyDescent="0.3">
      <c r="AD878" s="10"/>
      <c r="AE878" s="10"/>
      <c r="AF878" s="507"/>
      <c r="AG878" s="507"/>
      <c r="AH878" s="507"/>
      <c r="AI878" s="507"/>
      <c r="AJ878" s="524"/>
      <c r="AK878" s="524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78"/>
      <c r="AW878" s="78"/>
      <c r="AX878" s="78"/>
      <c r="AY878" s="78"/>
      <c r="AZ878" s="524"/>
      <c r="BA878" s="530"/>
      <c r="BB878" s="530"/>
      <c r="BC878" s="524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2:85" ht="15" thickBot="1" x14ac:dyDescent="0.35">
      <c r="B879" s="500"/>
      <c r="C879" s="500"/>
      <c r="D879" s="500"/>
      <c r="E879" s="500"/>
      <c r="F879" s="500"/>
      <c r="G879" s="500"/>
      <c r="H879" s="500"/>
      <c r="I879" s="500"/>
      <c r="J879" s="500"/>
      <c r="K879" s="500"/>
      <c r="L879" s="500"/>
      <c r="M879" s="500"/>
      <c r="N879" s="500"/>
      <c r="O879" s="500"/>
      <c r="P879" s="500"/>
      <c r="Q879" s="500"/>
      <c r="R879" s="500"/>
      <c r="S879" s="500"/>
      <c r="T879" s="500"/>
      <c r="U879" s="500"/>
      <c r="V879" s="500"/>
      <c r="AD879" s="10"/>
      <c r="AE879" s="10"/>
      <c r="AF879" s="507"/>
      <c r="AG879" s="507"/>
      <c r="AH879" s="507"/>
      <c r="AI879" s="507"/>
      <c r="AJ879" s="524"/>
      <c r="AK879" s="524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78"/>
      <c r="AW879" s="78"/>
      <c r="AX879" s="78"/>
      <c r="AY879" s="78"/>
      <c r="AZ879" s="524"/>
      <c r="BA879" s="530"/>
      <c r="BB879" s="530"/>
      <c r="BC879" s="524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2:85" x14ac:dyDescent="0.3">
      <c r="B880" s="500"/>
      <c r="C880" s="510"/>
      <c r="D880" s="357"/>
      <c r="E880" s="357"/>
      <c r="F880" s="357"/>
      <c r="G880" s="357"/>
      <c r="H880" s="357"/>
      <c r="I880" s="357"/>
      <c r="J880" s="357"/>
      <c r="K880" s="357"/>
      <c r="L880" s="357"/>
      <c r="M880" s="357"/>
      <c r="N880" s="357"/>
      <c r="O880" s="357"/>
      <c r="P880" s="511"/>
      <c r="V880" s="500"/>
      <c r="AD880" s="10"/>
      <c r="AE880" s="10"/>
      <c r="AF880" s="507"/>
      <c r="AG880" s="507"/>
      <c r="AH880" s="507"/>
      <c r="AI880" s="507"/>
      <c r="AJ880" s="524"/>
      <c r="AK880" s="524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78"/>
      <c r="AW880" s="78"/>
      <c r="AX880" s="78"/>
      <c r="AY880" s="78"/>
      <c r="AZ880" s="524"/>
      <c r="BA880" s="530"/>
      <c r="BB880" s="530"/>
      <c r="BC880" s="524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2:79" x14ac:dyDescent="0.3">
      <c r="B881" s="500"/>
      <c r="C881" s="512"/>
      <c r="D881" s="502" t="s">
        <v>149</v>
      </c>
      <c r="E881" s="387"/>
      <c r="F881" s="387"/>
      <c r="G881" s="387"/>
      <c r="H881" s="628" t="s">
        <v>20</v>
      </c>
      <c r="I881" s="628"/>
      <c r="J881" s="628"/>
      <c r="K881" s="387"/>
      <c r="L881" s="387"/>
      <c r="M881" s="387"/>
      <c r="N881" s="387"/>
      <c r="O881" s="387"/>
      <c r="P881" s="513"/>
      <c r="V881" s="500"/>
      <c r="AD881" s="10"/>
      <c r="AE881" s="10"/>
      <c r="AF881" s="507"/>
      <c r="AG881" s="507"/>
      <c r="AH881" s="507"/>
      <c r="AI881" s="507"/>
      <c r="AJ881" s="524"/>
      <c r="AK881" s="524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78"/>
      <c r="AW881" s="78"/>
      <c r="AX881" s="78"/>
      <c r="AY881" s="78"/>
      <c r="AZ881" s="524"/>
      <c r="BA881" s="530"/>
      <c r="BB881" s="530"/>
      <c r="BC881" s="524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2:79" x14ac:dyDescent="0.3">
      <c r="B882" s="500"/>
      <c r="C882" s="512"/>
      <c r="D882" s="514" t="s">
        <v>150</v>
      </c>
      <c r="E882" s="387"/>
      <c r="F882" s="387"/>
      <c r="G882" s="387"/>
      <c r="H882" s="515" t="s">
        <v>147</v>
      </c>
      <c r="I882" s="502"/>
      <c r="J882" s="516" t="s">
        <v>148</v>
      </c>
      <c r="K882" s="502"/>
      <c r="L882" s="502"/>
      <c r="M882" s="502"/>
      <c r="N882" s="502"/>
      <c r="O882" s="517" t="s">
        <v>3</v>
      </c>
      <c r="P882" s="513"/>
      <c r="V882" s="500"/>
      <c r="AD882" s="10"/>
      <c r="AE882" s="10"/>
      <c r="AF882" s="507"/>
      <c r="AG882" s="507"/>
      <c r="AH882" s="507"/>
      <c r="AI882" s="507"/>
      <c r="AJ882" s="524"/>
      <c r="AK882" s="524"/>
      <c r="AL882" s="529"/>
      <c r="AM882" s="529"/>
      <c r="AN882" s="529"/>
      <c r="AO882" s="529"/>
      <c r="AP882" s="529"/>
      <c r="AQ882" s="529"/>
      <c r="AR882" s="529"/>
      <c r="AS882" s="529"/>
      <c r="AT882" s="529"/>
      <c r="AU882" s="529"/>
      <c r="AV882" s="524"/>
      <c r="AW882" s="524"/>
      <c r="AX882" s="524"/>
      <c r="AY882" s="524"/>
      <c r="AZ882" s="524"/>
      <c r="BA882" s="530"/>
      <c r="BB882" s="530"/>
      <c r="BC882" s="524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2:79" x14ac:dyDescent="0.3">
      <c r="B883" s="500"/>
      <c r="C883" s="512"/>
      <c r="D883" s="503" t="s">
        <v>146</v>
      </c>
      <c r="E883" s="15"/>
      <c r="F883" s="15"/>
      <c r="G883" s="15"/>
      <c r="H883" s="518">
        <f>SUM(D133:D139)</f>
        <v>471981</v>
      </c>
      <c r="I883" s="15"/>
      <c r="J883" s="16">
        <f>+H883/7</f>
        <v>67425.857142857145</v>
      </c>
      <c r="K883" s="15"/>
      <c r="L883" s="15"/>
      <c r="M883" s="15"/>
      <c r="N883" s="15"/>
      <c r="O883" s="15"/>
      <c r="P883" s="513"/>
      <c r="V883" s="500"/>
      <c r="AD883" s="10"/>
      <c r="AE883" s="10"/>
      <c r="AF883" s="507"/>
      <c r="AG883" s="507"/>
      <c r="AH883" s="507"/>
      <c r="AI883" s="507"/>
      <c r="AJ883" s="524"/>
      <c r="AK883" s="524"/>
      <c r="AL883" s="529"/>
      <c r="AM883" s="529"/>
      <c r="AN883" s="529"/>
      <c r="AO883" s="529"/>
      <c r="AP883" s="529"/>
      <c r="AQ883" s="529"/>
      <c r="AR883" s="529"/>
      <c r="AS883" s="529"/>
      <c r="AT883" s="529"/>
      <c r="AU883" s="529"/>
      <c r="AV883" s="529"/>
      <c r="AW883" s="529"/>
      <c r="AX883" s="529"/>
      <c r="AY883" s="529"/>
      <c r="AZ883" s="524"/>
      <c r="BA883" s="524"/>
      <c r="BB883" s="530"/>
      <c r="BC883" s="524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2:79" x14ac:dyDescent="0.3">
      <c r="B884" s="500"/>
      <c r="C884" s="512"/>
      <c r="D884" s="503" t="s">
        <v>145</v>
      </c>
      <c r="E884" s="15"/>
      <c r="F884" s="15"/>
      <c r="G884" s="15"/>
      <c r="H884" s="16">
        <f>SUM(D140:D146)</f>
        <v>427527</v>
      </c>
      <c r="I884" s="15"/>
      <c r="J884" s="16">
        <f>+H884/7</f>
        <v>61075.285714285717</v>
      </c>
      <c r="K884" s="15"/>
      <c r="L884" s="15"/>
      <c r="M884" s="15"/>
      <c r="N884" s="15"/>
      <c r="O884" s="15"/>
      <c r="P884" s="513"/>
      <c r="V884" s="500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78"/>
      <c r="AU884" s="98"/>
      <c r="AV884" s="140"/>
      <c r="AW884" s="140"/>
      <c r="AX884" s="140"/>
      <c r="AY884" s="140"/>
      <c r="AZ884" s="98"/>
      <c r="BA884" s="98"/>
      <c r="BB884" s="98"/>
      <c r="BC884" s="98"/>
    </row>
    <row r="885" spans="2:79" x14ac:dyDescent="0.3">
      <c r="B885" s="506"/>
      <c r="C885" s="512"/>
      <c r="D885" s="503" t="s">
        <v>144</v>
      </c>
      <c r="E885" s="15"/>
      <c r="F885" s="15"/>
      <c r="G885" s="15"/>
      <c r="H885" s="16">
        <f>SUM(D147:D153)</f>
        <v>383516</v>
      </c>
      <c r="I885" s="15"/>
      <c r="J885" s="16">
        <f>+H885/7</f>
        <v>54788</v>
      </c>
      <c r="K885" s="15"/>
      <c r="L885" s="15"/>
      <c r="M885" s="15"/>
      <c r="N885" s="15"/>
      <c r="O885" s="518">
        <f>+H883-H885</f>
        <v>88465</v>
      </c>
      <c r="P885" s="513"/>
      <c r="V885" s="500"/>
      <c r="AA885">
        <f>+O885/7</f>
        <v>12637.857142857143</v>
      </c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78"/>
      <c r="AW885" s="78"/>
      <c r="AX885" s="78"/>
      <c r="AY885" s="78"/>
      <c r="AZ885" s="98"/>
      <c r="BA885" s="141"/>
      <c r="BB885" s="98"/>
      <c r="BC885" s="98"/>
    </row>
    <row r="886" spans="2:79" x14ac:dyDescent="0.3">
      <c r="B886" s="507"/>
      <c r="C886" s="512"/>
      <c r="D886" s="519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60">
        <f>+O885/H883</f>
        <v>0.18743339244588236</v>
      </c>
      <c r="P886" s="513"/>
      <c r="V886" s="500"/>
      <c r="X886" s="61"/>
      <c r="Y886" s="61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78">
        <v>480454</v>
      </c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</row>
    <row r="887" spans="2:79" ht="15" thickBot="1" x14ac:dyDescent="0.35">
      <c r="B887" s="507"/>
      <c r="C887" s="520"/>
      <c r="D887" s="521"/>
      <c r="E887" s="521"/>
      <c r="F887" s="521"/>
      <c r="G887" s="521"/>
      <c r="H887" s="521"/>
      <c r="I887" s="521"/>
      <c r="J887" s="522"/>
      <c r="K887" s="521"/>
      <c r="L887" s="521"/>
      <c r="M887" s="521"/>
      <c r="N887" s="521"/>
      <c r="O887" s="521"/>
      <c r="P887" s="523"/>
      <c r="V887" s="500"/>
      <c r="X887" s="61"/>
      <c r="Y887" s="61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140">
        <f>+N201</f>
        <v>290088</v>
      </c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</row>
    <row r="888" spans="2:79" x14ac:dyDescent="0.3">
      <c r="B888" s="507"/>
      <c r="C888" s="500"/>
      <c r="D888" s="508"/>
      <c r="E888" s="500"/>
      <c r="F888" s="500"/>
      <c r="G888" s="500"/>
      <c r="H888" s="509"/>
      <c r="I888" s="500"/>
      <c r="J888" s="500"/>
      <c r="K888" s="500"/>
      <c r="L888" s="500"/>
      <c r="M888" s="500"/>
      <c r="N888" s="500"/>
      <c r="O888" s="500"/>
      <c r="P888" s="500"/>
      <c r="Q888" s="500"/>
      <c r="R888" s="500"/>
      <c r="S888" s="500"/>
      <c r="T888" s="500"/>
      <c r="U888" s="500"/>
      <c r="V888" s="500"/>
      <c r="X888" s="61"/>
      <c r="Y888" s="61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140">
        <f>+AP886-AP887</f>
        <v>190366</v>
      </c>
      <c r="AQ888" s="98"/>
      <c r="AR888" s="98"/>
    </row>
    <row r="889" spans="2:79" x14ac:dyDescent="0.3">
      <c r="B889" s="1"/>
      <c r="D889" s="55"/>
      <c r="X889" s="61"/>
      <c r="Y889" s="61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84">
        <f>+AP888/AP886</f>
        <v>0.3962210742339537</v>
      </c>
      <c r="AQ889" s="98"/>
      <c r="AR889" s="98"/>
    </row>
    <row r="890" spans="2:79" x14ac:dyDescent="0.3">
      <c r="B890" s="55"/>
      <c r="D890" s="55"/>
      <c r="J890" s="56">
        <f>+J883-J885</f>
        <v>12637.857142857145</v>
      </c>
      <c r="X890" s="61"/>
      <c r="Y890" s="61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</row>
    <row r="891" spans="2:79" x14ac:dyDescent="0.3">
      <c r="B891" s="57"/>
      <c r="D891" s="55"/>
      <c r="X891" s="61"/>
      <c r="Y891" s="61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</row>
    <row r="892" spans="2:79" x14ac:dyDescent="0.3">
      <c r="B892" s="1"/>
      <c r="D892" s="55"/>
      <c r="X892" s="61"/>
      <c r="Y892" s="61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</row>
    <row r="893" spans="2:79" x14ac:dyDescent="0.3">
      <c r="B893" s="1"/>
      <c r="D893" s="55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  <c r="AL893" s="106"/>
      <c r="AM893" s="106"/>
      <c r="AN893" s="106"/>
      <c r="AO893" s="106"/>
      <c r="AP893" s="106"/>
      <c r="AQ893" s="106"/>
      <c r="AR893" s="106"/>
    </row>
    <row r="894" spans="2:79" x14ac:dyDescent="0.3">
      <c r="B894" s="1"/>
      <c r="D894" s="55"/>
      <c r="AT894" s="500"/>
      <c r="AU894" s="500"/>
      <c r="AV894" s="500"/>
      <c r="AW894" s="500"/>
      <c r="AX894" s="500"/>
      <c r="AY894" s="500"/>
      <c r="AZ894" s="500"/>
      <c r="BA894" s="500"/>
      <c r="BB894" s="500"/>
      <c r="BC894" s="500"/>
      <c r="BD894" s="500"/>
      <c r="BE894" s="500"/>
      <c r="BF894" s="500"/>
      <c r="BG894" s="500"/>
      <c r="BH894" s="500"/>
      <c r="BI894" s="500"/>
    </row>
    <row r="895" spans="2:79" ht="15.6" x14ac:dyDescent="0.3">
      <c r="B895" s="1"/>
      <c r="D895" s="55"/>
      <c r="AT895" s="500"/>
      <c r="AU895" s="533"/>
      <c r="AV895" s="534"/>
      <c r="AW895" s="534"/>
      <c r="AX895" s="534"/>
      <c r="AY895" s="534"/>
      <c r="AZ895" s="534"/>
      <c r="BA895" s="534"/>
      <c r="BB895" s="534"/>
      <c r="BC895" s="534"/>
      <c r="BD895" s="534"/>
      <c r="BE895" s="534" t="s">
        <v>156</v>
      </c>
      <c r="BF895" s="534"/>
      <c r="BG895" s="534" t="s">
        <v>2</v>
      </c>
      <c r="BH895" s="533"/>
      <c r="BI895" s="500"/>
    </row>
    <row r="896" spans="2:79" ht="16.2" thickBot="1" x14ac:dyDescent="0.35">
      <c r="B896" s="57" t="e">
        <f>+B895/B894</f>
        <v>#DIV/0!</v>
      </c>
      <c r="D896" s="55"/>
      <c r="AT896" s="500"/>
      <c r="AU896" s="533"/>
      <c r="AV896" s="635" t="s">
        <v>155</v>
      </c>
      <c r="AW896" s="635"/>
      <c r="AX896" s="635"/>
      <c r="AY896" s="534"/>
      <c r="AZ896" s="534"/>
      <c r="BA896" s="535" t="s">
        <v>20</v>
      </c>
      <c r="BB896" s="534"/>
      <c r="BC896" s="535" t="s">
        <v>3</v>
      </c>
      <c r="BD896" s="534"/>
      <c r="BE896" s="535" t="s">
        <v>65</v>
      </c>
      <c r="BF896" s="534"/>
      <c r="BG896" s="535" t="s">
        <v>65</v>
      </c>
      <c r="BH896" s="533"/>
      <c r="BI896" s="500"/>
    </row>
    <row r="897" spans="2:61" ht="21" x14ac:dyDescent="0.4">
      <c r="B897" s="1"/>
      <c r="D897" s="55"/>
      <c r="AT897" s="500"/>
      <c r="AU897" s="533"/>
      <c r="AV897" s="536" t="s">
        <v>143</v>
      </c>
      <c r="AW897" s="533"/>
      <c r="AX897" s="537"/>
      <c r="AY897" s="533"/>
      <c r="AZ897" s="533"/>
      <c r="BA897" s="538">
        <f>+N143</f>
        <v>1970617</v>
      </c>
      <c r="BB897" s="537"/>
      <c r="BC897" s="537"/>
      <c r="BD897" s="537"/>
      <c r="BE897" s="537"/>
      <c r="BF897" s="537"/>
      <c r="BG897" s="537"/>
      <c r="BH897" s="533"/>
      <c r="BI897" s="500"/>
    </row>
    <row r="898" spans="2:61" ht="21" x14ac:dyDescent="0.4">
      <c r="B898" s="1"/>
      <c r="D898" s="55"/>
      <c r="AT898" s="500"/>
      <c r="AU898" s="533"/>
      <c r="AV898" s="536" t="s">
        <v>151</v>
      </c>
      <c r="AW898" s="533"/>
      <c r="AX898" s="537"/>
      <c r="AY898" s="533"/>
      <c r="AZ898" s="533"/>
      <c r="BA898" s="538">
        <f>+N174</f>
        <v>1493931</v>
      </c>
      <c r="BB898" s="537"/>
      <c r="BC898" s="538">
        <f>+BA898-BA897</f>
        <v>-476686</v>
      </c>
      <c r="BD898" s="537"/>
      <c r="BE898" s="539">
        <f>+BC898/BA897</f>
        <v>-0.24189682723735764</v>
      </c>
      <c r="BF898" s="537"/>
      <c r="BG898" s="537"/>
      <c r="BH898" s="533"/>
      <c r="BI898" s="500"/>
    </row>
    <row r="899" spans="2:61" ht="21" x14ac:dyDescent="0.4">
      <c r="B899" s="1">
        <f>+B895*50</f>
        <v>0</v>
      </c>
      <c r="D899" s="55"/>
      <c r="AT899" s="500"/>
      <c r="AU899" s="533"/>
      <c r="AV899" s="536" t="s">
        <v>152</v>
      </c>
      <c r="AW899" s="533"/>
      <c r="AX899" s="537"/>
      <c r="AY899" s="533"/>
      <c r="AZ899" s="533"/>
      <c r="BA899" s="538">
        <f>+N204</f>
        <v>1202331</v>
      </c>
      <c r="BB899" s="537"/>
      <c r="BC899" s="538">
        <f>+BA899-BA898</f>
        <v>-291600</v>
      </c>
      <c r="BD899" s="537"/>
      <c r="BE899" s="539">
        <f>+BC899/BA898</f>
        <v>-0.19518973767864781</v>
      </c>
      <c r="BF899" s="537"/>
      <c r="BG899" s="537"/>
      <c r="BH899" s="533"/>
      <c r="BI899" s="500"/>
    </row>
    <row r="900" spans="2:61" ht="21" x14ac:dyDescent="0.4">
      <c r="B900" s="1"/>
      <c r="D900" s="55"/>
      <c r="AT900" s="500"/>
      <c r="AU900" s="533"/>
      <c r="AV900" s="536" t="s">
        <v>153</v>
      </c>
      <c r="AW900" s="533"/>
      <c r="AX900" s="537"/>
      <c r="AY900" s="533"/>
      <c r="AZ900" s="540" t="s">
        <v>26</v>
      </c>
      <c r="BA900" s="538">
        <f>+N218</f>
        <v>371489</v>
      </c>
      <c r="BB900" s="537"/>
      <c r="BC900" s="538">
        <f>+BA900-BA899</f>
        <v>-830842</v>
      </c>
      <c r="BD900" s="537"/>
      <c r="BE900" s="539">
        <f>+BC900/BA899</f>
        <v>-0.69102601529861574</v>
      </c>
      <c r="BF900" s="537"/>
      <c r="BG900" s="539">
        <f>+(BA900-BA897)/BA897</f>
        <v>-0.81148594577231392</v>
      </c>
      <c r="BH900" s="533"/>
      <c r="BI900" s="500"/>
    </row>
    <row r="901" spans="2:61" x14ac:dyDescent="0.3">
      <c r="B901" s="1"/>
      <c r="D901" s="55"/>
      <c r="AT901" s="500"/>
      <c r="AU901" s="533"/>
      <c r="AV901" s="533"/>
      <c r="AW901" s="533"/>
      <c r="AX901" s="533"/>
      <c r="AY901" s="533"/>
      <c r="AZ901" s="533"/>
      <c r="BA901" s="533"/>
      <c r="BB901" s="533"/>
      <c r="BC901" s="533"/>
      <c r="BD901" s="533"/>
      <c r="BE901" s="533"/>
      <c r="BF901" s="533"/>
      <c r="BG901" s="533"/>
      <c r="BH901" s="533"/>
      <c r="BI901" s="500"/>
    </row>
    <row r="902" spans="2:61" ht="16.2" x14ac:dyDescent="0.3">
      <c r="B902" s="1"/>
      <c r="D902" s="55"/>
      <c r="AT902" s="500"/>
      <c r="AU902" s="533"/>
      <c r="AV902" s="533"/>
      <c r="AW902" s="533"/>
      <c r="AX902" s="541" t="s">
        <v>26</v>
      </c>
      <c r="AY902" s="533"/>
      <c r="AZ902" s="542" t="s">
        <v>154</v>
      </c>
      <c r="BA902" s="533"/>
      <c r="BB902" s="533"/>
      <c r="BC902" s="533"/>
      <c r="BD902" s="533"/>
      <c r="BE902" s="533"/>
      <c r="BF902" s="533"/>
      <c r="BG902" s="533"/>
      <c r="BH902" s="533"/>
      <c r="BI902" s="500"/>
    </row>
    <row r="903" spans="2:61" x14ac:dyDescent="0.3">
      <c r="B903" s="1"/>
      <c r="D903" s="55"/>
      <c r="AT903" s="500"/>
      <c r="AU903" s="533"/>
      <c r="AV903" s="533"/>
      <c r="AW903" s="533"/>
      <c r="AX903" s="533"/>
      <c r="AY903" s="533"/>
      <c r="AZ903" s="533"/>
      <c r="BA903" s="533"/>
      <c r="BB903" s="533"/>
      <c r="BC903" s="533"/>
      <c r="BD903" s="533"/>
      <c r="BE903" s="533"/>
      <c r="BF903" s="533"/>
      <c r="BG903" s="533"/>
      <c r="BH903" s="533"/>
      <c r="BI903" s="500"/>
    </row>
    <row r="904" spans="2:61" x14ac:dyDescent="0.3">
      <c r="B904" s="1"/>
      <c r="D904" s="55"/>
      <c r="AT904" s="532"/>
      <c r="AU904" s="532"/>
      <c r="AV904" s="532"/>
      <c r="AW904" s="532"/>
      <c r="AX904" s="532"/>
      <c r="AY904" s="532"/>
      <c r="AZ904" s="532"/>
      <c r="BA904" s="532"/>
      <c r="BB904" s="532"/>
      <c r="BC904" s="532"/>
      <c r="BD904" s="532"/>
      <c r="BE904" s="532"/>
      <c r="BF904" s="532"/>
      <c r="BG904" s="532"/>
      <c r="BH904" s="532"/>
      <c r="BI904" s="532"/>
    </row>
    <row r="905" spans="2:61" x14ac:dyDescent="0.3">
      <c r="B905" s="1"/>
      <c r="D905" s="55"/>
    </row>
    <row r="906" spans="2:61" x14ac:dyDescent="0.3">
      <c r="B906" s="1"/>
      <c r="D906" s="55"/>
      <c r="AS906" s="61"/>
      <c r="AT906" s="500"/>
      <c r="AU906" s="500"/>
      <c r="AV906" s="500"/>
      <c r="AW906" s="500"/>
      <c r="AX906" s="500"/>
      <c r="AY906" s="500"/>
      <c r="AZ906" s="500"/>
      <c r="BA906" s="500"/>
      <c r="BB906" s="500"/>
      <c r="BC906" s="500"/>
      <c r="BD906" s="500"/>
      <c r="BE906" s="500"/>
      <c r="BF906" s="500"/>
      <c r="BG906" s="500"/>
      <c r="BH906" s="500"/>
      <c r="BI906" s="500"/>
    </row>
    <row r="907" spans="2:61" x14ac:dyDescent="0.3">
      <c r="B907" s="1"/>
      <c r="D907" s="55"/>
      <c r="AT907" s="500"/>
      <c r="AU907" s="550"/>
      <c r="AV907" s="550"/>
      <c r="AW907" s="550"/>
      <c r="AX907" s="550"/>
      <c r="AY907" s="550"/>
      <c r="AZ907" s="550"/>
      <c r="BA907" s="550"/>
      <c r="BB907" s="550"/>
      <c r="BC907" s="550"/>
      <c r="BD907" s="550"/>
      <c r="BE907" s="550"/>
      <c r="BF907" s="550"/>
      <c r="BG907" s="550"/>
      <c r="BH907" s="550"/>
      <c r="BI907" s="500"/>
    </row>
    <row r="908" spans="2:61" ht="15" thickBot="1" x14ac:dyDescent="0.35">
      <c r="B908" s="1"/>
      <c r="D908" s="55"/>
      <c r="AT908" s="500"/>
      <c r="AU908" s="550"/>
      <c r="AV908" s="611" t="s">
        <v>160</v>
      </c>
      <c r="AW908" s="611"/>
      <c r="AX908" s="611"/>
      <c r="AY908" s="551"/>
      <c r="AZ908" s="551"/>
      <c r="BA908" s="552" t="s">
        <v>23</v>
      </c>
      <c r="BB908" s="553"/>
      <c r="BC908" s="552" t="s">
        <v>3</v>
      </c>
      <c r="BD908" s="553"/>
      <c r="BE908" s="552" t="s">
        <v>20</v>
      </c>
      <c r="BF908" s="553"/>
      <c r="BG908" s="552" t="s">
        <v>21</v>
      </c>
      <c r="BH908" s="550"/>
      <c r="BI908" s="500"/>
    </row>
    <row r="909" spans="2:61" x14ac:dyDescent="0.3">
      <c r="B909" s="1"/>
      <c r="AT909" s="500"/>
      <c r="AU909" s="550"/>
      <c r="AV909" s="551" t="s">
        <v>143</v>
      </c>
      <c r="AW909" s="551"/>
      <c r="AX909" s="551"/>
      <c r="AY909" s="551"/>
      <c r="AZ909" s="551"/>
      <c r="BA909" s="554">
        <f>+BK275</f>
        <v>13351981</v>
      </c>
      <c r="BB909" s="551"/>
      <c r="BC909" s="551"/>
      <c r="BD909" s="551"/>
      <c r="BE909" s="555">
        <f>+N143</f>
        <v>1970617</v>
      </c>
      <c r="BF909" s="551"/>
      <c r="BG909" s="556">
        <f>+BE909/BA909</f>
        <v>0.14758985951223269</v>
      </c>
      <c r="BH909" s="550"/>
      <c r="BI909" s="500"/>
    </row>
    <row r="910" spans="2:61" x14ac:dyDescent="0.3">
      <c r="B910" s="1"/>
      <c r="AT910" s="500"/>
      <c r="AU910" s="550"/>
      <c r="AV910" s="551"/>
      <c r="AW910" s="551"/>
      <c r="AX910" s="551"/>
      <c r="AY910" s="551"/>
      <c r="AZ910" s="551"/>
      <c r="BA910" s="554"/>
      <c r="BB910" s="551"/>
      <c r="BC910" s="551"/>
      <c r="BD910" s="551"/>
      <c r="BE910" s="551"/>
      <c r="BF910" s="551"/>
      <c r="BG910" s="556"/>
      <c r="BH910" s="550"/>
      <c r="BI910" s="500"/>
    </row>
    <row r="911" spans="2:61" x14ac:dyDescent="0.3">
      <c r="B911" s="1"/>
      <c r="AT911" s="500"/>
      <c r="AU911" s="550"/>
      <c r="AV911" s="551" t="s">
        <v>159</v>
      </c>
      <c r="AW911" s="551"/>
      <c r="AX911" s="551"/>
      <c r="AY911" s="551"/>
      <c r="AZ911" s="551"/>
      <c r="BA911" s="554">
        <v>52440389</v>
      </c>
      <c r="BB911" s="551"/>
      <c r="BC911" s="556">
        <f>+(BA911-BA909)/BA909</f>
        <v>2.9275362210296736</v>
      </c>
      <c r="BD911" s="551"/>
      <c r="BE911" s="555">
        <f>+N273</f>
        <v>1462688</v>
      </c>
      <c r="BF911" s="551"/>
      <c r="BG911" s="556">
        <f>+BE911/BA911</f>
        <v>2.7892394162064665E-2</v>
      </c>
      <c r="BH911" s="550"/>
      <c r="BI911" s="500"/>
    </row>
    <row r="912" spans="2:61" x14ac:dyDescent="0.3">
      <c r="B912" s="1"/>
      <c r="AT912" s="500"/>
      <c r="AU912" s="550"/>
      <c r="AV912" s="551"/>
      <c r="AW912" s="551"/>
      <c r="AX912" s="551"/>
      <c r="AY912" s="551"/>
      <c r="AZ912" s="551"/>
      <c r="BA912" s="554"/>
      <c r="BB912" s="551"/>
      <c r="BC912" s="551"/>
      <c r="BD912" s="551"/>
      <c r="BE912" s="551"/>
      <c r="BF912" s="551"/>
      <c r="BG912" s="551"/>
      <c r="BH912" s="550"/>
      <c r="BI912" s="500"/>
    </row>
    <row r="913" spans="2:68" x14ac:dyDescent="0.3">
      <c r="B913" s="1"/>
      <c r="AT913" s="500"/>
      <c r="AU913" s="550"/>
      <c r="AV913" s="632" t="s">
        <v>105</v>
      </c>
      <c r="AW913" s="632"/>
      <c r="AX913" s="632"/>
      <c r="AY913" s="632"/>
      <c r="AZ913" s="551"/>
      <c r="BA913" s="555">
        <f>+BA911-BA909</f>
        <v>39088408</v>
      </c>
      <c r="BB913" s="551"/>
      <c r="BC913" s="551"/>
      <c r="BD913" s="551"/>
      <c r="BE913" s="555">
        <f>+BE911-BE909</f>
        <v>-507929</v>
      </c>
      <c r="BF913" s="551"/>
      <c r="BG913" s="558"/>
      <c r="BH913" s="550"/>
      <c r="BI913" s="500"/>
    </row>
    <row r="914" spans="2:68" x14ac:dyDescent="0.3">
      <c r="B914" s="1"/>
      <c r="AT914" s="500"/>
      <c r="AU914" s="550"/>
      <c r="AV914" s="550"/>
      <c r="AW914" s="550"/>
      <c r="AX914" s="550"/>
      <c r="AY914" s="550"/>
      <c r="AZ914" s="550"/>
      <c r="BA914" s="550"/>
      <c r="BB914" s="550"/>
      <c r="BC914" s="550"/>
      <c r="BD914" s="550"/>
      <c r="BE914" s="550"/>
      <c r="BF914" s="550"/>
      <c r="BG914" s="550"/>
      <c r="BH914" s="550"/>
      <c r="BI914" s="500"/>
    </row>
    <row r="915" spans="2:68" x14ac:dyDescent="0.3">
      <c r="B915" s="1"/>
      <c r="AT915" s="500"/>
      <c r="AU915" s="500"/>
      <c r="AV915" s="500"/>
      <c r="AW915" s="500"/>
      <c r="AX915" s="500"/>
      <c r="AY915" s="500"/>
      <c r="AZ915" s="500"/>
      <c r="BA915" s="500"/>
      <c r="BB915" s="500"/>
      <c r="BC915" s="500"/>
      <c r="BD915" s="500"/>
      <c r="BE915" s="557"/>
      <c r="BF915" s="500"/>
      <c r="BG915" s="507"/>
      <c r="BH915" s="500"/>
      <c r="BI915" s="500"/>
    </row>
    <row r="916" spans="2:68" x14ac:dyDescent="0.3">
      <c r="B916" s="1"/>
    </row>
    <row r="917" spans="2:68" x14ac:dyDescent="0.3">
      <c r="B917" s="1"/>
    </row>
    <row r="918" spans="2:68" x14ac:dyDescent="0.3">
      <c r="B918" s="1"/>
      <c r="H918" s="1">
        <v>4000000</v>
      </c>
      <c r="AR918" s="500"/>
      <c r="AS918" s="500"/>
      <c r="AT918" s="500"/>
      <c r="AU918" s="500"/>
      <c r="AV918" s="500"/>
      <c r="AW918" s="500"/>
      <c r="AX918" s="500"/>
      <c r="AY918" s="500"/>
      <c r="AZ918" s="500"/>
      <c r="BA918" s="500"/>
      <c r="BB918" s="500"/>
      <c r="BC918" s="500"/>
      <c r="BD918" s="500"/>
      <c r="BE918" s="500"/>
      <c r="BF918" s="500"/>
      <c r="BG918" s="500"/>
      <c r="BH918" s="500"/>
      <c r="BI918" s="500"/>
    </row>
    <row r="919" spans="2:68" ht="15.6" x14ac:dyDescent="0.3">
      <c r="B919" s="1"/>
      <c r="H919" s="1"/>
      <c r="AR919" s="500"/>
      <c r="AS919" s="627" t="s">
        <v>170</v>
      </c>
      <c r="AT919" s="627"/>
      <c r="AU919" s="627"/>
      <c r="AV919" s="627"/>
      <c r="AW919" s="627"/>
      <c r="AX919" s="627"/>
      <c r="AY919" s="627"/>
      <c r="AZ919" s="627"/>
      <c r="BA919" s="627"/>
      <c r="BB919" s="627"/>
      <c r="BC919" s="627"/>
      <c r="BD919" s="627"/>
      <c r="BE919" s="627"/>
      <c r="BF919" s="627"/>
      <c r="BG919" s="627"/>
      <c r="BH919" s="627"/>
      <c r="BI919" s="500"/>
    </row>
    <row r="920" spans="2:68" x14ac:dyDescent="0.3">
      <c r="H920" s="1">
        <f>+H918/7</f>
        <v>571428.57142857148</v>
      </c>
      <c r="AR920" s="500"/>
      <c r="AS920" s="533"/>
      <c r="AT920" s="561"/>
      <c r="AU920" s="561"/>
      <c r="AV920" s="561"/>
      <c r="AW920" s="561"/>
      <c r="AX920" s="561"/>
      <c r="AY920" s="561"/>
      <c r="AZ920" s="561"/>
      <c r="BA920" s="561"/>
      <c r="BB920" s="561"/>
      <c r="BC920" s="561"/>
      <c r="BD920" s="561"/>
      <c r="BE920" s="633" t="s">
        <v>166</v>
      </c>
      <c r="BF920" s="561"/>
      <c r="BG920" s="639" t="s">
        <v>167</v>
      </c>
      <c r="BH920" s="533"/>
      <c r="BI920" s="500"/>
    </row>
    <row r="921" spans="2:68" x14ac:dyDescent="0.3">
      <c r="AR921" s="500"/>
      <c r="AS921" s="533"/>
      <c r="AT921" s="609" t="s">
        <v>19</v>
      </c>
      <c r="AU921" s="609"/>
      <c r="AV921" s="609"/>
      <c r="AW921" s="609"/>
      <c r="AX921" s="609"/>
      <c r="AY921" s="609"/>
      <c r="AZ921" s="561"/>
      <c r="BA921" s="560" t="s">
        <v>20</v>
      </c>
      <c r="BB921" s="561"/>
      <c r="BC921" s="560" t="s">
        <v>165</v>
      </c>
      <c r="BD921" s="561"/>
      <c r="BE921" s="634"/>
      <c r="BF921" s="561"/>
      <c r="BG921" s="637"/>
      <c r="BH921" s="533"/>
      <c r="BI921" s="500"/>
    </row>
    <row r="922" spans="2:68" x14ac:dyDescent="0.3">
      <c r="H922" t="s">
        <v>168</v>
      </c>
      <c r="J922">
        <v>28</v>
      </c>
      <c r="N922" s="1">
        <f>+H920*J922</f>
        <v>16000000.000000002</v>
      </c>
      <c r="AR922" s="500"/>
      <c r="AS922" s="533"/>
      <c r="AT922" s="629" t="s">
        <v>162</v>
      </c>
      <c r="AU922" s="629"/>
      <c r="AV922" s="629"/>
      <c r="AW922" s="629"/>
      <c r="AX922" s="629"/>
      <c r="AY922" s="561"/>
      <c r="AZ922" s="561"/>
      <c r="BA922" s="562">
        <f>+H174</f>
        <v>6826001</v>
      </c>
      <c r="BB922" s="561"/>
      <c r="BC922" s="561">
        <v>10</v>
      </c>
      <c r="BD922" s="561"/>
      <c r="BE922" s="563">
        <f>+BA922*BC922</f>
        <v>68260010</v>
      </c>
      <c r="BF922" s="561"/>
      <c r="BG922" s="561"/>
      <c r="BH922" s="533"/>
      <c r="BI922" s="500"/>
      <c r="BP922" s="56">
        <f>+BE922-BA922</f>
        <v>61434009</v>
      </c>
    </row>
    <row r="923" spans="2:68" x14ac:dyDescent="0.3">
      <c r="D923" s="56">
        <f>+N922+N923</f>
        <v>33714285.714285716</v>
      </c>
      <c r="H923" t="s">
        <v>169</v>
      </c>
      <c r="J923">
        <v>31</v>
      </c>
      <c r="N923" s="1">
        <f>+J923*H$920</f>
        <v>17714285.714285716</v>
      </c>
      <c r="AR923" s="500"/>
      <c r="AS923" s="533"/>
      <c r="AT923" s="629" t="s">
        <v>171</v>
      </c>
      <c r="AU923" s="629"/>
      <c r="AV923" s="629"/>
      <c r="AW923" s="629"/>
      <c r="AX923" s="629"/>
      <c r="AY923" s="561"/>
      <c r="AZ923" s="561"/>
      <c r="BA923" s="562">
        <f>+BA935-BA922</f>
        <v>3109228</v>
      </c>
      <c r="BB923" s="561"/>
      <c r="BC923" s="561">
        <v>5</v>
      </c>
      <c r="BD923" s="561"/>
      <c r="BE923" s="563">
        <f>+BA923*BC923</f>
        <v>15546140</v>
      </c>
      <c r="BF923" s="561"/>
      <c r="BG923" s="561"/>
      <c r="BH923" s="533"/>
      <c r="BI923" s="500"/>
      <c r="BP923" s="56">
        <f>+BE923-BA923</f>
        <v>12436912</v>
      </c>
    </row>
    <row r="924" spans="2:68" x14ac:dyDescent="0.3">
      <c r="D924" s="56">
        <f>+D923+N924</f>
        <v>50857142.857142866</v>
      </c>
      <c r="H924" t="s">
        <v>138</v>
      </c>
      <c r="J924">
        <v>30</v>
      </c>
      <c r="N924" s="1">
        <f>+J924*H$920</f>
        <v>17142857.142857146</v>
      </c>
      <c r="AR924" s="500"/>
      <c r="AS924" s="533"/>
      <c r="AT924" s="629" t="s">
        <v>163</v>
      </c>
      <c r="AU924" s="629"/>
      <c r="AV924" s="629"/>
      <c r="AW924" s="629"/>
      <c r="AX924" s="629"/>
      <c r="AY924" s="629"/>
      <c r="AZ924" s="629"/>
      <c r="BA924" s="562">
        <f>+BA937-BA935</f>
        <v>16784558</v>
      </c>
      <c r="BB924" s="561"/>
      <c r="BC924" s="561">
        <v>1</v>
      </c>
      <c r="BD924" s="561"/>
      <c r="BE924" s="563">
        <f>+BC924*BA924</f>
        <v>16784558</v>
      </c>
      <c r="BF924" s="561"/>
      <c r="BG924" s="561"/>
      <c r="BH924" s="533"/>
      <c r="BI924" s="500"/>
      <c r="BP924" s="56">
        <f>+BE924-BA924</f>
        <v>0</v>
      </c>
    </row>
    <row r="925" spans="2:68" x14ac:dyDescent="0.3">
      <c r="D925" s="56">
        <f>+D924+N925</f>
        <v>68571428.571428582</v>
      </c>
      <c r="H925" t="s">
        <v>139</v>
      </c>
      <c r="J925">
        <v>31</v>
      </c>
      <c r="N925" s="1">
        <f>+J925*H$920</f>
        <v>17714285.714285716</v>
      </c>
      <c r="AR925" s="500"/>
      <c r="AS925" s="533"/>
      <c r="AT925" s="569" t="s">
        <v>183</v>
      </c>
      <c r="AU925" s="561"/>
      <c r="AV925" s="561"/>
      <c r="AW925" s="561"/>
      <c r="AX925" s="561"/>
      <c r="AY925" s="561"/>
      <c r="AZ925" s="561"/>
      <c r="BA925" s="562">
        <f>SUM(D328:D386)</f>
        <v>4197929</v>
      </c>
      <c r="BB925" s="561"/>
      <c r="BC925" s="561">
        <v>1</v>
      </c>
      <c r="BD925" s="561"/>
      <c r="BE925" s="563">
        <f>+BC925*BA925</f>
        <v>4197929</v>
      </c>
      <c r="BF925" s="561"/>
      <c r="BG925" s="561"/>
      <c r="BH925" s="533"/>
      <c r="BI925" s="500"/>
      <c r="BP925" s="56">
        <f>+BE925-BA925</f>
        <v>0</v>
      </c>
    </row>
    <row r="926" spans="2:68" x14ac:dyDescent="0.3">
      <c r="D926" s="56"/>
      <c r="N926" s="1"/>
      <c r="AR926" s="500"/>
      <c r="AS926" s="533"/>
      <c r="AT926" s="569" t="s">
        <v>188</v>
      </c>
      <c r="AU926" s="561"/>
      <c r="AV926" s="561"/>
      <c r="AW926" s="561"/>
      <c r="AX926" s="561"/>
      <c r="AY926" s="561"/>
      <c r="AZ926" s="561"/>
      <c r="BA926" s="562">
        <f>SUM(D387:D509)</f>
        <v>4225210</v>
      </c>
      <c r="BB926" s="561"/>
      <c r="BC926" s="561">
        <v>1</v>
      </c>
      <c r="BD926" s="561"/>
      <c r="BE926" s="563">
        <f>+BC926*BA926</f>
        <v>4225210</v>
      </c>
      <c r="BF926" s="561"/>
      <c r="BG926" s="561"/>
      <c r="BH926" s="533"/>
      <c r="BI926" s="500"/>
      <c r="BP926" s="56"/>
    </row>
    <row r="927" spans="2:68" x14ac:dyDescent="0.3">
      <c r="AR927" s="500"/>
      <c r="AS927" s="533"/>
      <c r="AT927" s="629" t="s">
        <v>189</v>
      </c>
      <c r="AU927" s="629"/>
      <c r="AV927" s="629"/>
      <c r="AW927" s="629"/>
      <c r="AX927" s="629"/>
      <c r="AY927" s="629"/>
      <c r="AZ927" s="629"/>
      <c r="BA927" s="585">
        <f>SUM(D510:D635)</f>
        <v>11511436</v>
      </c>
      <c r="BB927" s="561"/>
      <c r="BC927" s="561"/>
      <c r="BD927" s="561"/>
      <c r="BE927" s="563"/>
      <c r="BF927" s="561"/>
      <c r="BG927" s="561"/>
      <c r="BH927" s="533"/>
      <c r="BI927" s="500"/>
      <c r="BP927" s="56">
        <f>+BA925-BA926</f>
        <v>-27281</v>
      </c>
    </row>
    <row r="928" spans="2:68" ht="15" thickBot="1" x14ac:dyDescent="0.35">
      <c r="D928" s="56">
        <f>+BE928+D925</f>
        <v>177585275.5714286</v>
      </c>
      <c r="H928" s="59">
        <f>+D928/320000000</f>
        <v>0.55495398616071434</v>
      </c>
      <c r="AR928" s="500"/>
      <c r="AS928" s="533"/>
      <c r="AT928" s="561"/>
      <c r="AU928" s="561"/>
      <c r="AV928" s="561"/>
      <c r="AW928" s="561"/>
      <c r="AX928" s="561"/>
      <c r="AY928" s="561"/>
      <c r="AZ928" s="561"/>
      <c r="BA928" s="564">
        <f>SUM(BA922:BA927)</f>
        <v>46654362</v>
      </c>
      <c r="BB928" s="561"/>
      <c r="BC928" s="561"/>
      <c r="BD928" s="561"/>
      <c r="BE928" s="564">
        <f>SUM(BE922:BE927)</f>
        <v>109013847</v>
      </c>
      <c r="BF928" s="561"/>
      <c r="BG928" s="565">
        <f>+BE928/320000000</f>
        <v>0.34066827187499998</v>
      </c>
      <c r="BH928" s="533"/>
      <c r="BI928" s="500"/>
      <c r="BP928" s="59">
        <f>+BP927/BA925</f>
        <v>-6.4986806589630271E-3</v>
      </c>
    </row>
    <row r="929" spans="4:79" ht="15" thickTop="1" x14ac:dyDescent="0.3">
      <c r="D929" s="56"/>
      <c r="H929" s="59"/>
      <c r="AR929" s="500"/>
      <c r="AS929" s="533"/>
      <c r="AT929" s="575" t="s">
        <v>185</v>
      </c>
      <c r="AU929" s="561"/>
      <c r="AV929" s="561"/>
      <c r="AW929" s="561"/>
      <c r="AX929" s="561"/>
      <c r="AY929" s="561"/>
      <c r="AZ929" s="561"/>
      <c r="BA929" s="484">
        <f>+BY949</f>
        <v>0.61144144144144141</v>
      </c>
      <c r="BB929" s="561"/>
      <c r="BC929" s="561"/>
      <c r="BD929" s="561"/>
      <c r="BE929" s="574"/>
      <c r="BF929" s="561"/>
      <c r="BG929" s="484"/>
      <c r="BH929" s="533"/>
      <c r="BI929" s="500"/>
      <c r="BP929" s="59"/>
    </row>
    <row r="930" spans="4:79" x14ac:dyDescent="0.3">
      <c r="D930" s="56"/>
      <c r="H930" s="59"/>
      <c r="AR930" s="500"/>
      <c r="AS930" s="533"/>
      <c r="AT930" s="575" t="s">
        <v>187</v>
      </c>
      <c r="AU930" s="561"/>
      <c r="AV930" s="561"/>
      <c r="AW930" s="561"/>
      <c r="AX930" s="561"/>
      <c r="AY930" s="561"/>
      <c r="AZ930" s="561"/>
      <c r="BA930" s="576">
        <f>+BA928*BA929</f>
        <v>28526410.350810811</v>
      </c>
      <c r="BB930" s="561"/>
      <c r="BC930" s="561"/>
      <c r="BD930" s="561"/>
      <c r="BE930" s="574"/>
      <c r="BF930" s="561"/>
      <c r="BG930" s="484"/>
      <c r="BH930" s="533"/>
      <c r="BI930" s="500"/>
      <c r="BP930" s="59"/>
    </row>
    <row r="931" spans="4:79" ht="15" thickBot="1" x14ac:dyDescent="0.35">
      <c r="D931" s="56"/>
      <c r="H931" s="59"/>
      <c r="AR931" s="500"/>
      <c r="AS931" s="533"/>
      <c r="AT931" s="575" t="s">
        <v>186</v>
      </c>
      <c r="AU931" s="561"/>
      <c r="AV931" s="561"/>
      <c r="AW931" s="561"/>
      <c r="AX931" s="561"/>
      <c r="AY931" s="561"/>
      <c r="AZ931" s="561"/>
      <c r="BA931" s="564">
        <f>+BA928-BA930</f>
        <v>18127951.649189189</v>
      </c>
      <c r="BB931" s="561"/>
      <c r="BC931" s="561"/>
      <c r="BD931" s="561"/>
      <c r="BE931" s="574"/>
      <c r="BF931" s="561"/>
      <c r="BG931" s="484"/>
      <c r="BH931" s="533"/>
      <c r="BI931" s="500"/>
      <c r="BP931" s="59"/>
    </row>
    <row r="932" spans="4:79" ht="15" thickTop="1" x14ac:dyDescent="0.3">
      <c r="AR932" s="500"/>
      <c r="AS932" s="533"/>
      <c r="AT932" s="561"/>
      <c r="AU932" s="561"/>
      <c r="AV932" s="561"/>
      <c r="AW932" s="561"/>
      <c r="AX932" s="561"/>
      <c r="AY932" s="561"/>
      <c r="AZ932" s="561"/>
      <c r="BA932" s="561"/>
      <c r="BB932" s="561"/>
      <c r="BC932" s="561"/>
      <c r="BD932" s="561"/>
      <c r="BE932" s="561"/>
      <c r="BF932" s="561"/>
      <c r="BG932" s="561"/>
      <c r="BH932" s="533"/>
      <c r="BI932" s="500"/>
      <c r="BP932">
        <v>35761323</v>
      </c>
      <c r="BR932" s="56">
        <f>+BA928-BP932</f>
        <v>10893039</v>
      </c>
    </row>
    <row r="933" spans="4:79" x14ac:dyDescent="0.3">
      <c r="AR933" s="500"/>
      <c r="AS933" s="500"/>
      <c r="AT933" s="500"/>
      <c r="AU933" s="500"/>
      <c r="AV933" s="500"/>
      <c r="AW933" s="500"/>
      <c r="AX933" s="500"/>
      <c r="AY933" s="500"/>
      <c r="AZ933" s="500"/>
      <c r="BA933" s="500"/>
      <c r="BB933" s="500"/>
      <c r="BC933" s="500"/>
      <c r="BD933" s="500"/>
      <c r="BE933" s="500"/>
      <c r="BF933" s="500"/>
      <c r="BG933" s="500"/>
      <c r="BH933" s="500"/>
      <c r="BI933" s="500"/>
    </row>
    <row r="934" spans="4:79" x14ac:dyDescent="0.3">
      <c r="BP934" s="587">
        <v>221538504.58886749</v>
      </c>
      <c r="BQ934" s="588"/>
      <c r="BR934" s="588"/>
      <c r="BS934" s="588"/>
      <c r="BT934" s="588"/>
    </row>
    <row r="935" spans="4:79" x14ac:dyDescent="0.3">
      <c r="AV935" t="s">
        <v>153</v>
      </c>
      <c r="BA935" s="56">
        <f>+H235</f>
        <v>9935229</v>
      </c>
    </row>
    <row r="937" spans="4:79" x14ac:dyDescent="0.3">
      <c r="AV937" t="s">
        <v>164</v>
      </c>
      <c r="BA937" s="56">
        <f>+H327</f>
        <v>26719787</v>
      </c>
    </row>
    <row r="938" spans="4:79" x14ac:dyDescent="0.3">
      <c r="BA938" s="56"/>
    </row>
    <row r="939" spans="4:79" x14ac:dyDescent="0.3">
      <c r="AR939" s="500"/>
      <c r="AS939" s="500"/>
      <c r="AT939" s="500"/>
      <c r="AU939" s="500"/>
      <c r="AV939" s="500"/>
      <c r="AW939" s="500"/>
      <c r="AX939" s="500"/>
      <c r="AY939" s="500"/>
      <c r="AZ939" s="500"/>
      <c r="BA939" s="557"/>
      <c r="BB939" s="500"/>
      <c r="BC939" s="500"/>
      <c r="BD939" s="500"/>
      <c r="BE939" s="500"/>
      <c r="BF939" s="500"/>
      <c r="BG939" s="500"/>
      <c r="BH939" s="500"/>
      <c r="BI939" s="500"/>
      <c r="BJ939" s="500"/>
      <c r="BK939" s="500"/>
      <c r="BL939" s="500"/>
      <c r="BM939" s="500"/>
      <c r="BN939" s="500"/>
      <c r="BO939" s="500"/>
      <c r="BP939" s="500"/>
      <c r="BQ939" s="500"/>
      <c r="BR939" s="500"/>
      <c r="BS939" s="500"/>
      <c r="BT939" s="500"/>
      <c r="BU939" s="500"/>
      <c r="BV939" s="500"/>
      <c r="BW939" s="500"/>
    </row>
    <row r="940" spans="4:79" ht="14.4" customHeight="1" x14ac:dyDescent="0.3">
      <c r="AR940" s="500"/>
      <c r="AS940" s="533"/>
      <c r="AT940" s="609" t="s">
        <v>176</v>
      </c>
      <c r="AU940" s="609"/>
      <c r="AV940" s="609"/>
      <c r="AW940" s="609"/>
      <c r="AX940" s="609"/>
      <c r="AY940" s="609"/>
      <c r="AZ940" s="609"/>
      <c r="BA940" s="609"/>
      <c r="BB940" s="609"/>
      <c r="BC940" s="609"/>
      <c r="BD940" s="609"/>
      <c r="BE940" s="609"/>
      <c r="BF940" s="609"/>
      <c r="BG940" s="609"/>
      <c r="BH940" s="609"/>
      <c r="BI940" s="609"/>
      <c r="BJ940" s="609"/>
      <c r="BK940" s="609"/>
      <c r="BL940" s="609"/>
      <c r="BM940" s="609"/>
      <c r="BN940" s="609"/>
      <c r="BO940" s="609"/>
      <c r="BP940" s="609"/>
      <c r="BQ940" s="609"/>
      <c r="BR940" s="609"/>
      <c r="BS940" s="609"/>
      <c r="BT940" s="609"/>
      <c r="BU940" s="609"/>
      <c r="BV940" s="609"/>
      <c r="BW940" s="500"/>
    </row>
    <row r="941" spans="4:79" ht="14.4" customHeight="1" x14ac:dyDescent="0.3">
      <c r="AR941" s="500"/>
      <c r="AS941" s="533"/>
      <c r="AT941" s="533"/>
      <c r="AU941" s="533"/>
      <c r="AV941" s="533"/>
      <c r="AW941" s="533"/>
      <c r="AX941" s="533"/>
      <c r="AY941" s="533"/>
      <c r="AZ941" s="533"/>
      <c r="BA941" s="630" t="s">
        <v>172</v>
      </c>
      <c r="BB941" s="630"/>
      <c r="BC941" s="630"/>
      <c r="BD941" s="630"/>
      <c r="BE941" s="630"/>
      <c r="BF941" s="561"/>
      <c r="BG941" s="609" t="s">
        <v>180</v>
      </c>
      <c r="BH941" s="609"/>
      <c r="BI941" s="609"/>
      <c r="BJ941" s="609"/>
      <c r="BK941" s="609"/>
      <c r="BL941" s="609"/>
      <c r="BM941" s="609"/>
      <c r="BN941" s="609"/>
      <c r="BO941" s="609"/>
      <c r="BP941" s="609"/>
      <c r="BQ941" s="533"/>
      <c r="BR941" s="636" t="s">
        <v>176</v>
      </c>
      <c r="BS941" s="636"/>
      <c r="BT941" s="636"/>
      <c r="BU941" s="636"/>
      <c r="BV941" s="636"/>
      <c r="BW941" s="500"/>
    </row>
    <row r="942" spans="4:79" x14ac:dyDescent="0.3">
      <c r="AR942" s="500"/>
      <c r="AS942" s="533"/>
      <c r="AT942" s="533"/>
      <c r="AU942" s="533"/>
      <c r="AV942" s="533"/>
      <c r="AW942" s="533"/>
      <c r="AX942" s="533"/>
      <c r="AY942" s="533"/>
      <c r="AZ942" s="533"/>
      <c r="BA942" s="570" t="s">
        <v>177</v>
      </c>
      <c r="BB942" s="571"/>
      <c r="BC942" s="572" t="s">
        <v>182</v>
      </c>
      <c r="BD942" s="571"/>
      <c r="BE942" s="572" t="s">
        <v>178</v>
      </c>
      <c r="BF942" s="561"/>
      <c r="BG942" s="570"/>
      <c r="BH942" s="571"/>
      <c r="BI942" s="631"/>
      <c r="BJ942" s="631"/>
      <c r="BK942" s="631"/>
      <c r="BL942" s="631"/>
      <c r="BM942" s="631"/>
      <c r="BN942" s="631"/>
      <c r="BO942" s="473"/>
      <c r="BP942" s="572"/>
      <c r="BQ942" s="533"/>
      <c r="BR942" s="637"/>
      <c r="BS942" s="637"/>
      <c r="BT942" s="637"/>
      <c r="BU942" s="637"/>
      <c r="BV942" s="637"/>
      <c r="BW942" s="500"/>
    </row>
    <row r="943" spans="4:79" x14ac:dyDescent="0.3">
      <c r="AR943" s="500"/>
      <c r="AS943" s="533"/>
      <c r="AT943" s="533"/>
      <c r="AU943" s="533"/>
      <c r="AV943" s="533"/>
      <c r="AW943" s="533"/>
      <c r="AX943" s="533"/>
      <c r="AY943" s="533"/>
      <c r="AZ943" s="533"/>
      <c r="BA943" s="568" t="s">
        <v>173</v>
      </c>
      <c r="BB943" s="566"/>
      <c r="BC943" s="568" t="s">
        <v>175</v>
      </c>
      <c r="BD943" s="566"/>
      <c r="BE943" s="568" t="s">
        <v>174</v>
      </c>
      <c r="BF943" s="561"/>
      <c r="BG943" s="567" t="s">
        <v>180</v>
      </c>
      <c r="BH943" s="561"/>
      <c r="BI943" s="596" t="s">
        <v>184</v>
      </c>
      <c r="BJ943" s="596"/>
      <c r="BK943" s="596"/>
      <c r="BL943" s="596"/>
      <c r="BM943" s="596"/>
      <c r="BN943" s="596"/>
      <c r="BO943" s="561"/>
      <c r="BP943" s="568" t="s">
        <v>181</v>
      </c>
      <c r="BQ943" s="533"/>
      <c r="BR943" s="638" t="s">
        <v>179</v>
      </c>
      <c r="BS943" s="638"/>
      <c r="BT943" s="638"/>
      <c r="BU943" s="638"/>
      <c r="BV943" s="638"/>
      <c r="BW943" s="500"/>
    </row>
    <row r="944" spans="4:79" x14ac:dyDescent="0.3">
      <c r="AR944" s="500"/>
      <c r="AS944" s="533"/>
      <c r="AT944" s="629" t="s">
        <v>162</v>
      </c>
      <c r="AU944" s="629"/>
      <c r="AV944" s="629"/>
      <c r="AW944" s="629"/>
      <c r="AX944" s="629"/>
      <c r="AY944" s="561"/>
      <c r="AZ944" s="561"/>
      <c r="BA944" s="562">
        <f>+BA922</f>
        <v>6826001</v>
      </c>
      <c r="BB944" s="561"/>
      <c r="BC944" s="562">
        <f>+BE944-BA944</f>
        <v>61434009</v>
      </c>
      <c r="BD944" s="561"/>
      <c r="BE944" s="562">
        <f>+BE922</f>
        <v>68260010</v>
      </c>
      <c r="BF944" s="533"/>
      <c r="BG944" s="563">
        <v>0</v>
      </c>
      <c r="BH944" s="563"/>
      <c r="BI944" s="563"/>
      <c r="BJ944" s="563"/>
      <c r="BK944" s="563"/>
      <c r="BL944" s="563"/>
      <c r="BM944" s="563"/>
      <c r="BN944" s="563">
        <f>+BG944</f>
        <v>0</v>
      </c>
      <c r="BO944" s="563"/>
      <c r="BP944" s="563">
        <f>+BN944*0.5</f>
        <v>0</v>
      </c>
      <c r="BQ944" s="561"/>
      <c r="BR944" s="587">
        <f t="shared" ref="BR944:BR949" si="3661">+BE944+BP944</f>
        <v>68260010</v>
      </c>
      <c r="BS944" s="588"/>
      <c r="BT944" s="588"/>
      <c r="BU944" s="588"/>
      <c r="BV944" s="588"/>
      <c r="BW944" s="500"/>
      <c r="CA944" s="56">
        <f>+BR944</f>
        <v>68260010</v>
      </c>
    </row>
    <row r="945" spans="42:90" x14ac:dyDescent="0.3">
      <c r="AR945" s="500"/>
      <c r="AS945" s="533"/>
      <c r="AT945" s="629" t="s">
        <v>171</v>
      </c>
      <c r="AU945" s="629"/>
      <c r="AV945" s="629"/>
      <c r="AW945" s="629"/>
      <c r="AX945" s="629"/>
      <c r="AY945" s="561"/>
      <c r="AZ945" s="561"/>
      <c r="BA945" s="562">
        <f>+BA944+BA923</f>
        <v>9935229</v>
      </c>
      <c r="BB945" s="561"/>
      <c r="BC945" s="562">
        <f>+BE945-BA945</f>
        <v>73870921</v>
      </c>
      <c r="BD945" s="561"/>
      <c r="BE945" s="562">
        <f>+BE944+BE923</f>
        <v>83806150</v>
      </c>
      <c r="BF945" s="533"/>
      <c r="BG945" s="563">
        <v>0</v>
      </c>
      <c r="BH945" s="563"/>
      <c r="BI945" s="563"/>
      <c r="BJ945" s="563"/>
      <c r="BK945" s="563"/>
      <c r="BL945" s="563"/>
      <c r="BM945" s="563"/>
      <c r="BN945" s="563">
        <f>+BN944+BG945</f>
        <v>0</v>
      </c>
      <c r="BO945" s="563"/>
      <c r="BP945" s="563">
        <f>+BN945*0.5</f>
        <v>0</v>
      </c>
      <c r="BQ945" s="561"/>
      <c r="BR945" s="587">
        <f t="shared" si="3661"/>
        <v>83806150</v>
      </c>
      <c r="BS945" s="588"/>
      <c r="BT945" s="588"/>
      <c r="BU945" s="588"/>
      <c r="BV945" s="588"/>
      <c r="BW945" s="500"/>
    </row>
    <row r="946" spans="42:90" x14ac:dyDescent="0.3">
      <c r="AR946" s="500"/>
      <c r="AS946" s="533"/>
      <c r="AT946" s="629" t="s">
        <v>163</v>
      </c>
      <c r="AU946" s="629"/>
      <c r="AV946" s="629"/>
      <c r="AW946" s="629"/>
      <c r="AX946" s="629"/>
      <c r="AY946" s="629"/>
      <c r="AZ946" s="629"/>
      <c r="BA946" s="562">
        <f>+BA945+BA924</f>
        <v>26719787</v>
      </c>
      <c r="BB946" s="561"/>
      <c r="BC946" s="562">
        <f>(+BE946-BA946)*(1-0.2)</f>
        <v>59096736.800000004</v>
      </c>
      <c r="BD946" s="561"/>
      <c r="BE946" s="562">
        <f>+BE945+BE924</f>
        <v>100590708</v>
      </c>
      <c r="BF946" s="533"/>
      <c r="BG946" s="563">
        <f>13400000+5660000</f>
        <v>19060000</v>
      </c>
      <c r="BH946" s="563"/>
      <c r="BI946" s="589"/>
      <c r="BJ946" s="589"/>
      <c r="BK946" s="589"/>
      <c r="BL946" s="589"/>
      <c r="BM946" s="589"/>
      <c r="BN946" s="589"/>
      <c r="BO946" s="563"/>
      <c r="BP946" s="563">
        <f>+BG946</f>
        <v>19060000</v>
      </c>
      <c r="BQ946" s="561"/>
      <c r="BR946" s="587">
        <f t="shared" si="3661"/>
        <v>119650708</v>
      </c>
      <c r="BS946" s="588"/>
      <c r="BT946" s="588"/>
      <c r="BU946" s="588"/>
      <c r="BV946" s="588"/>
      <c r="BW946" s="500"/>
    </row>
    <row r="947" spans="42:90" x14ac:dyDescent="0.3">
      <c r="AR947" s="500"/>
      <c r="AS947" s="533"/>
      <c r="AT947" s="569" t="s">
        <v>183</v>
      </c>
      <c r="AU947" s="561"/>
      <c r="AV947" s="561"/>
      <c r="AW947" s="561"/>
      <c r="AX947" s="561"/>
      <c r="AY947" s="561"/>
      <c r="AZ947" s="561"/>
      <c r="BA947" s="562">
        <f>+BA946+BA925</f>
        <v>30917716</v>
      </c>
      <c r="BB947" s="561"/>
      <c r="BC947" s="562">
        <f>(+BE947-BA947)*(1-0.34)</f>
        <v>48754807.859999992</v>
      </c>
      <c r="BD947" s="561"/>
      <c r="BE947" s="562">
        <f>+BE946+BE925</f>
        <v>104788637</v>
      </c>
      <c r="BF947" s="533"/>
      <c r="BG947" s="563">
        <f>53420000-BG946</f>
        <v>34360000</v>
      </c>
      <c r="BH947" s="563"/>
      <c r="BI947" s="589"/>
      <c r="BJ947" s="589"/>
      <c r="BK947" s="589"/>
      <c r="BL947" s="589"/>
      <c r="BM947" s="589"/>
      <c r="BN947" s="589"/>
      <c r="BO947" s="563"/>
      <c r="BP947" s="563">
        <f>+BP946+BG947</f>
        <v>53420000</v>
      </c>
      <c r="BQ947" s="561"/>
      <c r="BR947" s="587">
        <f t="shared" si="3661"/>
        <v>158208637</v>
      </c>
      <c r="BS947" s="588"/>
      <c r="BT947" s="588"/>
      <c r="BU947" s="588"/>
      <c r="BV947" s="588"/>
      <c r="BW947" s="500"/>
    </row>
    <row r="948" spans="42:90" x14ac:dyDescent="0.3">
      <c r="AR948" s="500"/>
      <c r="AS948" s="533"/>
      <c r="AT948" s="569" t="s">
        <v>188</v>
      </c>
      <c r="AU948" s="561"/>
      <c r="AV948" s="561"/>
      <c r="AW948" s="561"/>
      <c r="AX948" s="561"/>
      <c r="AY948" s="561"/>
      <c r="AZ948" s="561"/>
      <c r="BA948" s="562">
        <v>17702720</v>
      </c>
      <c r="BB948" s="561"/>
      <c r="BC948" s="562">
        <v>36659557</v>
      </c>
      <c r="BD948" s="561"/>
      <c r="BE948" s="562">
        <f>+BA948+BC948</f>
        <v>54362277</v>
      </c>
      <c r="BF948" s="533"/>
      <c r="BG948" s="563">
        <f>164760000-BP947</f>
        <v>111340000</v>
      </c>
      <c r="BH948" s="563"/>
      <c r="BI948" s="589"/>
      <c r="BJ948" s="589"/>
      <c r="BK948" s="589"/>
      <c r="BL948" s="589"/>
      <c r="BM948" s="589"/>
      <c r="BN948" s="589"/>
      <c r="BO948" s="563"/>
      <c r="BP948" s="563">
        <f>+BP947+BG948</f>
        <v>164760000</v>
      </c>
      <c r="BQ948" s="561"/>
      <c r="BR948" s="587">
        <f t="shared" si="3661"/>
        <v>219122277</v>
      </c>
      <c r="BS948" s="588"/>
      <c r="BT948" s="588"/>
      <c r="BU948" s="588"/>
      <c r="BV948" s="588"/>
      <c r="BW948" s="500"/>
      <c r="CL948" s="1">
        <v>333000000</v>
      </c>
    </row>
    <row r="949" spans="42:90" x14ac:dyDescent="0.3">
      <c r="AR949" s="500"/>
      <c r="AS949" s="533"/>
      <c r="AT949" s="569" t="s">
        <v>189</v>
      </c>
      <c r="AU949" s="561"/>
      <c r="AV949" s="561"/>
      <c r="AW949" s="561"/>
      <c r="AX949" s="561"/>
      <c r="AY949" s="561"/>
      <c r="AZ949" s="561"/>
      <c r="BA949" s="562">
        <f>+BA931</f>
        <v>18127951.649189189</v>
      </c>
      <c r="BB949" s="561"/>
      <c r="BC949" s="562">
        <f>+BC945*BY949</f>
        <v>45167742.416846842</v>
      </c>
      <c r="BD949" s="561"/>
      <c r="BE949" s="562">
        <f>+BA949+BC949</f>
        <v>63295694.066036031</v>
      </c>
      <c r="BF949" s="533"/>
      <c r="BG949" s="563">
        <f>203610000-BP948</f>
        <v>38850000</v>
      </c>
      <c r="BH949" s="563"/>
      <c r="BI949" s="589"/>
      <c r="BJ949" s="589"/>
      <c r="BK949" s="589"/>
      <c r="BL949" s="589"/>
      <c r="BM949" s="589"/>
      <c r="BN949" s="589"/>
      <c r="BO949" s="563"/>
      <c r="BP949" s="563">
        <f>+BP948+BG949</f>
        <v>203610000</v>
      </c>
      <c r="BQ949" s="561"/>
      <c r="BR949" s="587">
        <f t="shared" si="3661"/>
        <v>266905694.06603605</v>
      </c>
      <c r="BS949" s="587"/>
      <c r="BT949" s="587"/>
      <c r="BU949" s="587"/>
      <c r="BV949" s="587"/>
      <c r="BW949" s="500"/>
      <c r="BY949" s="59">
        <f>+BP949/CL948</f>
        <v>0.61144144144144141</v>
      </c>
      <c r="CL949" s="1"/>
    </row>
    <row r="950" spans="42:90" x14ac:dyDescent="0.3">
      <c r="AR950" s="500"/>
      <c r="AS950" s="500"/>
      <c r="AT950" s="500"/>
      <c r="AU950" s="500"/>
      <c r="AV950" s="500"/>
      <c r="AW950" s="500"/>
      <c r="AX950" s="500"/>
      <c r="AY950" s="500"/>
      <c r="AZ950" s="500"/>
      <c r="BA950" s="500"/>
      <c r="BB950" s="500"/>
      <c r="BC950" s="500"/>
      <c r="BD950" s="500"/>
      <c r="BE950" s="500"/>
      <c r="BF950" s="500"/>
      <c r="BG950" s="500"/>
      <c r="BH950" s="500"/>
      <c r="BI950" s="500"/>
      <c r="BJ950" s="500"/>
      <c r="BK950" s="500"/>
      <c r="BL950" s="500"/>
      <c r="BM950" s="500"/>
      <c r="BN950" s="500"/>
      <c r="BO950" s="500"/>
      <c r="BP950" s="500"/>
      <c r="BQ950" s="500"/>
      <c r="BR950" s="500"/>
      <c r="BS950" s="500"/>
      <c r="BT950" s="500"/>
      <c r="BU950" s="500"/>
      <c r="BV950" s="500"/>
      <c r="BW950" s="500"/>
      <c r="CL950" s="59">
        <f>+BR949/CL948</f>
        <v>0.80151860079890702</v>
      </c>
    </row>
    <row r="952" spans="42:90" x14ac:dyDescent="0.3">
      <c r="BA952" s="56">
        <f>+BR948+BA930</f>
        <v>247648687.35081083</v>
      </c>
      <c r="BC952" s="59">
        <f>+BA952/CL948</f>
        <v>0.74368975180423669</v>
      </c>
      <c r="BE952" s="56"/>
      <c r="BG952" s="1">
        <v>202530000</v>
      </c>
      <c r="BP952" s="1">
        <f>+(BP949-BP948)/2</f>
        <v>19425000</v>
      </c>
      <c r="CL952" s="56">
        <f>+CL948-BR948</f>
        <v>113877723</v>
      </c>
    </row>
    <row r="953" spans="42:90" x14ac:dyDescent="0.3">
      <c r="BG953" s="56">
        <f>+BP949-BG952</f>
        <v>1080000</v>
      </c>
      <c r="BP953" s="56">
        <v>1800000</v>
      </c>
    </row>
    <row r="954" spans="42:90" ht="15" thickBot="1" x14ac:dyDescent="0.35">
      <c r="BP954" s="578">
        <f>+BP952-BP953</f>
        <v>17625000</v>
      </c>
    </row>
    <row r="955" spans="42:90" ht="15" thickTop="1" x14ac:dyDescent="0.3">
      <c r="CL955" s="59">
        <f>+BP948/CL948</f>
        <v>0.49477477477477477</v>
      </c>
    </row>
    <row r="957" spans="42:90" x14ac:dyDescent="0.3">
      <c r="BE957" s="500"/>
      <c r="BF957" s="500"/>
      <c r="BG957" s="500"/>
      <c r="BH957" s="500"/>
      <c r="BI957" s="500"/>
      <c r="BJ957" s="500"/>
      <c r="BK957" s="500"/>
      <c r="BL957" s="500"/>
      <c r="BM957" s="500"/>
      <c r="BN957" s="500"/>
      <c r="BO957" s="500"/>
      <c r="BP957" s="500"/>
      <c r="BQ957" s="500"/>
      <c r="BR957" s="500"/>
      <c r="BS957" s="500"/>
      <c r="BT957" s="500"/>
      <c r="BU957" s="500"/>
      <c r="BV957" s="500"/>
      <c r="BW957" s="500"/>
      <c r="BX957" s="500"/>
      <c r="BY957" s="500"/>
    </row>
    <row r="958" spans="42:90" x14ac:dyDescent="0.3">
      <c r="BE958" s="500"/>
      <c r="BF958" s="500"/>
      <c r="BG958" s="500"/>
      <c r="BH958" s="500"/>
      <c r="BI958" s="500"/>
      <c r="BJ958" s="500"/>
      <c r="BK958" s="500"/>
      <c r="BL958" s="500"/>
      <c r="BM958" s="500"/>
      <c r="BN958" s="500"/>
      <c r="BO958" s="500"/>
      <c r="BP958" s="500"/>
      <c r="BQ958" s="500"/>
      <c r="BR958" s="500"/>
      <c r="BS958" s="500"/>
      <c r="BT958" s="500"/>
      <c r="BU958" s="500"/>
      <c r="BV958" s="500"/>
      <c r="BW958" s="500"/>
      <c r="BX958" s="500"/>
      <c r="BY958" s="500"/>
    </row>
    <row r="959" spans="42:90" x14ac:dyDescent="0.3">
      <c r="AP959" s="1">
        <v>1500000</v>
      </c>
      <c r="BE959" s="500"/>
      <c r="BF959" s="500"/>
      <c r="BG959" s="500"/>
      <c r="BH959" s="500"/>
      <c r="BI959" s="500"/>
      <c r="BJ959" s="500"/>
      <c r="BK959" s="500"/>
      <c r="BL959" s="500"/>
      <c r="BM959" s="500"/>
      <c r="BN959" s="500"/>
      <c r="BO959" s="500"/>
      <c r="BP959" s="500"/>
      <c r="BQ959" s="500"/>
      <c r="BR959" s="500"/>
      <c r="BS959" s="500"/>
      <c r="BT959" s="500"/>
      <c r="BU959" s="500"/>
      <c r="BV959" s="500"/>
      <c r="BW959" s="500"/>
      <c r="BX959" s="500"/>
      <c r="BY959" s="500"/>
    </row>
    <row r="960" spans="42:90" x14ac:dyDescent="0.3">
      <c r="AP960">
        <v>7</v>
      </c>
      <c r="BE960" s="500"/>
      <c r="BY960" s="500"/>
      <c r="CL960">
        <v>177090000</v>
      </c>
    </row>
    <row r="961" spans="42:90" x14ac:dyDescent="0.3">
      <c r="AP961" s="1">
        <f>+AP959*AP960</f>
        <v>10500000</v>
      </c>
      <c r="BE961" s="500"/>
      <c r="BY961" s="500"/>
      <c r="CL961" s="231">
        <f>+CL960/CL948</f>
        <v>0.53180180180180181</v>
      </c>
    </row>
    <row r="962" spans="42:90" x14ac:dyDescent="0.3">
      <c r="BE962" s="500"/>
      <c r="BY962" s="500"/>
    </row>
    <row r="963" spans="42:90" x14ac:dyDescent="0.3">
      <c r="BE963" s="500"/>
      <c r="BY963" s="500"/>
    </row>
    <row r="964" spans="42:90" x14ac:dyDescent="0.3">
      <c r="BE964" s="500"/>
      <c r="BY964" s="500"/>
      <c r="CL964" s="56">
        <f>+BR948+27420000</f>
        <v>246542277</v>
      </c>
    </row>
    <row r="965" spans="42:90" x14ac:dyDescent="0.3">
      <c r="BE965" s="500"/>
      <c r="BY965" s="500"/>
    </row>
    <row r="966" spans="42:90" x14ac:dyDescent="0.3">
      <c r="BE966" s="500"/>
      <c r="BY966" s="500"/>
      <c r="CL966" s="59">
        <f>+CL964/CL948</f>
        <v>0.74036719819819818</v>
      </c>
    </row>
    <row r="967" spans="42:90" x14ac:dyDescent="0.3">
      <c r="BE967" s="500"/>
      <c r="BY967" s="500"/>
    </row>
    <row r="968" spans="42:90" x14ac:dyDescent="0.3">
      <c r="BE968" s="500"/>
      <c r="BY968" s="500"/>
    </row>
    <row r="969" spans="42:90" x14ac:dyDescent="0.3">
      <c r="BE969" s="500"/>
      <c r="BY969" s="500"/>
    </row>
    <row r="970" spans="42:90" x14ac:dyDescent="0.3">
      <c r="BE970" s="500"/>
      <c r="BY970" s="500"/>
    </row>
    <row r="971" spans="42:90" x14ac:dyDescent="0.3">
      <c r="BE971" s="500"/>
      <c r="BY971" s="500"/>
    </row>
    <row r="972" spans="42:90" x14ac:dyDescent="0.3">
      <c r="BE972" s="500"/>
      <c r="BY972" s="500"/>
    </row>
    <row r="973" spans="42:90" x14ac:dyDescent="0.3">
      <c r="BE973" s="500"/>
      <c r="BF973" s="500"/>
      <c r="BG973" s="500"/>
      <c r="BH973" s="500"/>
      <c r="BI973" s="500"/>
      <c r="BJ973" s="500"/>
      <c r="BK973" s="500"/>
      <c r="BL973" s="500"/>
      <c r="BM973" s="500"/>
      <c r="BN973" s="500"/>
      <c r="BO973" s="500"/>
      <c r="BP973" s="500"/>
      <c r="BQ973" s="500"/>
      <c r="BR973" s="500"/>
      <c r="BS973" s="500"/>
      <c r="BT973" s="500"/>
      <c r="BU973" s="500"/>
      <c r="BV973" s="500"/>
      <c r="BW973" s="500"/>
      <c r="BX973" s="500"/>
      <c r="BY973" s="500"/>
    </row>
    <row r="974" spans="42:90" x14ac:dyDescent="0.3">
      <c r="BE974" s="500"/>
      <c r="BF974" s="500"/>
      <c r="BG974" s="500"/>
      <c r="BH974" s="500"/>
      <c r="BI974" s="500"/>
      <c r="BJ974" s="500"/>
      <c r="BK974" s="500"/>
      <c r="BL974" s="500"/>
      <c r="BM974" s="500"/>
      <c r="BN974" s="500"/>
      <c r="BO974" s="500"/>
      <c r="BP974" s="500"/>
      <c r="BQ974" s="500"/>
      <c r="BR974" s="500"/>
      <c r="BS974" s="500"/>
      <c r="BT974" s="500"/>
      <c r="BU974" s="500"/>
      <c r="BV974" s="500"/>
      <c r="BW974" s="500"/>
      <c r="BX974" s="500"/>
      <c r="BY974" s="500"/>
    </row>
    <row r="975" spans="42:90" x14ac:dyDescent="0.3">
      <c r="BE975" s="500"/>
      <c r="BF975" s="500"/>
      <c r="BG975" s="500"/>
      <c r="BH975" s="500"/>
      <c r="BI975" s="500"/>
      <c r="BJ975" s="500"/>
      <c r="BK975" s="500"/>
      <c r="BL975" s="500"/>
      <c r="BM975" s="500"/>
      <c r="BN975" s="500"/>
      <c r="BO975" s="500"/>
      <c r="BP975" s="500"/>
      <c r="BQ975" s="500"/>
      <c r="BR975" s="500"/>
      <c r="BS975" s="500"/>
      <c r="BT975" s="500"/>
      <c r="BU975" s="500"/>
      <c r="BV975" s="500"/>
      <c r="BW975" s="500"/>
      <c r="BX975" s="500"/>
      <c r="BY975" s="500"/>
    </row>
    <row r="976" spans="42:90" x14ac:dyDescent="0.3">
      <c r="BE976" s="500"/>
      <c r="BF976" s="500"/>
      <c r="BG976" s="500"/>
      <c r="BH976" s="500"/>
      <c r="BI976" s="500"/>
      <c r="BJ976" s="500"/>
      <c r="BK976" s="500"/>
      <c r="BL976" s="500"/>
      <c r="BM976" s="500"/>
      <c r="BN976" s="500"/>
      <c r="BO976" s="500"/>
      <c r="BP976" s="500"/>
      <c r="BQ976" s="500"/>
      <c r="BR976" s="500"/>
      <c r="BS976" s="500"/>
      <c r="BT976" s="500"/>
      <c r="BU976" s="500"/>
      <c r="BV976" s="500"/>
      <c r="BW976" s="500"/>
      <c r="BX976" s="500"/>
      <c r="BY976" s="500"/>
    </row>
    <row r="977" spans="57:77" x14ac:dyDescent="0.3">
      <c r="BE977" s="500"/>
      <c r="BF977" s="500"/>
      <c r="BG977" s="500"/>
      <c r="BH977" s="500"/>
      <c r="BI977" s="500"/>
      <c r="BJ977" s="500"/>
      <c r="BK977" s="500"/>
      <c r="BL977" s="500"/>
      <c r="BM977" s="500"/>
      <c r="BN977" s="500"/>
      <c r="BO977" s="500"/>
      <c r="BP977" s="500"/>
      <c r="BQ977" s="500"/>
      <c r="BR977" s="500"/>
      <c r="BS977" s="500"/>
      <c r="BT977" s="500"/>
      <c r="BU977" s="500"/>
      <c r="BV977" s="500"/>
      <c r="BW977" s="500"/>
      <c r="BX977" s="500"/>
      <c r="BY977" s="500"/>
    </row>
    <row r="978" spans="57:77" x14ac:dyDescent="0.3">
      <c r="BE978" s="500"/>
      <c r="BF978" s="500"/>
      <c r="BG978" s="500"/>
      <c r="BH978" s="500"/>
      <c r="BI978" s="500"/>
      <c r="BJ978" s="500"/>
      <c r="BK978" s="500"/>
      <c r="BL978" s="500"/>
      <c r="BM978" s="500"/>
      <c r="BN978" s="500"/>
      <c r="BO978" s="500"/>
      <c r="BP978" s="500"/>
      <c r="BQ978" s="500"/>
      <c r="BR978" s="500"/>
      <c r="BS978" s="500"/>
      <c r="BT978" s="500"/>
      <c r="BU978" s="500"/>
      <c r="BV978" s="500"/>
      <c r="BW978" s="500"/>
      <c r="BX978" s="500"/>
      <c r="BY978" s="500"/>
    </row>
    <row r="979" spans="57:77" x14ac:dyDescent="0.3">
      <c r="BE979" s="500"/>
      <c r="BF979" s="500"/>
      <c r="BG979" s="500"/>
      <c r="BH979" s="500"/>
      <c r="BI979" s="500"/>
      <c r="BJ979" s="500"/>
      <c r="BK979" s="500"/>
      <c r="BL979" s="500"/>
      <c r="BM979" s="500"/>
      <c r="BN979" s="500"/>
      <c r="BO979" s="500"/>
      <c r="BP979" s="500"/>
      <c r="BQ979" s="500"/>
      <c r="BR979" s="500"/>
      <c r="BS979" s="500"/>
      <c r="BT979" s="500"/>
      <c r="BU979" s="500"/>
      <c r="BV979" s="500"/>
      <c r="BW979" s="500"/>
      <c r="BX979" s="500"/>
      <c r="BY979" s="500"/>
    </row>
    <row r="980" spans="57:77" x14ac:dyDescent="0.3">
      <c r="BE980" s="500"/>
      <c r="BF980" s="500"/>
      <c r="BG980" s="500"/>
      <c r="BH980" s="500"/>
      <c r="BI980" s="500"/>
      <c r="BJ980" s="500"/>
      <c r="BK980" s="500"/>
      <c r="BL980" s="500"/>
      <c r="BM980" s="500"/>
      <c r="BN980" s="500"/>
      <c r="BO980" s="500"/>
      <c r="BP980" s="500"/>
      <c r="BQ980" s="500"/>
      <c r="BR980" s="500"/>
      <c r="BS980" s="500"/>
      <c r="BT980" s="500"/>
      <c r="BU980" s="500"/>
      <c r="BV980" s="500"/>
      <c r="BW980" s="500"/>
      <c r="BX980" s="500"/>
      <c r="BY980" s="500"/>
    </row>
  </sheetData>
  <mergeCells count="60">
    <mergeCell ref="BR949:BV949"/>
    <mergeCell ref="AV913:AY913"/>
    <mergeCell ref="BE920:BE921"/>
    <mergeCell ref="AV896:AX896"/>
    <mergeCell ref="BR941:BV942"/>
    <mergeCell ref="BR943:BV943"/>
    <mergeCell ref="AT923:AX923"/>
    <mergeCell ref="AT927:AZ927"/>
    <mergeCell ref="AT921:AY921"/>
    <mergeCell ref="AT924:AZ924"/>
    <mergeCell ref="AT940:BV940"/>
    <mergeCell ref="BG920:BG921"/>
    <mergeCell ref="AT922:AX922"/>
    <mergeCell ref="BP934:BT934"/>
    <mergeCell ref="BI948:BN948"/>
    <mergeCell ref="BR944:BV944"/>
    <mergeCell ref="AK853:AN853"/>
    <mergeCell ref="AS919:BH919"/>
    <mergeCell ref="H881:J881"/>
    <mergeCell ref="AK858:AN858"/>
    <mergeCell ref="BI949:BN949"/>
    <mergeCell ref="AT944:AX944"/>
    <mergeCell ref="AT945:AX945"/>
    <mergeCell ref="AT946:AZ946"/>
    <mergeCell ref="BA941:BE941"/>
    <mergeCell ref="BG941:BP941"/>
    <mergeCell ref="BI943:BN943"/>
    <mergeCell ref="BI942:BN942"/>
    <mergeCell ref="AK849:AN849"/>
    <mergeCell ref="AK859:AN859"/>
    <mergeCell ref="AV908:AX908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48:AV848"/>
    <mergeCell ref="AK850:AN850"/>
    <mergeCell ref="AK851:AN851"/>
    <mergeCell ref="AK852:AN852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945:BV945"/>
    <mergeCell ref="BR946:BV946"/>
    <mergeCell ref="BR948:BV948"/>
    <mergeCell ref="BI947:BN947"/>
    <mergeCell ref="BR947:BV947"/>
    <mergeCell ref="BI946:BN946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54:AP856 AR854:AR85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48"/>
  <sheetViews>
    <sheetView topLeftCell="A805" workbookViewId="0">
      <selection activeCell="AG29" sqref="AG29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3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3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+K836</f>
        <v>8824274</v>
      </c>
      <c r="AG16" s="187"/>
      <c r="AH16" s="201">
        <f>+AJ31</f>
        <v>27743.725907929296</v>
      </c>
      <c r="AI16" s="201"/>
      <c r="AJ16" s="202">
        <f>+S836</f>
        <v>114377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1905719</v>
      </c>
      <c r="AG17" s="188"/>
      <c r="AH17" s="149">
        <v>27649</v>
      </c>
      <c r="AI17" s="201"/>
      <c r="AJ17" s="148">
        <v>20818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2975031</v>
      </c>
      <c r="AG18" s="188"/>
      <c r="AH18" s="149">
        <v>23239</v>
      </c>
      <c r="AI18" s="201"/>
      <c r="AJ18" s="148">
        <v>45580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13705024</v>
      </c>
      <c r="AG19" s="188"/>
      <c r="AH19" s="188"/>
      <c r="AI19" s="188"/>
      <c r="AJ19" s="206">
        <f>SUM(AJ16:AJ18)</f>
        <v>180775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Table'!H835</f>
        <v>0.18068757851342757</v>
      </c>
      <c r="AG21" s="188"/>
      <c r="AH21" s="188"/>
      <c r="AI21" s="188"/>
      <c r="AJ21" s="208">
        <f>+AJ19/'Main Table'!AA835</f>
        <v>0.20061391019288455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+E836</f>
        <v>5547045</v>
      </c>
      <c r="AE27" s="155"/>
      <c r="AF27" s="186">
        <v>28514</v>
      </c>
      <c r="AG27" s="155"/>
      <c r="AH27" s="177">
        <f>+AD27/AD$31</f>
        <v>0.51696632048129021</v>
      </c>
      <c r="AI27" s="177"/>
      <c r="AJ27" s="155">
        <f>+AF27*AH27</f>
        <v>14740.777662203509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+G836</f>
        <v>2456359</v>
      </c>
      <c r="AE28" s="155"/>
      <c r="AF28" s="186">
        <v>27655</v>
      </c>
      <c r="AG28" s="155"/>
      <c r="AH28" s="177">
        <f>+AD28/AD$31</f>
        <v>0.22892456686598026</v>
      </c>
      <c r="AI28" s="177"/>
      <c r="AJ28" s="155">
        <f>+AF28*AH28</f>
        <v>6330.908896678684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+I836</f>
        <v>820870</v>
      </c>
      <c r="AE29" s="155"/>
      <c r="AF29" s="186">
        <v>23024</v>
      </c>
      <c r="AG29" s="155"/>
      <c r="AH29" s="177">
        <f>+AD29/AD$31</f>
        <v>7.6502379824478911E-2</v>
      </c>
      <c r="AI29" s="177"/>
      <c r="AJ29" s="155">
        <f>+AF29*AH29</f>
        <v>1761.3907930788025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1905719</v>
      </c>
      <c r="AE30" s="237"/>
      <c r="AF30" s="155">
        <f>+AH17</f>
        <v>27649</v>
      </c>
      <c r="AG30" s="237"/>
      <c r="AH30" s="177">
        <f>+AD30/AD$31</f>
        <v>0.17760673282825068</v>
      </c>
      <c r="AI30" s="237"/>
      <c r="AJ30" s="155">
        <f>+AF30*AH30</f>
        <v>4910.6485559683033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10729993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27743.725907929296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Table'!AA835</f>
        <v>901109</v>
      </c>
      <c r="AJ49" s="56">
        <f>+AJ19</f>
        <v>180775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180775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720334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302540.27999999997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417793.72000000003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0.46364393208812699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3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3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3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3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3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32" si="467">+W795+1</f>
        <v>786</v>
      </c>
      <c r="Y796" s="56"/>
    </row>
    <row r="797" spans="3:25" x14ac:dyDescent="0.3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3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3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3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3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3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3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3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3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3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3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3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3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3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3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3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3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3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3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3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3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3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3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3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3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3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3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3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3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3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3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3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3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3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3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3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41" x14ac:dyDescent="0.3">
      <c r="C833" s="158">
        <f t="shared" si="244"/>
        <v>44732</v>
      </c>
      <c r="E833" s="241"/>
      <c r="F833" s="7"/>
      <c r="G833" s="7"/>
      <c r="H833" s="7"/>
      <c r="I833" s="7"/>
      <c r="J833" s="244"/>
      <c r="K833" s="7"/>
      <c r="L833" s="6"/>
      <c r="M833" s="438"/>
      <c r="N833" s="29"/>
      <c r="O833" s="29"/>
      <c r="P833" s="29"/>
      <c r="Q833" s="332"/>
      <c r="R833" s="6"/>
      <c r="S833" s="7"/>
      <c r="T833" s="6"/>
      <c r="U833" s="243"/>
      <c r="Y833" s="56"/>
    </row>
    <row r="834" spans="3:41" ht="15" thickBot="1" x14ac:dyDescent="0.35">
      <c r="C834" s="158">
        <f t="shared" si="244"/>
        <v>44733</v>
      </c>
      <c r="E834" s="245"/>
      <c r="F834" s="246"/>
      <c r="G834" s="246"/>
      <c r="H834" s="246"/>
      <c r="I834" s="246"/>
      <c r="J834" s="246"/>
      <c r="K834" s="246"/>
      <c r="L834" s="247"/>
      <c r="M834" s="248"/>
      <c r="N834" s="248"/>
      <c r="O834" s="248"/>
      <c r="P834" s="248"/>
      <c r="Q834" s="331"/>
      <c r="R834" s="247"/>
      <c r="S834" s="247"/>
      <c r="T834" s="247"/>
      <c r="U834" s="249"/>
      <c r="W834">
        <f>+W405+1</f>
        <v>396</v>
      </c>
      <c r="Y834" s="59"/>
    </row>
    <row r="835" spans="3:41" x14ac:dyDescent="0.3">
      <c r="E835" s="56"/>
      <c r="F835" s="1"/>
      <c r="G835" s="56"/>
      <c r="H835" s="56"/>
      <c r="I835" s="56"/>
      <c r="J835" s="1"/>
      <c r="K835" s="56"/>
      <c r="S835" s="56"/>
    </row>
    <row r="836" spans="3:41" x14ac:dyDescent="0.3">
      <c r="C836" s="166" t="s">
        <v>73</v>
      </c>
      <c r="E836" s="56">
        <f>+E832</f>
        <v>5547045</v>
      </c>
      <c r="F836" s="56"/>
      <c r="G836" s="56">
        <f t="shared" ref="G836:U836" si="573">+G832</f>
        <v>2456359</v>
      </c>
      <c r="H836" s="56">
        <f t="shared" si="573"/>
        <v>0</v>
      </c>
      <c r="I836" s="56">
        <f t="shared" si="573"/>
        <v>820870</v>
      </c>
      <c r="J836" s="56">
        <f t="shared" si="573"/>
        <v>0</v>
      </c>
      <c r="K836" s="56">
        <f t="shared" si="573"/>
        <v>8824274</v>
      </c>
      <c r="L836" s="56">
        <f t="shared" si="573"/>
        <v>0</v>
      </c>
      <c r="M836" s="56">
        <f t="shared" si="573"/>
        <v>5.5003598307961873E-4</v>
      </c>
      <c r="N836" s="56">
        <f t="shared" si="573"/>
        <v>0</v>
      </c>
      <c r="O836" s="56">
        <f t="shared" si="573"/>
        <v>0</v>
      </c>
      <c r="P836" s="56">
        <f t="shared" si="573"/>
        <v>0</v>
      </c>
      <c r="Q836" s="56">
        <f t="shared" si="573"/>
        <v>4851</v>
      </c>
      <c r="R836" s="56">
        <f t="shared" si="573"/>
        <v>0</v>
      </c>
      <c r="S836" s="56">
        <f t="shared" si="573"/>
        <v>114377</v>
      </c>
      <c r="T836" s="56">
        <f t="shared" si="573"/>
        <v>0</v>
      </c>
      <c r="U836" s="56">
        <f t="shared" si="573"/>
        <v>2.402125115017657E-2</v>
      </c>
      <c r="V836" s="56">
        <f>+V259</f>
        <v>0</v>
      </c>
    </row>
    <row r="837" spans="3:41" x14ac:dyDescent="0.3">
      <c r="E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</row>
    <row r="838" spans="3:41" x14ac:dyDescent="0.3">
      <c r="E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3:41" x14ac:dyDescent="0.3">
      <c r="C839" s="111"/>
      <c r="D839" s="112"/>
      <c r="E839" s="349"/>
      <c r="F839" s="10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</row>
    <row r="840" spans="3:41" x14ac:dyDescent="0.3">
      <c r="E840" s="56"/>
      <c r="K840" s="56"/>
      <c r="Q840" s="56"/>
    </row>
    <row r="841" spans="3:41" x14ac:dyDescent="0.3">
      <c r="D841" s="549" t="s">
        <v>26</v>
      </c>
      <c r="E841" t="s">
        <v>158</v>
      </c>
      <c r="K841" s="549"/>
      <c r="Q841" s="56"/>
      <c r="S841" s="59"/>
    </row>
    <row r="843" spans="3:41" x14ac:dyDescent="0.3">
      <c r="U843" s="549"/>
    </row>
    <row r="844" spans="3:41" x14ac:dyDescent="0.3">
      <c r="AO844" s="1">
        <v>3797000</v>
      </c>
    </row>
    <row r="845" spans="3:41" x14ac:dyDescent="0.3">
      <c r="C845" s="1"/>
    </row>
    <row r="846" spans="3:41" x14ac:dyDescent="0.3">
      <c r="C846" s="1"/>
      <c r="AO846" s="1">
        <v>30000</v>
      </c>
    </row>
    <row r="847" spans="3:41" x14ac:dyDescent="0.3">
      <c r="C847" s="59"/>
    </row>
    <row r="848" spans="3:41" x14ac:dyDescent="0.3">
      <c r="AO848" s="235">
        <f>+AO846/AO844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25"/>
  <sheetViews>
    <sheetView topLeftCell="A755" workbookViewId="0">
      <selection activeCell="AG790" sqref="AG790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6" t="s">
        <v>101</v>
      </c>
      <c r="U3" s="717"/>
      <c r="V3" s="717"/>
      <c r="W3" s="717"/>
      <c r="X3" s="717"/>
      <c r="Y3" s="717"/>
      <c r="Z3" s="717"/>
      <c r="AA3" s="717"/>
      <c r="AB3" s="717"/>
      <c r="AC3" s="717"/>
      <c r="AD3" s="718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1.0730186560619878E-2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9" t="s">
        <v>91</v>
      </c>
      <c r="F15" s="719"/>
      <c r="G15" s="719"/>
      <c r="H15" s="719"/>
      <c r="I15" s="719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5" t="s">
        <v>44</v>
      </c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7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8" t="s">
        <v>67</v>
      </c>
      <c r="F19" s="728"/>
      <c r="G19" s="728"/>
      <c r="H19" s="728"/>
      <c r="I19" s="134" t="s">
        <v>66</v>
      </c>
      <c r="J19" s="135"/>
      <c r="K19" s="733" t="s">
        <v>64</v>
      </c>
      <c r="L19" s="733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Table'!H819</f>
        <v>75038359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Table'!AA835</f>
        <v>901109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2949</v>
      </c>
      <c r="J22" s="116"/>
      <c r="K22" s="127"/>
      <c r="L22" s="238">
        <v>3006</v>
      </c>
      <c r="M22" s="127"/>
      <c r="N22" s="147">
        <f>+(I22-L22)/I22</f>
        <v>-1.9328585961342827E-2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74134301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Table'!AP835</f>
        <v>83869516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9" t="s">
        <v>47</v>
      </c>
      <c r="E25" s="730"/>
      <c r="F25" s="730"/>
      <c r="G25" s="730"/>
      <c r="H25" s="730"/>
      <c r="I25" s="119">
        <f>+I23-I24</f>
        <v>-9735215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83869516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9" t="s">
        <v>44</v>
      </c>
      <c r="E27" s="730"/>
      <c r="F27" s="730"/>
      <c r="G27" s="730"/>
      <c r="H27" s="730"/>
      <c r="I27" s="136">
        <f>+I25+I26</f>
        <v>74134301</v>
      </c>
      <c r="J27" s="116"/>
      <c r="K27" s="734">
        <v>74037447</v>
      </c>
      <c r="L27" s="734"/>
      <c r="M27" s="127"/>
      <c r="N27" s="137">
        <f>+I27-K27</f>
        <v>96854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1" t="s">
        <v>61</v>
      </c>
      <c r="F28" s="731"/>
      <c r="G28" s="731"/>
      <c r="H28" s="124"/>
      <c r="I28" s="232">
        <f>+I27/I32</f>
        <v>0.97738955674032901</v>
      </c>
      <c r="J28" s="127"/>
      <c r="K28" s="127"/>
      <c r="L28" s="127"/>
      <c r="M28" s="98"/>
      <c r="N28" s="463">
        <f>+N27/K27</f>
        <v>1.3081758478246826E-3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10" t="s">
        <v>101</v>
      </c>
      <c r="F31" s="711"/>
      <c r="G31" s="711"/>
      <c r="H31" s="711"/>
      <c r="I31" s="711"/>
      <c r="J31" s="712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5">
        <f>+'Main Table'!H835</f>
        <v>75849287</v>
      </c>
      <c r="J32" s="705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6">
        <f>+I27</f>
        <v>74134301</v>
      </c>
      <c r="J34" s="707"/>
      <c r="K34" s="22"/>
      <c r="L34" s="25">
        <f>+I34/$I$32</f>
        <v>0.97738955674032901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3">
        <f>+I21</f>
        <v>901109</v>
      </c>
      <c r="J35" s="714"/>
      <c r="K35" s="22"/>
      <c r="L35" s="25">
        <f>+I35/$I$32</f>
        <v>1.1880256699051106E-2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2" t="s">
        <v>101</v>
      </c>
      <c r="F36" s="732"/>
      <c r="G36" s="732"/>
      <c r="H36" s="233"/>
      <c r="I36" s="708">
        <f>+I32-I34-I35</f>
        <v>813877</v>
      </c>
      <c r="J36" s="709"/>
      <c r="K36" s="259"/>
      <c r="L36" s="234">
        <f>+I36/$I$32</f>
        <v>1.0730186560619878E-2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20" t="s">
        <v>114</v>
      </c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2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3" t="s">
        <v>67</v>
      </c>
      <c r="F42" s="723"/>
      <c r="G42" s="723"/>
      <c r="H42" s="723"/>
      <c r="I42" s="260" t="s">
        <v>66</v>
      </c>
      <c r="J42" s="261"/>
      <c r="K42" s="724" t="s">
        <v>35</v>
      </c>
      <c r="L42" s="724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Table'!AP853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9" t="s">
        <v>47</v>
      </c>
      <c r="E48" s="690"/>
      <c r="F48" s="690"/>
      <c r="G48" s="690"/>
      <c r="H48" s="690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9" t="s">
        <v>44</v>
      </c>
      <c r="E50" s="690"/>
      <c r="F50" s="690"/>
      <c r="G50" s="690"/>
      <c r="H50" s="690"/>
      <c r="I50" s="340">
        <f>+I48+I49</f>
        <v>22172</v>
      </c>
      <c r="J50" s="336"/>
      <c r="K50" s="691">
        <v>30167</v>
      </c>
      <c r="L50" s="691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2" t="s">
        <v>61</v>
      </c>
      <c r="F51" s="692"/>
      <c r="G51" s="692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3" t="s">
        <v>115</v>
      </c>
      <c r="F54" s="694"/>
      <c r="G54" s="694"/>
      <c r="H54" s="694"/>
      <c r="I54" s="694"/>
      <c r="J54" s="69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6">
        <f>+K50</f>
        <v>30167</v>
      </c>
      <c r="J55" s="696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7">
        <f>+I50</f>
        <v>22172</v>
      </c>
      <c r="J57" s="698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9">
        <f>+I44</f>
        <v>1836</v>
      </c>
      <c r="J58" s="700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1" t="s">
        <v>101</v>
      </c>
      <c r="F59" s="701"/>
      <c r="G59" s="701"/>
      <c r="H59" s="267"/>
      <c r="I59" s="702">
        <f>+I55-I57-I58</f>
        <v>6159</v>
      </c>
      <c r="J59" s="703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4">
        <f>+I45</f>
        <v>1397</v>
      </c>
      <c r="J60" s="704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2">
        <f>+I59-I60</f>
        <v>4762</v>
      </c>
      <c r="J61" s="702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3" t="s">
        <v>104</v>
      </c>
      <c r="F64" s="694"/>
      <c r="G64" s="694"/>
      <c r="H64" s="694"/>
      <c r="I64" s="694"/>
      <c r="J64" s="694"/>
      <c r="K64" s="694"/>
      <c r="L64" s="694"/>
      <c r="M64" s="69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8">
        <v>11690000</v>
      </c>
      <c r="J65" s="688"/>
      <c r="K65" s="688"/>
      <c r="L65" s="688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5" t="s">
        <v>95</v>
      </c>
      <c r="G67" s="715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3" t="s">
        <v>118</v>
      </c>
      <c r="E72" s="664"/>
      <c r="F72" s="664"/>
      <c r="G72" s="664"/>
      <c r="H72" s="664"/>
      <c r="I72" s="664"/>
      <c r="J72" s="664"/>
      <c r="K72" s="664"/>
      <c r="L72" s="664"/>
      <c r="M72" s="664"/>
      <c r="N72" s="664"/>
      <c r="O72" s="665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6" t="s">
        <v>67</v>
      </c>
      <c r="F73" s="666"/>
      <c r="G73" s="666"/>
      <c r="H73" s="666"/>
      <c r="I73" s="355" t="s">
        <v>66</v>
      </c>
      <c r="J73" s="356"/>
      <c r="K73" s="667" t="s">
        <v>35</v>
      </c>
      <c r="L73" s="667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Table'!AP894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8" t="s">
        <v>47</v>
      </c>
      <c r="E79" s="669"/>
      <c r="F79" s="669"/>
      <c r="G79" s="669"/>
      <c r="H79" s="669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8" t="s">
        <v>44</v>
      </c>
      <c r="E81" s="669"/>
      <c r="F81" s="669"/>
      <c r="G81" s="669"/>
      <c r="H81" s="669"/>
      <c r="I81" s="370">
        <f>+I79+I80</f>
        <v>36684</v>
      </c>
      <c r="J81" s="363"/>
      <c r="K81" s="671">
        <v>48675</v>
      </c>
      <c r="L81" s="671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70" t="s">
        <v>61</v>
      </c>
      <c r="F82" s="670"/>
      <c r="G82" s="670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1.0730186560619878E-2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1.0730186560619878E-2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1.0730186560619878E-2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1.0730186560619878E-2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89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3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3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3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3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3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3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3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3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3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3">
      <c r="O755" s="98"/>
      <c r="T755" s="250"/>
      <c r="U755" s="252">
        <f t="shared" ref="U755:U788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3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3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3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3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3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3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3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3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3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3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3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3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3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1" x14ac:dyDescent="0.3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1" x14ac:dyDescent="0.3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1" x14ac:dyDescent="0.3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1" x14ac:dyDescent="0.3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1" x14ac:dyDescent="0.3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1" x14ac:dyDescent="0.3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1" x14ac:dyDescent="0.3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1" x14ac:dyDescent="0.3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1" x14ac:dyDescent="0.3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</row>
    <row r="778" spans="15:31" x14ac:dyDescent="0.3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1" x14ac:dyDescent="0.3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1" x14ac:dyDescent="0.3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1" x14ac:dyDescent="0.3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1" x14ac:dyDescent="0.3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1" x14ac:dyDescent="0.3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1" x14ac:dyDescent="0.3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5:36" x14ac:dyDescent="0.3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5:36" x14ac:dyDescent="0.3">
      <c r="O786" s="98"/>
      <c r="T786" s="250"/>
      <c r="U786" s="573">
        <f t="shared" si="157"/>
        <v>44731</v>
      </c>
      <c r="V786" s="6"/>
      <c r="W786" s="580">
        <f>+I$36</f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5:36" x14ac:dyDescent="0.3">
      <c r="O787" s="98"/>
      <c r="T787" s="250"/>
      <c r="U787" s="252">
        <f t="shared" si="157"/>
        <v>44732</v>
      </c>
      <c r="V787" s="6"/>
      <c r="W787" s="253"/>
      <c r="X787" s="6"/>
      <c r="Y787" s="44"/>
      <c r="Z787" s="6"/>
      <c r="AA787" s="254"/>
      <c r="AB787" s="6"/>
      <c r="AC787" s="258"/>
      <c r="AD787" s="251"/>
    </row>
    <row r="788" spans="5:36" x14ac:dyDescent="0.3">
      <c r="O788" s="98"/>
      <c r="T788" s="250"/>
      <c r="U788" s="252">
        <f t="shared" si="157"/>
        <v>44733</v>
      </c>
      <c r="V788" s="6"/>
      <c r="W788" s="253"/>
      <c r="X788" s="6"/>
      <c r="Y788" s="44"/>
      <c r="Z788" s="6"/>
      <c r="AA788" s="254"/>
      <c r="AB788" s="6"/>
      <c r="AC788" s="258"/>
      <c r="AD788" s="251"/>
    </row>
    <row r="789" spans="5:36" ht="15" thickBot="1" x14ac:dyDescent="0.35">
      <c r="O789" s="98"/>
      <c r="T789" s="255"/>
      <c r="U789" s="350">
        <f t="shared" si="125"/>
        <v>44734</v>
      </c>
      <c r="V789" s="247"/>
      <c r="W789" s="351"/>
      <c r="X789" s="247"/>
      <c r="Y789" s="256"/>
      <c r="Z789" s="247"/>
      <c r="AA789" s="352"/>
      <c r="AB789" s="247"/>
      <c r="AC789" s="353"/>
      <c r="AD789" s="257"/>
    </row>
    <row r="790" spans="5:36" x14ac:dyDescent="0.3">
      <c r="O790" s="98"/>
    </row>
    <row r="791" spans="5:36" x14ac:dyDescent="0.3">
      <c r="O791" s="98"/>
      <c r="P791" s="57"/>
      <c r="Q791" s="57"/>
      <c r="R791" s="57"/>
      <c r="W791" s="56"/>
    </row>
    <row r="792" spans="5:36" x14ac:dyDescent="0.3">
      <c r="O792" s="98"/>
    </row>
    <row r="793" spans="5:36" ht="15" thickBot="1" x14ac:dyDescent="0.35">
      <c r="O793" s="98"/>
    </row>
    <row r="794" spans="5:36" ht="15.6" thickTop="1" thickBot="1" x14ac:dyDescent="0.35">
      <c r="Q794" s="441"/>
      <c r="R794" s="442"/>
      <c r="S794" s="442"/>
      <c r="T794" s="442"/>
      <c r="U794" s="442"/>
      <c r="V794" s="442"/>
      <c r="W794" s="442"/>
      <c r="X794" s="442"/>
      <c r="Y794" s="442"/>
      <c r="Z794" s="442"/>
      <c r="AA794" s="442"/>
      <c r="AB794" s="443"/>
    </row>
    <row r="795" spans="5:36" ht="15" thickBot="1" x14ac:dyDescent="0.35">
      <c r="E795" s="675" t="s">
        <v>106</v>
      </c>
      <c r="F795" s="676"/>
      <c r="G795" s="676"/>
      <c r="H795" s="676"/>
      <c r="I795" s="676"/>
      <c r="J795" s="676"/>
      <c r="K795" s="676"/>
      <c r="L795" s="676"/>
      <c r="M795" s="677"/>
      <c r="Q795" s="444"/>
      <c r="R795" s="6"/>
      <c r="S795" s="6"/>
      <c r="T795" s="6"/>
      <c r="U795" s="5" t="s">
        <v>132</v>
      </c>
      <c r="V795" s="5"/>
      <c r="W795" s="5"/>
      <c r="X795" s="5"/>
      <c r="Y795" s="5"/>
      <c r="Z795" s="5"/>
      <c r="AA795" s="5" t="s">
        <v>28</v>
      </c>
      <c r="AB795" s="445"/>
    </row>
    <row r="796" spans="5:36" x14ac:dyDescent="0.3">
      <c r="E796" s="395"/>
      <c r="F796" s="396" t="s">
        <v>107</v>
      </c>
      <c r="G796" s="396"/>
      <c r="H796" s="396"/>
      <c r="I796" s="678">
        <v>21477737</v>
      </c>
      <c r="J796" s="678"/>
      <c r="K796" s="678"/>
      <c r="L796" s="678"/>
      <c r="M796" s="397"/>
      <c r="Q796" s="444"/>
      <c r="R796" s="437" t="s">
        <v>134</v>
      </c>
      <c r="S796" s="6"/>
      <c r="T796" s="6"/>
      <c r="U796" s="437" t="s">
        <v>133</v>
      </c>
      <c r="V796" s="5"/>
      <c r="W796" s="437" t="s">
        <v>20</v>
      </c>
      <c r="X796" s="5"/>
      <c r="Y796" s="437" t="s">
        <v>4</v>
      </c>
      <c r="Z796" s="5"/>
      <c r="AA796" s="446" t="s">
        <v>131</v>
      </c>
      <c r="AB796" s="445"/>
    </row>
    <row r="797" spans="5:36" x14ac:dyDescent="0.3">
      <c r="E797" s="395"/>
      <c r="F797" s="396" t="s">
        <v>97</v>
      </c>
      <c r="G797" s="396"/>
      <c r="H797" s="396"/>
      <c r="I797" s="396"/>
      <c r="J797" s="396"/>
      <c r="K797" s="396"/>
      <c r="L797" s="398">
        <f>+I809/I796</f>
        <v>4.5847474526762295E-4</v>
      </c>
      <c r="M797" s="397"/>
      <c r="Q797" s="444"/>
      <c r="R797" s="6" t="s">
        <v>121</v>
      </c>
      <c r="S797" s="6"/>
      <c r="T797" s="6"/>
      <c r="U797" s="7">
        <v>2003</v>
      </c>
      <c r="V797" s="6"/>
      <c r="W797" s="7">
        <v>389666</v>
      </c>
      <c r="X797" s="6"/>
      <c r="Y797" s="7">
        <v>31257</v>
      </c>
      <c r="Z797" s="6"/>
      <c r="AA797" s="253">
        <f>+AJ797</f>
        <v>19500</v>
      </c>
      <c r="AB797" s="445"/>
      <c r="AJ797" s="1">
        <v>19500</v>
      </c>
    </row>
    <row r="798" spans="5:36" x14ac:dyDescent="0.3">
      <c r="E798" s="395"/>
      <c r="F798" s="679" t="s">
        <v>95</v>
      </c>
      <c r="G798" s="679"/>
      <c r="H798" s="396"/>
      <c r="I798" s="396"/>
      <c r="J798" s="396"/>
      <c r="K798" s="396"/>
      <c r="L798" s="399">
        <f>+I809/(I796/100000)</f>
        <v>45.847474526762298</v>
      </c>
      <c r="M798" s="397"/>
      <c r="Q798" s="444"/>
      <c r="R798" s="6" t="s">
        <v>122</v>
      </c>
      <c r="S798" s="6"/>
      <c r="T798" s="6"/>
      <c r="U798" s="7">
        <v>1913</v>
      </c>
      <c r="V798" s="6"/>
      <c r="W798" s="7">
        <v>169892</v>
      </c>
      <c r="X798" s="6"/>
      <c r="Y798" s="7">
        <v>13076</v>
      </c>
      <c r="Z798" s="6"/>
      <c r="AA798" s="253">
        <f t="shared" ref="AA798:AA806" si="190">+AJ798</f>
        <v>8900</v>
      </c>
      <c r="AB798" s="445"/>
      <c r="AJ798" s="1">
        <v>8900</v>
      </c>
    </row>
    <row r="799" spans="5:36" x14ac:dyDescent="0.3">
      <c r="E799" s="395"/>
      <c r="F799" s="400"/>
      <c r="G799" s="400"/>
      <c r="H799" s="396"/>
      <c r="I799" s="396"/>
      <c r="J799" s="396"/>
      <c r="K799" s="396"/>
      <c r="L799" s="399"/>
      <c r="M799" s="397"/>
      <c r="Q799" s="444"/>
      <c r="R799" s="6" t="s">
        <v>123</v>
      </c>
      <c r="S799" s="6"/>
      <c r="T799" s="6"/>
      <c r="U799" s="7">
        <v>1568</v>
      </c>
      <c r="V799" s="6"/>
      <c r="W799" s="7">
        <v>16606</v>
      </c>
      <c r="X799" s="6"/>
      <c r="Y799" s="7">
        <v>912</v>
      </c>
      <c r="Z799" s="6"/>
      <c r="AA799" s="253">
        <f t="shared" si="190"/>
        <v>1100</v>
      </c>
      <c r="AB799" s="445"/>
      <c r="AJ799" s="1">
        <v>1100</v>
      </c>
    </row>
    <row r="800" spans="5:36" x14ac:dyDescent="0.3">
      <c r="E800" s="395"/>
      <c r="F800" s="400" t="s">
        <v>108</v>
      </c>
      <c r="G800" s="400"/>
      <c r="H800" s="679" t="s">
        <v>109</v>
      </c>
      <c r="I800" s="679"/>
      <c r="J800" s="396"/>
      <c r="K800" s="396"/>
      <c r="L800" s="399"/>
      <c r="M800" s="397"/>
      <c r="Q800" s="444"/>
      <c r="R800" s="6" t="s">
        <v>56</v>
      </c>
      <c r="S800" s="6"/>
      <c r="T800" s="6"/>
      <c r="U800" s="7">
        <v>1561</v>
      </c>
      <c r="V800" s="6"/>
      <c r="W800" s="7">
        <v>107611</v>
      </c>
      <c r="X800" s="6"/>
      <c r="Y800" s="7">
        <v>7937</v>
      </c>
      <c r="Z800" s="6"/>
      <c r="AA800" s="253">
        <f t="shared" si="190"/>
        <v>7000</v>
      </c>
      <c r="AB800" s="445"/>
      <c r="AJ800" s="1">
        <v>7000</v>
      </c>
    </row>
    <row r="801" spans="4:36" ht="15" thickBot="1" x14ac:dyDescent="0.35">
      <c r="E801" s="401"/>
      <c r="F801" s="402"/>
      <c r="G801" s="402"/>
      <c r="H801" s="402"/>
      <c r="I801" s="402"/>
      <c r="J801" s="402"/>
      <c r="K801" s="402"/>
      <c r="L801" s="402"/>
      <c r="M801" s="403"/>
      <c r="Q801" s="444"/>
      <c r="R801" s="6" t="s">
        <v>128</v>
      </c>
      <c r="S801" s="6"/>
      <c r="T801" s="6"/>
      <c r="U801" s="7">
        <v>1435</v>
      </c>
      <c r="V801" s="6"/>
      <c r="W801" s="7">
        <v>10128</v>
      </c>
      <c r="X801" s="6"/>
      <c r="Y801" s="7">
        <v>541</v>
      </c>
      <c r="Z801" s="6"/>
      <c r="AA801" s="253">
        <f t="shared" si="190"/>
        <v>700</v>
      </c>
      <c r="AB801" s="445"/>
      <c r="AJ801" s="1">
        <v>700</v>
      </c>
    </row>
    <row r="802" spans="4:36" x14ac:dyDescent="0.3">
      <c r="Q802" s="444"/>
      <c r="R802" s="6" t="s">
        <v>124</v>
      </c>
      <c r="S802" s="6"/>
      <c r="T802" s="6"/>
      <c r="U802" s="7">
        <v>1288</v>
      </c>
      <c r="V802" s="6"/>
      <c r="W802" s="7">
        <v>45913</v>
      </c>
      <c r="X802" s="6"/>
      <c r="Y802" s="7">
        <v>4287</v>
      </c>
      <c r="Z802" s="6"/>
      <c r="AA802" s="253">
        <f t="shared" si="190"/>
        <v>3600</v>
      </c>
      <c r="AB802" s="445"/>
      <c r="AJ802" s="1">
        <v>3600</v>
      </c>
    </row>
    <row r="803" spans="4:36" ht="15" thickBot="1" x14ac:dyDescent="0.35">
      <c r="D803" s="78"/>
      <c r="E803" s="139"/>
      <c r="F803" s="139"/>
      <c r="G803" s="139"/>
      <c r="H803" s="139"/>
      <c r="I803" s="310"/>
      <c r="J803" s="78"/>
      <c r="K803" s="98"/>
      <c r="L803" s="98"/>
      <c r="M803" s="98"/>
      <c r="N803" s="98"/>
      <c r="Q803" s="444"/>
      <c r="R803" s="6" t="s">
        <v>129</v>
      </c>
      <c r="S803" s="6"/>
      <c r="T803" s="6"/>
      <c r="U803" s="7">
        <v>1129</v>
      </c>
      <c r="V803" s="6"/>
      <c r="W803" s="7">
        <v>52477</v>
      </c>
      <c r="X803" s="6"/>
      <c r="Y803" s="7">
        <v>3152</v>
      </c>
      <c r="Z803" s="6"/>
      <c r="AA803" s="253">
        <f t="shared" si="190"/>
        <v>4600</v>
      </c>
      <c r="AB803" s="445"/>
      <c r="AJ803" s="1">
        <v>4600</v>
      </c>
    </row>
    <row r="804" spans="4:36" ht="16.2" thickBot="1" x14ac:dyDescent="0.35">
      <c r="D804" s="381"/>
      <c r="E804" s="680" t="s">
        <v>119</v>
      </c>
      <c r="F804" s="681"/>
      <c r="G804" s="681"/>
      <c r="H804" s="681"/>
      <c r="I804" s="681"/>
      <c r="J804" s="682"/>
      <c r="K804" s="382"/>
      <c r="L804" s="394" t="s">
        <v>10</v>
      </c>
      <c r="M804" s="383"/>
      <c r="N804" s="98"/>
      <c r="Q804" s="444"/>
      <c r="R804" s="6" t="s">
        <v>125</v>
      </c>
      <c r="S804" s="6"/>
      <c r="T804" s="6"/>
      <c r="U804" s="7">
        <v>1118</v>
      </c>
      <c r="V804" s="6"/>
      <c r="W804" s="7">
        <v>10889</v>
      </c>
      <c r="X804" s="6"/>
      <c r="Y804" s="7">
        <v>505</v>
      </c>
      <c r="Z804" s="6"/>
      <c r="AA804" s="253">
        <f t="shared" si="190"/>
        <v>980</v>
      </c>
      <c r="AB804" s="445"/>
      <c r="AJ804" s="1">
        <v>980</v>
      </c>
    </row>
    <row r="805" spans="4:36" x14ac:dyDescent="0.3">
      <c r="D805" s="360"/>
      <c r="E805" s="384" t="s">
        <v>75</v>
      </c>
      <c r="F805" s="16"/>
      <c r="G805" s="16"/>
      <c r="H805" s="16"/>
      <c r="I805" s="683">
        <f>+K81</f>
        <v>48675</v>
      </c>
      <c r="J805" s="683"/>
      <c r="K805" s="16"/>
      <c r="L805" s="60">
        <f>+I805/$I$805</f>
        <v>1</v>
      </c>
      <c r="M805" s="385"/>
      <c r="N805" s="98"/>
      <c r="Q805" s="444"/>
      <c r="R805" s="6" t="s">
        <v>126</v>
      </c>
      <c r="S805" s="6"/>
      <c r="T805" s="6"/>
      <c r="U805" s="7">
        <v>1093</v>
      </c>
      <c r="V805" s="6"/>
      <c r="W805" s="7">
        <v>138546</v>
      </c>
      <c r="X805" s="6"/>
      <c r="Y805" s="7">
        <v>6770</v>
      </c>
      <c r="Z805" s="6"/>
      <c r="AA805" s="253">
        <f t="shared" si="190"/>
        <v>12700</v>
      </c>
      <c r="AB805" s="445"/>
      <c r="AJ805" s="1">
        <v>12700</v>
      </c>
    </row>
    <row r="806" spans="4:36" x14ac:dyDescent="0.3">
      <c r="D806" s="360"/>
      <c r="E806" s="384"/>
      <c r="F806" s="16"/>
      <c r="G806" s="16"/>
      <c r="H806" s="16"/>
      <c r="I806" s="16"/>
      <c r="J806" s="16"/>
      <c r="K806" s="16"/>
      <c r="L806" s="16"/>
      <c r="M806" s="385"/>
      <c r="N806" s="98"/>
      <c r="Q806" s="444"/>
      <c r="R806" s="6" t="s">
        <v>127</v>
      </c>
      <c r="S806" s="6"/>
      <c r="T806" s="6"/>
      <c r="U806" s="447">
        <v>1081</v>
      </c>
      <c r="V806" s="6"/>
      <c r="W806" s="447">
        <v>65337</v>
      </c>
      <c r="X806" s="6"/>
      <c r="Y806" s="447">
        <v>3108</v>
      </c>
      <c r="Z806" s="6"/>
      <c r="AA806" s="448">
        <f t="shared" si="190"/>
        <v>6100</v>
      </c>
      <c r="AB806" s="445"/>
      <c r="AJ806" s="439">
        <v>6100</v>
      </c>
    </row>
    <row r="807" spans="4:36" x14ac:dyDescent="0.3">
      <c r="D807" s="372"/>
      <c r="E807" s="15"/>
      <c r="F807" s="386" t="s">
        <v>100</v>
      </c>
      <c r="G807" s="386"/>
      <c r="H807" s="15"/>
      <c r="I807" s="684">
        <f>+I81</f>
        <v>36684</v>
      </c>
      <c r="J807" s="685"/>
      <c r="K807" s="15"/>
      <c r="L807" s="60">
        <f>+I807/$I$805</f>
        <v>0.75365177195685673</v>
      </c>
      <c r="M807" s="365"/>
      <c r="N807" s="98"/>
      <c r="Q807" s="444"/>
      <c r="R807" s="5" t="s">
        <v>31</v>
      </c>
      <c r="S807" s="6"/>
      <c r="T807" s="6"/>
      <c r="U807" s="253">
        <f>+W807/(AA807/100)</f>
        <v>1545.0521632402579</v>
      </c>
      <c r="V807" s="6"/>
      <c r="W807" s="253">
        <f>SUM(W797:W806)</f>
        <v>1007065</v>
      </c>
      <c r="X807" s="6"/>
      <c r="Y807" s="253">
        <f>SUM(Y797:Y806)</f>
        <v>71545</v>
      </c>
      <c r="Z807" s="6"/>
      <c r="AA807" s="253">
        <f>SUM(AA797:AA806)</f>
        <v>65180</v>
      </c>
      <c r="AB807" s="445"/>
      <c r="AJ807" s="56">
        <f>SUM(AJ797:AJ806)</f>
        <v>65180</v>
      </c>
    </row>
    <row r="808" spans="4:36" x14ac:dyDescent="0.3">
      <c r="D808" s="372"/>
      <c r="E808" s="15"/>
      <c r="F808" s="15" t="s">
        <v>76</v>
      </c>
      <c r="G808" s="15"/>
      <c r="H808" s="15"/>
      <c r="I808" s="686">
        <f>+I75</f>
        <v>2144</v>
      </c>
      <c r="J808" s="687"/>
      <c r="K808" s="15"/>
      <c r="L808" s="60">
        <f>+I808/$I$805</f>
        <v>4.4047252182845401E-2</v>
      </c>
      <c r="M808" s="365"/>
      <c r="N808" s="98"/>
      <c r="Q808" s="444"/>
      <c r="R808" s="5"/>
      <c r="S808" s="6"/>
      <c r="T808" s="6"/>
      <c r="U808" s="6"/>
      <c r="V808" s="6"/>
      <c r="W808" s="253"/>
      <c r="X808" s="6"/>
      <c r="Y808" s="253"/>
      <c r="Z808" s="6"/>
      <c r="AA808" s="6"/>
      <c r="AB808" s="445"/>
      <c r="AJ808" s="56"/>
    </row>
    <row r="809" spans="4:36" ht="15" thickBot="1" x14ac:dyDescent="0.35">
      <c r="D809" s="372"/>
      <c r="E809" s="672" t="s">
        <v>101</v>
      </c>
      <c r="F809" s="672"/>
      <c r="G809" s="672"/>
      <c r="H809" s="15"/>
      <c r="I809" s="673">
        <f>+I805-I807-I808</f>
        <v>9847</v>
      </c>
      <c r="J809" s="674"/>
      <c r="K809" s="387"/>
      <c r="L809" s="388">
        <f>+I809/$I$805</f>
        <v>0.20230097586029788</v>
      </c>
      <c r="M809" s="365"/>
      <c r="N809" s="98"/>
      <c r="Q809" s="444"/>
      <c r="R809" s="5" t="s">
        <v>57</v>
      </c>
      <c r="S809" s="6"/>
      <c r="T809" s="6"/>
      <c r="U809" s="7">
        <v>7441</v>
      </c>
      <c r="V809" s="6"/>
      <c r="W809" s="7">
        <f>+'Main Table'!H106</f>
        <v>3029734</v>
      </c>
      <c r="X809" s="6"/>
      <c r="Y809" s="7">
        <f>+'Main Table'!AA106</f>
        <v>129682</v>
      </c>
      <c r="Z809" s="6"/>
      <c r="AA809" s="253">
        <f>+AJ809</f>
        <v>333000</v>
      </c>
      <c r="AB809" s="445"/>
      <c r="AJ809" s="56">
        <v>333000</v>
      </c>
    </row>
    <row r="810" spans="4:36" ht="15.6" thickTop="1" thickBot="1" x14ac:dyDescent="0.35">
      <c r="D810" s="372"/>
      <c r="E810" s="389"/>
      <c r="F810" s="389"/>
      <c r="G810" s="389"/>
      <c r="H810" s="15"/>
      <c r="I810" s="390"/>
      <c r="J810" s="389"/>
      <c r="K810" s="387"/>
      <c r="L810" s="391"/>
      <c r="M810" s="365"/>
      <c r="N810" s="98"/>
      <c r="Q810" s="444"/>
      <c r="R810" s="5" t="s">
        <v>130</v>
      </c>
      <c r="S810" s="6"/>
      <c r="T810" s="6"/>
      <c r="U810" s="449"/>
      <c r="V810" s="6"/>
      <c r="W810" s="450">
        <f>+W807/W809</f>
        <v>0.33239386692033029</v>
      </c>
      <c r="X810" s="6"/>
      <c r="Y810" s="450">
        <f>+Y807/Y809</f>
        <v>0.55169568637127742</v>
      </c>
      <c r="Z810" s="6"/>
      <c r="AA810" s="450">
        <f>+AA807/AA809</f>
        <v>0.19573573573573574</v>
      </c>
      <c r="AB810" s="445"/>
      <c r="AJ810" s="440">
        <f>+AJ807/AJ809</f>
        <v>0.19573573573573574</v>
      </c>
    </row>
    <row r="811" spans="4:36" ht="15.6" thickTop="1" thickBot="1" x14ac:dyDescent="0.35">
      <c r="D811" s="392"/>
      <c r="E811" s="393"/>
      <c r="F811" s="393"/>
      <c r="G811" s="393"/>
      <c r="H811" s="393"/>
      <c r="I811" s="393"/>
      <c r="J811" s="393"/>
      <c r="K811" s="393"/>
      <c r="L811" s="393"/>
      <c r="M811" s="380"/>
      <c r="N811" s="98"/>
      <c r="Q811" s="451"/>
      <c r="R811" s="452"/>
      <c r="S811" s="452"/>
      <c r="T811" s="452"/>
      <c r="U811" s="452"/>
      <c r="V811" s="452"/>
      <c r="W811" s="452"/>
      <c r="X811" s="452"/>
      <c r="Y811" s="452"/>
      <c r="Z811" s="452"/>
      <c r="AA811" s="452"/>
      <c r="AB811" s="453"/>
    </row>
    <row r="815" spans="4:36" x14ac:dyDescent="0.3">
      <c r="F815" s="1">
        <v>1248371</v>
      </c>
    </row>
    <row r="816" spans="4:36" x14ac:dyDescent="0.3">
      <c r="W816" s="1"/>
    </row>
    <row r="817" spans="6:6" x14ac:dyDescent="0.3">
      <c r="F817">
        <v>700</v>
      </c>
    </row>
    <row r="818" spans="6:6" x14ac:dyDescent="0.3">
      <c r="F818" s="76">
        <f>+F817/F815</f>
        <v>5.6073074430597954E-4</v>
      </c>
    </row>
    <row r="820" spans="6:6" x14ac:dyDescent="0.3">
      <c r="F820" s="1">
        <v>60000</v>
      </c>
    </row>
    <row r="821" spans="6:6" x14ac:dyDescent="0.3">
      <c r="F821">
        <f>+F818*F820</f>
        <v>33.643844658358773</v>
      </c>
    </row>
    <row r="823" spans="6:6" x14ac:dyDescent="0.3">
      <c r="F823" s="1">
        <v>331000000</v>
      </c>
    </row>
    <row r="824" spans="6:6" x14ac:dyDescent="0.3">
      <c r="F824" s="56">
        <f>+W86</f>
        <v>811067</v>
      </c>
    </row>
    <row r="825" spans="6:6" x14ac:dyDescent="0.3">
      <c r="F825" s="57">
        <f>+F824/F823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809:G809"/>
    <mergeCell ref="I809:J809"/>
    <mergeCell ref="E795:M795"/>
    <mergeCell ref="I796:L796"/>
    <mergeCell ref="F798:G798"/>
    <mergeCell ref="E804:J804"/>
    <mergeCell ref="I805:J805"/>
    <mergeCell ref="I807:J807"/>
    <mergeCell ref="I808:J808"/>
    <mergeCell ref="H800:I800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2022-06-21T01:40:33Z</dcterms:modified>
</cp:coreProperties>
</file>