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F5862241-CA47-4E5A-BF7C-9194C03F54C5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605" i="1" l="1"/>
  <c r="BA583" i="1"/>
  <c r="BJ493" i="1"/>
  <c r="BH493" i="1"/>
  <c r="BB493" i="1"/>
  <c r="AZ493" i="1"/>
  <c r="AW493" i="1"/>
  <c r="AT493" i="1"/>
  <c r="AO493" i="1"/>
  <c r="AJ493" i="1"/>
  <c r="AG493" i="1"/>
  <c r="AD493" i="1"/>
  <c r="AB493" i="1"/>
  <c r="Y493" i="1"/>
  <c r="V493" i="1"/>
  <c r="T493" i="1"/>
  <c r="L493" i="1"/>
  <c r="I493" i="1"/>
  <c r="BT492" i="1"/>
  <c r="BT493" i="1" s="1"/>
  <c r="BS492" i="1"/>
  <c r="BS493" i="1" s="1"/>
  <c r="BQ492" i="1"/>
  <c r="BQ493" i="1" s="1"/>
  <c r="BO492" i="1"/>
  <c r="BO493" i="1" s="1"/>
  <c r="BL492" i="1"/>
  <c r="BL493" i="1" s="1"/>
  <c r="BK492" i="1"/>
  <c r="BK493" i="1" s="1"/>
  <c r="BJ492" i="1"/>
  <c r="BI492" i="1"/>
  <c r="BI493" i="1" s="1"/>
  <c r="BH492" i="1"/>
  <c r="BF492" i="1"/>
  <c r="BF493" i="1" s="1"/>
  <c r="BD492" i="1"/>
  <c r="BD493" i="1" s="1"/>
  <c r="BC492" i="1"/>
  <c r="BC493" i="1" s="1"/>
  <c r="BB492" i="1"/>
  <c r="BA492" i="1"/>
  <c r="BA493" i="1" s="1"/>
  <c r="AZ492" i="1"/>
  <c r="AY492" i="1"/>
  <c r="AY493" i="1" s="1"/>
  <c r="AW492" i="1"/>
  <c r="AU492" i="1"/>
  <c r="AU493" i="1" s="1"/>
  <c r="AT492" i="1"/>
  <c r="AS492" i="1"/>
  <c r="AS493" i="1" s="1"/>
  <c r="AQ492" i="1"/>
  <c r="AQ493" i="1" s="1"/>
  <c r="AP492" i="1"/>
  <c r="AP493" i="1" s="1"/>
  <c r="AO492" i="1"/>
  <c r="AN492" i="1"/>
  <c r="AN493" i="1" s="1"/>
  <c r="AM492" i="1"/>
  <c r="AM493" i="1" s="1"/>
  <c r="AL492" i="1"/>
  <c r="AL493" i="1" s="1"/>
  <c r="AK492" i="1"/>
  <c r="AK493" i="1" s="1"/>
  <c r="AJ492" i="1"/>
  <c r="AI492" i="1"/>
  <c r="AI493" i="1" s="1"/>
  <c r="AG492" i="1"/>
  <c r="AF492" i="1"/>
  <c r="AF493" i="1" s="1"/>
  <c r="AD492" i="1"/>
  <c r="AB492" i="1"/>
  <c r="Y492" i="1"/>
  <c r="X492" i="1"/>
  <c r="X493" i="1" s="1"/>
  <c r="W492" i="1"/>
  <c r="W493" i="1" s="1"/>
  <c r="V492" i="1"/>
  <c r="U492" i="1"/>
  <c r="U493" i="1" s="1"/>
  <c r="T492" i="1"/>
  <c r="R492" i="1"/>
  <c r="R493" i="1" s="1"/>
  <c r="P492" i="1"/>
  <c r="P493" i="1" s="1"/>
  <c r="N492" i="1"/>
  <c r="N493" i="1" s="1"/>
  <c r="M492" i="1"/>
  <c r="M493" i="1" s="1"/>
  <c r="L492" i="1"/>
  <c r="K492" i="1"/>
  <c r="K493" i="1" s="1"/>
  <c r="J492" i="1"/>
  <c r="J493" i="1" s="1"/>
  <c r="I492" i="1"/>
  <c r="D492" i="1"/>
  <c r="D493" i="1" s="1"/>
  <c r="BW488" i="1"/>
  <c r="BN488" i="1"/>
  <c r="BN492" i="1" s="1"/>
  <c r="BN493" i="1" s="1"/>
  <c r="BE488" i="1"/>
  <c r="BP488" i="1" s="1"/>
  <c r="BR488" i="1" s="1"/>
  <c r="BR492" i="1" s="1"/>
  <c r="BR493" i="1" s="1"/>
  <c r="BA488" i="1"/>
  <c r="BK488" i="1" s="1"/>
  <c r="AX488" i="1"/>
  <c r="AX492" i="1" s="1"/>
  <c r="AX493" i="1" s="1"/>
  <c r="AR488" i="1"/>
  <c r="AR492" i="1" s="1"/>
  <c r="AR493" i="1" s="1"/>
  <c r="AL488" i="1"/>
  <c r="AG488" i="1"/>
  <c r="AI488" i="1" s="1"/>
  <c r="AA488" i="1"/>
  <c r="AA492" i="1" s="1"/>
  <c r="AA493" i="1" s="1"/>
  <c r="Z488" i="1"/>
  <c r="Z492" i="1" s="1"/>
  <c r="Z493" i="1" s="1"/>
  <c r="V488" i="1"/>
  <c r="Q488" i="1"/>
  <c r="BM488" i="1" s="1"/>
  <c r="BM492" i="1" s="1"/>
  <c r="BM493" i="1" s="1"/>
  <c r="N488" i="1"/>
  <c r="J488" i="1"/>
  <c r="H488" i="1"/>
  <c r="AV488" i="1" s="1"/>
  <c r="AV492" i="1" s="1"/>
  <c r="AV493" i="1" s="1"/>
  <c r="I20" i="3"/>
  <c r="BW487" i="1"/>
  <c r="AX487" i="1" s="1"/>
  <c r="BE487" i="1"/>
  <c r="BP487" i="1" s="1"/>
  <c r="BR487" i="1" s="1"/>
  <c r="BA487" i="1"/>
  <c r="BK487" i="1" s="1"/>
  <c r="AL487" i="1"/>
  <c r="AR487" i="1" s="1"/>
  <c r="AG487" i="1"/>
  <c r="AI487" i="1" s="1"/>
  <c r="AA487" i="1"/>
  <c r="AC487" i="1" s="1"/>
  <c r="Z487" i="1"/>
  <c r="V487" i="1"/>
  <c r="Q487" i="1"/>
  <c r="S487" i="1" s="1"/>
  <c r="N487" i="1"/>
  <c r="J487" i="1"/>
  <c r="H487" i="1"/>
  <c r="AV487" i="1" s="1"/>
  <c r="U444" i="3"/>
  <c r="U445" i="3" s="1"/>
  <c r="U446" i="3" s="1"/>
  <c r="U447" i="3" s="1"/>
  <c r="U448" i="3" s="1"/>
  <c r="U443" i="3"/>
  <c r="BW486" i="1"/>
  <c r="BN486" i="1" s="1"/>
  <c r="BE486" i="1"/>
  <c r="BP486" i="1" s="1"/>
  <c r="BR486" i="1" s="1"/>
  <c r="BA486" i="1"/>
  <c r="BK486" i="1" s="1"/>
  <c r="BM486" i="1" s="1"/>
  <c r="AX486" i="1"/>
  <c r="AL486" i="1"/>
  <c r="AR486" i="1" s="1"/>
  <c r="AG486" i="1"/>
  <c r="AE486" i="1"/>
  <c r="AA486" i="1"/>
  <c r="Z486" i="1"/>
  <c r="V486" i="1"/>
  <c r="Q486" i="1"/>
  <c r="N486" i="1"/>
  <c r="J486" i="1"/>
  <c r="H486" i="1"/>
  <c r="AV486" i="1" s="1"/>
  <c r="BW485" i="1"/>
  <c r="BN485" i="1" s="1"/>
  <c r="BE485" i="1"/>
  <c r="BA485" i="1"/>
  <c r="BK485" i="1" s="1"/>
  <c r="AX485" i="1"/>
  <c r="AL485" i="1"/>
  <c r="AR485" i="1" s="1"/>
  <c r="AG485" i="1"/>
  <c r="AA485" i="1"/>
  <c r="AE485" i="1" s="1"/>
  <c r="Z485" i="1"/>
  <c r="V485" i="1"/>
  <c r="Q485" i="1"/>
  <c r="N485" i="1"/>
  <c r="J485" i="1"/>
  <c r="H485" i="1"/>
  <c r="O485" i="1" s="1"/>
  <c r="BW484" i="1"/>
  <c r="BN484" i="1"/>
  <c r="BK484" i="1"/>
  <c r="BE484" i="1"/>
  <c r="BA484" i="1"/>
  <c r="AX484" i="1"/>
  <c r="AL484" i="1"/>
  <c r="AR484" i="1" s="1"/>
  <c r="AG484" i="1"/>
  <c r="AI484" i="1" s="1"/>
  <c r="AA484" i="1"/>
  <c r="AE484" i="1" s="1"/>
  <c r="Z484" i="1"/>
  <c r="V484" i="1"/>
  <c r="Q484" i="1"/>
  <c r="N484" i="1"/>
  <c r="J484" i="1"/>
  <c r="H484" i="1"/>
  <c r="AV484" i="1" s="1"/>
  <c r="BW483" i="1"/>
  <c r="AX483" i="1" s="1"/>
  <c r="BE483" i="1"/>
  <c r="BP483" i="1" s="1"/>
  <c r="BR483" i="1" s="1"/>
  <c r="BA483" i="1"/>
  <c r="BK483" i="1" s="1"/>
  <c r="AL483" i="1"/>
  <c r="AR483" i="1" s="1"/>
  <c r="AG483" i="1"/>
  <c r="AI483" i="1" s="1"/>
  <c r="AA483" i="1"/>
  <c r="Z483" i="1"/>
  <c r="V483" i="1"/>
  <c r="Q483" i="1"/>
  <c r="S483" i="1" s="1"/>
  <c r="N483" i="1"/>
  <c r="J483" i="1"/>
  <c r="H483" i="1"/>
  <c r="AV483" i="1" s="1"/>
  <c r="BW482" i="1"/>
  <c r="BN482" i="1" s="1"/>
  <c r="BE482" i="1"/>
  <c r="BP482" i="1" s="1"/>
  <c r="BR482" i="1" s="1"/>
  <c r="BA482" i="1"/>
  <c r="BK482" i="1" s="1"/>
  <c r="AX482" i="1"/>
  <c r="AL482" i="1"/>
  <c r="AR482" i="1" s="1"/>
  <c r="AG482" i="1"/>
  <c r="AA482" i="1"/>
  <c r="AE482" i="1" s="1"/>
  <c r="Z482" i="1"/>
  <c r="V482" i="1"/>
  <c r="Q482" i="1"/>
  <c r="N482" i="1"/>
  <c r="J482" i="1"/>
  <c r="H482" i="1"/>
  <c r="AV482" i="1" s="1"/>
  <c r="B485" i="1"/>
  <c r="B486" i="1" s="1"/>
  <c r="B487" i="1" s="1"/>
  <c r="B488" i="1" s="1"/>
  <c r="B489" i="1" s="1"/>
  <c r="U494" i="2"/>
  <c r="T494" i="2"/>
  <c r="S494" i="2"/>
  <c r="R494" i="2"/>
  <c r="P494" i="2"/>
  <c r="O494" i="2"/>
  <c r="N494" i="2"/>
  <c r="L494" i="2"/>
  <c r="K494" i="2"/>
  <c r="J494" i="2"/>
  <c r="I494" i="2"/>
  <c r="H494" i="2"/>
  <c r="G494" i="2"/>
  <c r="E494" i="2"/>
  <c r="S489" i="2"/>
  <c r="W489" i="2"/>
  <c r="K489" i="2"/>
  <c r="M489" i="2" s="1"/>
  <c r="M494" i="2" s="1"/>
  <c r="S488" i="2"/>
  <c r="W488" i="2"/>
  <c r="K488" i="2"/>
  <c r="Q488" i="2" s="1"/>
  <c r="C488" i="2"/>
  <c r="C489" i="2" s="1"/>
  <c r="C490" i="2" s="1"/>
  <c r="C491" i="2" s="1"/>
  <c r="S487" i="2"/>
  <c r="U487" i="2" s="1"/>
  <c r="K487" i="2"/>
  <c r="S486" i="2"/>
  <c r="K486" i="2"/>
  <c r="U486" i="2" s="1"/>
  <c r="S485" i="2"/>
  <c r="U485" i="2" s="1"/>
  <c r="K485" i="2"/>
  <c r="Q485" i="2" s="1"/>
  <c r="S484" i="2"/>
  <c r="U484" i="2" s="1"/>
  <c r="K484" i="2"/>
  <c r="S483" i="2"/>
  <c r="U483" i="2" s="1"/>
  <c r="K483" i="2"/>
  <c r="Q483" i="2" s="1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Q480" i="2" s="1"/>
  <c r="S479" i="2"/>
  <c r="K479" i="2"/>
  <c r="S478" i="2"/>
  <c r="K478" i="2"/>
  <c r="S477" i="2"/>
  <c r="K477" i="2"/>
  <c r="S476" i="2"/>
  <c r="K476" i="2"/>
  <c r="AE488" i="1" l="1"/>
  <c r="AE492" i="1" s="1"/>
  <c r="AE493" i="1" s="1"/>
  <c r="S488" i="1"/>
  <c r="S492" i="1" s="1"/>
  <c r="S493" i="1" s="1"/>
  <c r="Q492" i="1"/>
  <c r="Q493" i="1" s="1"/>
  <c r="BE492" i="1"/>
  <c r="BE493" i="1" s="1"/>
  <c r="AC488" i="1"/>
  <c r="AC492" i="1" s="1"/>
  <c r="AC493" i="1" s="1"/>
  <c r="BP492" i="1"/>
  <c r="BP493" i="1" s="1"/>
  <c r="O488" i="1"/>
  <c r="O492" i="1" s="1"/>
  <c r="O493" i="1" s="1"/>
  <c r="H492" i="1"/>
  <c r="H493" i="1" s="1"/>
  <c r="BG488" i="1"/>
  <c r="BG492" i="1" s="1"/>
  <c r="BG493" i="1" s="1"/>
  <c r="BM487" i="1"/>
  <c r="O487" i="1"/>
  <c r="BG487" i="1"/>
  <c r="AE487" i="1"/>
  <c r="BN487" i="1"/>
  <c r="AI486" i="1"/>
  <c r="S486" i="1"/>
  <c r="AC486" i="1"/>
  <c r="O486" i="1"/>
  <c r="BG486" i="1"/>
  <c r="BG485" i="1"/>
  <c r="BM485" i="1"/>
  <c r="AI485" i="1"/>
  <c r="BP485" i="1"/>
  <c r="AV485" i="1"/>
  <c r="S485" i="1"/>
  <c r="AC485" i="1"/>
  <c r="BM484" i="1"/>
  <c r="BG484" i="1"/>
  <c r="BP484" i="1"/>
  <c r="O484" i="1"/>
  <c r="S484" i="1"/>
  <c r="AC484" i="1"/>
  <c r="AC483" i="1"/>
  <c r="BG483" i="1"/>
  <c r="BM483" i="1"/>
  <c r="BN483" i="1"/>
  <c r="AE483" i="1"/>
  <c r="O483" i="1"/>
  <c r="AI482" i="1"/>
  <c r="BM482" i="1"/>
  <c r="S482" i="1"/>
  <c r="AC482" i="1"/>
  <c r="O482" i="1"/>
  <c r="BG482" i="1"/>
  <c r="BK481" i="1"/>
  <c r="U489" i="2"/>
  <c r="Q489" i="2"/>
  <c r="Q494" i="2" s="1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R485" i="1" l="1"/>
  <c r="BR484" i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M472" i="2" s="1"/>
  <c r="S471" i="2"/>
  <c r="K471" i="2"/>
  <c r="S470" i="2"/>
  <c r="K470" i="2"/>
  <c r="S469" i="2"/>
  <c r="K469" i="2"/>
  <c r="BK475" i="1" l="1"/>
  <c r="BM475" i="1" s="1"/>
  <c r="Q476" i="2"/>
  <c r="M476" i="2"/>
  <c r="U475" i="2"/>
  <c r="BA471" i="1"/>
  <c r="BK477" i="1" s="1"/>
  <c r="BM477" i="1" s="1"/>
  <c r="Q474" i="2"/>
  <c r="U471" i="2"/>
  <c r="BA470" i="1"/>
  <c r="BG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K474" i="1" l="1"/>
  <c r="BM474" i="1" s="1"/>
  <c r="BK476" i="1"/>
  <c r="BM476" i="1" s="1"/>
  <c r="BG471" i="1"/>
  <c r="CL617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U492" i="1"/>
  <c r="BU493" i="1" s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469" i="3"/>
  <c r="AJ467" i="3"/>
  <c r="AJ470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82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04" i="1"/>
  <c r="D503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83" i="1"/>
  <c r="BG603" i="1"/>
  <c r="BG604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03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94" i="2"/>
  <c r="S357" i="2"/>
  <c r="AP617" i="1"/>
  <c r="BP604" i="1"/>
  <c r="BN601" i="1"/>
  <c r="BP601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92" i="1"/>
  <c r="BV493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582" i="1"/>
  <c r="BP582" i="1" s="1"/>
  <c r="BP584" i="1"/>
  <c r="BP585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05" i="1"/>
  <c r="BY605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02" i="1"/>
  <c r="BP602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Q358" i="2" l="1"/>
  <c r="M357" i="2"/>
  <c r="U357" i="2"/>
  <c r="M358" i="2"/>
  <c r="CL611" i="1"/>
  <c r="BA586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77" i="1"/>
  <c r="N579" i="1" s="1"/>
  <c r="N580" i="1" l="1"/>
  <c r="D580" i="1" s="1"/>
  <c r="N581" i="1"/>
  <c r="N582" i="1"/>
  <c r="D581" i="1" l="1"/>
  <c r="D582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68" i="1"/>
  <c r="BG568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13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98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92" i="1"/>
  <c r="G493" i="1" s="1"/>
  <c r="F492" i="1"/>
  <c r="F493" i="1" s="1"/>
  <c r="E492" i="1"/>
  <c r="E493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16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13" i="1" l="1"/>
  <c r="AR512" i="1"/>
  <c r="AP512" i="1"/>
  <c r="AR511" i="1"/>
  <c r="AP511" i="1"/>
  <c r="AV511" i="1" l="1"/>
  <c r="AV512" i="1"/>
  <c r="AV513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57" i="1"/>
  <c r="N214" i="1"/>
  <c r="N204" i="1"/>
  <c r="BA556" i="1" s="1"/>
  <c r="N174" i="1"/>
  <c r="BA555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56" i="1" l="1"/>
  <c r="BE556" i="1" s="1"/>
  <c r="Q218" i="2"/>
  <c r="BC557" i="1"/>
  <c r="BE557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25" i="1"/>
  <c r="H525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44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97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95" i="1"/>
  <c r="BK498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45" i="1"/>
  <c r="AP546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40" i="1"/>
  <c r="H541" i="1"/>
  <c r="J541" i="1" s="1"/>
  <c r="H542" i="1"/>
  <c r="J542" i="1" s="1"/>
  <c r="S154" i="2"/>
  <c r="M156" i="2" l="1"/>
  <c r="Q156" i="2"/>
  <c r="O542" i="1"/>
  <c r="AI154" i="1"/>
  <c r="AI161" i="1"/>
  <c r="BK160" i="1"/>
  <c r="BM160" i="1" s="1"/>
  <c r="AR154" i="1"/>
  <c r="BG154" i="1"/>
  <c r="U155" i="2"/>
  <c r="J540" i="1"/>
  <c r="J547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43" i="1"/>
  <c r="AA542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84" i="3"/>
  <c r="F485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18" i="1" l="1"/>
  <c r="AR510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17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22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09" i="1" s="1"/>
  <c r="AH113" i="1"/>
  <c r="AP509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09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29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M122" i="2"/>
  <c r="Q122" i="2"/>
  <c r="BG120" i="1"/>
  <c r="U121" i="2"/>
  <c r="D118" i="1" l="1"/>
  <c r="N124" i="1" s="1"/>
  <c r="D116" i="1"/>
  <c r="D115" i="1"/>
  <c r="D114" i="1"/>
  <c r="AH145" i="1" l="1"/>
  <c r="N143" i="1"/>
  <c r="AG516" i="1"/>
  <c r="AP510" i="1" s="1"/>
  <c r="AV510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54" i="1" l="1"/>
  <c r="BC555" i="1" s="1"/>
  <c r="BE555" i="1" s="1"/>
  <c r="BE566" i="1"/>
  <c r="BE570" i="1" s="1"/>
  <c r="S127" i="1"/>
  <c r="S128" i="1"/>
  <c r="BE119" i="1"/>
  <c r="BA119" i="1"/>
  <c r="AL119" i="1"/>
  <c r="AR119" i="1" s="1"/>
  <c r="Q119" i="1"/>
  <c r="S126" i="1" s="1"/>
  <c r="K120" i="2"/>
  <c r="BG557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66" i="1" s="1"/>
  <c r="AL113" i="1"/>
  <c r="K114" i="2"/>
  <c r="BA570" i="1" l="1"/>
  <c r="BC568" i="1"/>
  <c r="BG566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66" i="3"/>
  <c r="AA465" i="3"/>
  <c r="AA464" i="3"/>
  <c r="AA463" i="3"/>
  <c r="AA462" i="3"/>
  <c r="AA461" i="3"/>
  <c r="AA460" i="3"/>
  <c r="AA459" i="3"/>
  <c r="AA458" i="3"/>
  <c r="AA457" i="3"/>
  <c r="Y467" i="3"/>
  <c r="W467" i="3"/>
  <c r="S107" i="2"/>
  <c r="AA467" i="3" l="1"/>
  <c r="AA470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67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78" i="3"/>
  <c r="F481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08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08" i="1"/>
  <c r="AV508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68" i="3" l="1"/>
  <c r="I465" i="3"/>
  <c r="L465" i="3" s="1"/>
  <c r="I78" i="3"/>
  <c r="I80" i="3" s="1"/>
  <c r="I77" i="3"/>
  <c r="BE64" i="1"/>
  <c r="BA64" i="1"/>
  <c r="AL64" i="1"/>
  <c r="AR64" i="1" s="1"/>
  <c r="K65" i="2"/>
  <c r="Y19" i="3"/>
  <c r="Q66" i="2" l="1"/>
  <c r="M66" i="2"/>
  <c r="L468" i="3"/>
  <c r="I79" i="3"/>
  <c r="I81" i="3" s="1"/>
  <c r="I82" i="3" s="1"/>
  <c r="BG64" i="1"/>
  <c r="U65" i="2"/>
  <c r="S64" i="2"/>
  <c r="N81" i="3" l="1"/>
  <c r="N82" i="3" s="1"/>
  <c r="I467" i="3"/>
  <c r="L467" i="3" s="1"/>
  <c r="K64" i="2"/>
  <c r="BE63" i="1"/>
  <c r="BA63" i="1"/>
  <c r="AL63" i="1"/>
  <c r="AR63" i="1" s="1"/>
  <c r="Y18" i="3"/>
  <c r="Q65" i="2" l="1"/>
  <c r="M65" i="2"/>
  <c r="I469" i="3"/>
  <c r="U64" i="2"/>
  <c r="BG63" i="1"/>
  <c r="L458" i="3" l="1"/>
  <c r="L469" i="3"/>
  <c r="L457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06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53" i="1"/>
  <c r="B556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07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15" i="1"/>
  <c r="AR517" i="1" s="1"/>
  <c r="AV517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07" i="1"/>
  <c r="AV507" i="1" s="1"/>
  <c r="BA513" i="1" s="1"/>
  <c r="BA514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92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C492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U418" i="3" l="1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U422" i="3" l="1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U426" i="3" l="1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U430" i="3" l="1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U434" i="3" l="1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U437" i="3" l="1"/>
  <c r="U438" i="3" s="1"/>
  <c r="U439" i="3" s="1"/>
  <c r="U440" i="3" s="1"/>
  <c r="U441" i="3" s="1"/>
  <c r="U442" i="3" s="1"/>
  <c r="U449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490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69" i="3"/>
  <c r="Y470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69" i="3"/>
  <c r="W470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26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79" i="1" s="1"/>
  <c r="O173" i="1"/>
  <c r="AV173" i="1"/>
  <c r="AC173" i="1"/>
  <c r="BE579" i="1" l="1"/>
  <c r="BA601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01" i="1" l="1"/>
  <c r="BP579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01" i="1" l="1"/>
  <c r="BC601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92" i="1" s="1"/>
  <c r="BA580" i="1" s="1"/>
  <c r="J235" i="1"/>
  <c r="O234" i="1"/>
  <c r="AC234" i="1"/>
  <c r="BE580" i="1" l="1"/>
  <c r="BA602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80" i="1" l="1"/>
  <c r="BE602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02" i="1" l="1"/>
  <c r="BC602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506" i="1"/>
  <c r="AV269" i="1"/>
  <c r="H507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594" i="1"/>
  <c r="BA581" i="1" s="1"/>
  <c r="BA585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587" i="1"/>
  <c r="AA403" i="1"/>
  <c r="AA404" i="1" s="1"/>
  <c r="AE402" i="1"/>
  <c r="BE581" i="1"/>
  <c r="BA603" i="1"/>
  <c r="BA604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588" i="1"/>
  <c r="BA605" i="1" s="1"/>
  <c r="AA405" i="1"/>
  <c r="AE404" i="1"/>
  <c r="AE403" i="1"/>
  <c r="BE585" i="1"/>
  <c r="BE603" i="1"/>
  <c r="BE604" i="1" s="1"/>
  <c r="BR604" i="1" s="1"/>
  <c r="BP581" i="1"/>
  <c r="AC329" i="1"/>
  <c r="J330" i="1"/>
  <c r="H330" i="1"/>
  <c r="AV329" i="1"/>
  <c r="O329" i="1"/>
  <c r="AX439" i="1" l="1"/>
  <c r="BW440" i="1"/>
  <c r="BW441" i="1" s="1"/>
  <c r="BN439" i="1"/>
  <c r="BR424" i="1"/>
  <c r="BP425" i="1"/>
  <c r="BP426" i="1" s="1"/>
  <c r="BE605" i="1"/>
  <c r="AE405" i="1"/>
  <c r="AA406" i="1"/>
  <c r="AA407" i="1" s="1"/>
  <c r="BC604" i="1"/>
  <c r="BR603" i="1"/>
  <c r="BC603" i="1"/>
  <c r="D585" i="1"/>
  <c r="BG585" i="1"/>
  <c r="AC330" i="1"/>
  <c r="J331" i="1"/>
  <c r="H331" i="1"/>
  <c r="O330" i="1"/>
  <c r="AV330" i="1"/>
  <c r="AA285" i="3"/>
  <c r="AA286" i="3"/>
  <c r="AA283" i="3"/>
  <c r="AA284" i="3"/>
  <c r="AA282" i="3"/>
  <c r="AH484" i="1" l="1"/>
  <c r="AH483" i="1"/>
  <c r="AH486" i="1"/>
  <c r="AH487" i="1"/>
  <c r="AH488" i="1"/>
  <c r="AH492" i="1" s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85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AH493" i="1" l="1"/>
  <c r="BN442" i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490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1" i="1" l="1"/>
  <c r="AX481" i="1"/>
  <c r="BR469" i="1"/>
  <c r="BP470" i="1"/>
  <c r="AA450" i="1"/>
  <c r="AE449" i="1"/>
  <c r="AV363" i="1"/>
  <c r="J364" i="1"/>
  <c r="H364" i="1"/>
  <c r="O363" i="1"/>
  <c r="AC363" i="1"/>
  <c r="BP471" i="1" l="1"/>
  <c r="BR470" i="1"/>
  <c r="AE450" i="1"/>
  <c r="AA451" i="1"/>
  <c r="AC364" i="1"/>
  <c r="H365" i="1"/>
  <c r="J365" i="1"/>
  <c r="O364" i="1"/>
  <c r="AV364" i="1"/>
  <c r="BP472" i="1" l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R472" i="1" l="1"/>
  <c r="BP473" i="1"/>
  <c r="AE453" i="1"/>
  <c r="AA454" i="1"/>
  <c r="AE452" i="1"/>
  <c r="AV366" i="1"/>
  <c r="J367" i="1"/>
  <c r="H367" i="1"/>
  <c r="O366" i="1"/>
  <c r="AC366" i="1"/>
  <c r="BR473" i="1" l="1"/>
  <c r="BP474" i="1"/>
  <c r="BP475" i="1" s="1"/>
  <c r="AE454" i="1"/>
  <c r="AA455" i="1"/>
  <c r="AV367" i="1"/>
  <c r="H368" i="1"/>
  <c r="J368" i="1"/>
  <c r="O367" i="1"/>
  <c r="AC367" i="1"/>
  <c r="BR475" i="1" l="1"/>
  <c r="BP476" i="1"/>
  <c r="BR474" i="1"/>
  <c r="AA456" i="1"/>
  <c r="AA457" i="1" s="1"/>
  <c r="AE455" i="1"/>
  <c r="J369" i="1"/>
  <c r="H369" i="1"/>
  <c r="AV368" i="1"/>
  <c r="O368" i="1"/>
  <c r="AC368" i="1"/>
  <c r="BR476" i="1" l="1"/>
  <c r="BP477" i="1"/>
  <c r="AE457" i="1"/>
  <c r="AA458" i="1"/>
  <c r="AE456" i="1"/>
  <c r="AV369" i="1"/>
  <c r="J370" i="1"/>
  <c r="H370" i="1"/>
  <c r="O369" i="1"/>
  <c r="AC369" i="1"/>
  <c r="BR477" i="1" l="1"/>
  <c r="BP478" i="1"/>
  <c r="AE458" i="1"/>
  <c r="AA459" i="1"/>
  <c r="AV370" i="1"/>
  <c r="H371" i="1"/>
  <c r="J371" i="1"/>
  <c r="O370" i="1"/>
  <c r="AC370" i="1"/>
  <c r="BR478" i="1" l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R479" i="1" l="1"/>
  <c r="BP480" i="1"/>
  <c r="AA462" i="1"/>
  <c r="AE461" i="1"/>
  <c r="AE460" i="1"/>
  <c r="AV372" i="1"/>
  <c r="H373" i="1"/>
  <c r="J373" i="1"/>
  <c r="O372" i="1"/>
  <c r="AC372" i="1"/>
  <c r="BR480" i="1" l="1"/>
  <c r="BP481" i="1"/>
  <c r="AE462" i="1"/>
  <c r="AA463" i="1"/>
  <c r="AA464" i="1" s="1"/>
  <c r="AV373" i="1"/>
  <c r="J374" i="1"/>
  <c r="H374" i="1"/>
  <c r="O373" i="1"/>
  <c r="AC373" i="1"/>
  <c r="BR481" i="1" l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E465" i="1" l="1"/>
  <c r="AA466" i="1"/>
  <c r="AV375" i="1"/>
  <c r="J376" i="1"/>
  <c r="O375" i="1"/>
  <c r="H376" i="1"/>
  <c r="AC375" i="1"/>
  <c r="AA467" i="1" l="1"/>
  <c r="AA468" i="1" s="1"/>
  <c r="AE466" i="1"/>
  <c r="AV376" i="1"/>
  <c r="J377" i="1"/>
  <c r="H377" i="1"/>
  <c r="O376" i="1"/>
  <c r="AC376" i="1"/>
  <c r="AA469" i="1" l="1"/>
  <c r="AE468" i="1"/>
  <c r="AE467" i="1"/>
  <c r="AV377" i="1"/>
  <c r="J378" i="1"/>
  <c r="H378" i="1"/>
  <c r="O377" i="1"/>
  <c r="AC377" i="1"/>
  <c r="AE469" i="1" l="1"/>
  <c r="AA470" i="1"/>
  <c r="J379" i="1"/>
  <c r="H379" i="1"/>
  <c r="O378" i="1"/>
  <c r="AV378" i="1"/>
  <c r="AC378" i="1"/>
  <c r="AE470" i="1" l="1"/>
  <c r="AA471" i="1"/>
  <c r="AV379" i="1"/>
  <c r="J380" i="1"/>
  <c r="H380" i="1"/>
  <c r="O379" i="1"/>
  <c r="AC379" i="1"/>
  <c r="AE471" i="1" l="1"/>
  <c r="AA472" i="1"/>
  <c r="H381" i="1"/>
  <c r="J381" i="1"/>
  <c r="AV380" i="1"/>
  <c r="O380" i="1"/>
  <c r="AC380" i="1"/>
  <c r="AA473" i="1" l="1"/>
  <c r="AE472" i="1"/>
  <c r="AV381" i="1"/>
  <c r="J382" i="1"/>
  <c r="H382" i="1"/>
  <c r="O381" i="1"/>
  <c r="AC381" i="1"/>
  <c r="AA474" i="1" l="1"/>
  <c r="AA475" i="1" s="1"/>
  <c r="AE473" i="1"/>
  <c r="AV382" i="1"/>
  <c r="H383" i="1"/>
  <c r="J383" i="1"/>
  <c r="O382" i="1"/>
  <c r="AC382" i="1"/>
  <c r="AA476" i="1" l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A477" i="1" l="1"/>
  <c r="AE476" i="1"/>
  <c r="AV384" i="1"/>
  <c r="J385" i="1"/>
  <c r="H385" i="1"/>
  <c r="O384" i="1"/>
  <c r="AC384" i="1"/>
  <c r="AE477" i="1" l="1"/>
  <c r="AA478" i="1"/>
  <c r="AV385" i="1"/>
  <c r="J386" i="1"/>
  <c r="H386" i="1"/>
  <c r="O385" i="1"/>
  <c r="AC385" i="1"/>
  <c r="AE478" i="1" l="1"/>
  <c r="AA479" i="1"/>
  <c r="AV386" i="1"/>
  <c r="H387" i="1"/>
  <c r="J387" i="1"/>
  <c r="O386" i="1"/>
  <c r="AC386" i="1"/>
  <c r="AE479" i="1" l="1"/>
  <c r="AA480" i="1"/>
  <c r="AV387" i="1"/>
  <c r="J388" i="1"/>
  <c r="H388" i="1"/>
  <c r="O387" i="1"/>
  <c r="AC387" i="1"/>
  <c r="AE480" i="1" l="1"/>
  <c r="AA481" i="1"/>
  <c r="AV388" i="1"/>
  <c r="J389" i="1"/>
  <c r="H389" i="1"/>
  <c r="O388" i="1"/>
  <c r="AC388" i="1"/>
  <c r="AE481" i="1" l="1"/>
  <c r="AV389" i="1"/>
  <c r="O389" i="1"/>
  <c r="J390" i="1"/>
  <c r="H390" i="1"/>
  <c r="AC389" i="1"/>
  <c r="I21" i="3" l="1"/>
  <c r="I35" i="3" s="1"/>
  <c r="AJ21" i="2"/>
  <c r="AD49" i="2"/>
  <c r="AD51" i="2" s="1"/>
  <c r="AD53" i="2" s="1"/>
  <c r="AD55" i="2" s="1"/>
  <c r="AD57" i="2" s="1"/>
  <c r="J391" i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605" i="1"/>
  <c r="BR605" i="1"/>
  <c r="CL620" i="1" s="1"/>
  <c r="CL622" i="1" s="1"/>
  <c r="J418" i="1" l="1"/>
  <c r="H418" i="1"/>
  <c r="AV417" i="1"/>
  <c r="O417" i="1"/>
  <c r="AC417" i="1"/>
  <c r="CL606" i="1"/>
  <c r="BA608" i="1"/>
  <c r="BC608" i="1" s="1"/>
  <c r="CL608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I23" i="3"/>
  <c r="I25" i="3" s="1"/>
  <c r="I27" i="3" s="1"/>
  <c r="J476" i="1"/>
  <c r="H476" i="1"/>
  <c r="O475" i="1"/>
  <c r="AC475" i="1"/>
  <c r="I34" i="3" l="1"/>
  <c r="N27" i="3"/>
  <c r="N28" i="3" s="1"/>
  <c r="AV476" i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AV481" i="1" l="1"/>
  <c r="O481" i="1"/>
  <c r="AC481" i="1"/>
  <c r="AF21" i="2" l="1"/>
  <c r="I32" i="3"/>
  <c r="I36" i="3" l="1"/>
  <c r="I28" i="3"/>
  <c r="L34" i="3"/>
  <c r="L35" i="3"/>
  <c r="L32" i="3"/>
  <c r="AA442" i="3" l="1"/>
  <c r="W443" i="3"/>
  <c r="AA443" i="3" s="1"/>
  <c r="AA440" i="3"/>
  <c r="AA441" i="3"/>
  <c r="AA438" i="3"/>
  <c r="AA439" i="3"/>
  <c r="AA437" i="3"/>
  <c r="L36" i="3"/>
  <c r="Y244" i="3" l="1"/>
  <c r="Y121" i="3"/>
  <c r="Y214" i="3"/>
  <c r="Y350" i="3"/>
  <c r="Y12" i="3"/>
</calcChain>
</file>

<file path=xl/sharedStrings.xml><?xml version="1.0" encoding="utf-8"?>
<sst xmlns="http://schemas.openxmlformats.org/spreadsheetml/2006/main" count="364" uniqueCount="190">
  <si>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</si>
  <si>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</si>
  <si>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</si>
  <si>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</si>
  <si>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</si>
  <si>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</si>
  <si>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</si>
  <si>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</si>
  <si>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</si>
  <si>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</si>
  <si>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</si>
  <si>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</si>
  <si>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</si>
  <si>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</si>
  <si>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</si>
  <si>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</si>
  <si>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</si>
  <si>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</si>
  <si>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</si>
  <si>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</si>
  <si>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</si>
  <si>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</si>
  <si>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</si>
  <si>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</si>
  <si>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</si>
  <si>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</si>
  <si>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</si>
  <si>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</si>
  <si>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</si>
  <si>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</si>
  <si>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</si>
  <si>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</si>
  <si>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</si>
  <si>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</si>
  <si>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</si>
  <si>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</si>
  <si>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</si>
  <si>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</si>
  <si>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</si>
  <si>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</si>
  <si>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</si>
  <si>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</si>
  <si>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</si>
  <si>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</si>
  <si>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</si>
  <si>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</si>
  <si>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</si>
  <si>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</si>
  <si>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</si>
  <si>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</si>
  <si>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</si>
  <si>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</si>
  <si>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</si>
  <si>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</si>
  <si>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</si>
  <si>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</si>
  <si>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</si>
  <si>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</si>
  <si>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</si>
  <si>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</si>
  <si>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</si>
  <si>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</si>
  <si>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</si>
  <si>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</si>
  <si>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</si>
  <si>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</si>
  <si>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</si>
  <si>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</si>
  <si>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</si>
  <si>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</si>
  <si>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</si>
  <si>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</si>
  <si>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</si>
  <si>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</si>
  <si>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</si>
  <si>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</si>
  <si>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</si>
  <si>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</si>
  <si>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</si>
  <si>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</si>
  <si>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</si>
  <si>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</si>
  <si>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</si>
  <si>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</si>
  <si>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</si>
  <si>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</si>
  <si>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</si>
  <si>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</si>
  <si>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</si>
  <si>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</si>
  <si>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</si>
  <si>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</si>
  <si>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</si>
  <si>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</si>
  <si>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</si>
  <si>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</si>
  <si>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</si>
  <si>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</si>
  <si>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</si>
  <si>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</si>
  <si>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</si>
  <si>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</si>
  <si>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</si>
  <si>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</si>
  <si>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</si>
  <si>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</si>
  <si>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</si>
  <si>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</si>
  <si>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</si>
  <si>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</si>
  <si>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</si>
  <si>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</si>
  <si>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</si>
  <si>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</si>
  <si>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</si>
  <si>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</si>
  <si>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</si>
  <si>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</si>
  <si>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</si>
  <si>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</si>
  <si>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</si>
  <si>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</si>
  <si>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</si>
  <si>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</si>
  <si>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</si>
  <si>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</si>
  <si>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</si>
  <si>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</si>
  <si>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</si>
  <si>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</si>
  <si>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</si>
  <si>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</si>
  <si>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</si>
  <si>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</si>
  <si>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</si>
  <si>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</si>
  <si>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</si>
  <si>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</si>
  <si>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</si>
  <si>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</si>
  <si>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</si>
  <si>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</si>
  <si>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</si>
  <si>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</si>
  <si>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</si>
  <si>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</si>
  <si>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</si>
  <si>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</si>
  <si>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</si>
  <si>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</si>
  <si>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</si>
  <si>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</si>
  <si>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</si>
  <si>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</si>
  <si>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</si>
  <si>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</si>
  <si>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</si>
  <si>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</si>
  <si>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</si>
  <si>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</si>
  <si>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</si>
  <si>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</si>
  <si>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</si>
  <si>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</si>
  <si>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</si>
  <si>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</si>
  <si>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</si>
  <si>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</si>
  <si>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</si>
  <si>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</si>
  <si>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</si>
  <si>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</si>
  <si>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</si>
  <si>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</si>
  <si>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</si>
  <si>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</si>
  <si>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</si>
  <si>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</si>
  <si>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</si>
  <si>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</si>
  <si>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</si>
  <si>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</si>
  <si>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</si>
  <si>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</si>
  <si>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</si>
  <si>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</si>
  <si>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</si>
  <si>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</si>
  <si>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</si>
  <si>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July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</si>
</sst>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wrapText="1"/>
    </xf>
    <xf numFmtId="164" fontId="2" fillId="12" borderId="0" xfId="1" applyNumberFormat="1" applyFon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Table'!$BA$596:$BA$600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Table'!$AS$601:$AT$605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4</c:v>
                </c:pt>
              </c:strCache>
            </c:strRef>
          </c:cat>
          <c:val>
            <c:numRef>
              <c:f>'Main Table'!$BA$601:$BA$605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17724894.977349401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Table'!$BC$596:$BC$600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Table'!$AS$601:$AT$605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4</c:v>
                </c:pt>
              </c:strCache>
            </c:strRef>
          </c:cat>
          <c:val>
            <c:numRef>
              <c:f>'Main Table'!$BC$601:$BC$605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Table'!$BJ$596:$BJ$600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Table'!$AS$601:$AT$605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4</c:v>
                </c:pt>
              </c:strCache>
            </c:strRef>
          </c:cat>
          <c:val>
            <c:numRef>
              <c:f>'Main Table'!$BJ$601:$BJ$605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Table'!$BK$596:$BK$600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Table'!$AS$601:$AT$605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4</c:v>
                </c:pt>
              </c:strCache>
            </c:strRef>
          </c:cat>
          <c:val>
            <c:numRef>
              <c:f>'Main Table'!$BK$601:$BK$605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Table'!$BL$596:$BL$600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Table'!$AS$601:$AT$605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4</c:v>
                </c:pt>
              </c:strCache>
            </c:strRef>
          </c:cat>
          <c:val>
            <c:numRef>
              <c:f>'Main Table'!$BL$601:$BL$605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Table'!$BM$596:$BM$600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Table'!$AS$601:$AT$605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4</c:v>
                </c:pt>
              </c:strCache>
            </c:strRef>
          </c:cat>
          <c:val>
            <c:numRef>
              <c:f>'Main Table'!$BM$601:$BM$605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Table'!$BP$596:$BP$600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Table'!$AS$601:$AT$605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July 4</c:v>
                </c:pt>
              </c:strCache>
            </c:strRef>
          </c:cat>
          <c:val>
            <c:numRef>
              <c:f>'Main Table'!$BP$601:$BP$605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159270000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Table'!$AU$596:$AU$600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Table'!$AU$601:$AU$605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Table'!$AV$596:$AV$600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Table'!$AV$601:$AV$605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Table'!$AW$596:$AW$600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Table'!$AW$601:$AW$605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Table'!$AX$596:$AX$600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Table'!$AX$601:$AX$605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Table'!$AY$596:$AY$600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Table'!$AY$601:$AY$605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Table'!$AZ$596:$AZ$600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Table'!$AZ$601:$AZ$605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Table'!$BB$596:$BB$600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Table'!$BB$601:$BB$605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Table'!$BD$596:$BD$600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Table'!$BD$601:$BD$605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Table'!$BE$596:$BE$600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Table'!$BE$601:$BE$605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91595815.977349401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Table'!$BF$596:$BF$600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Table'!$BF$601:$BF$605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Table'!$BG$596:$BG$600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Table'!$BG$601:$BG$605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105850000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Table'!$BH$596:$BH$600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Table'!$BH$601:$BH$605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Table'!$BI$596:$BI$600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Table'!$BI$601:$BI$605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Table'!$BN$596:$BN$600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Table'!$BN$601:$BN$605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Table'!$BO$596:$BO$600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Table'!$BO$601:$BO$605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Table'!$BQ$596:$BQ$600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Table'!$BQ$601:$BQ$605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Table'!$BR$596:$BR$600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Table'!$BR$601:$BR$605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250865815.9773494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Table'!$BS$596:$BS$600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Table'!$BS$601:$BS$605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Table'!$BT$596:$BT$600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Table'!$BT$601:$BT$605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Table'!$BU$596:$BU$600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Table'!$BU$601:$BU$605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Table'!$BV$596:$BV$600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Table'!$AS$601:$AT$605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July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Table'!$BV$601:$BV$605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505</xdr:row>
      <xdr:rowOff>99060</xdr:rowOff>
    </xdr:from>
    <xdr:to>
      <xdr:col>22</xdr:col>
      <xdr:colOff>312420</xdr:colOff>
      <xdr:row>506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505</xdr:row>
      <xdr:rowOff>129540</xdr:rowOff>
    </xdr:from>
    <xdr:to>
      <xdr:col>23</xdr:col>
      <xdr:colOff>68580</xdr:colOff>
      <xdr:row>506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523</xdr:row>
      <xdr:rowOff>125730</xdr:rowOff>
    </xdr:from>
    <xdr:to>
      <xdr:col>54</xdr:col>
      <xdr:colOff>213360</xdr:colOff>
      <xdr:row>538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612</xdr:row>
      <xdr:rowOff>160020</xdr:rowOff>
    </xdr:from>
    <xdr:to>
      <xdr:col>76</xdr:col>
      <xdr:colOff>182880</xdr:colOff>
      <xdr:row>635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34FB2068-0D23-460F-A8A2-CA283D81EE17}"/>
            </a:ext>
          </a:extLst>
        </xdr:cNvPr>
        <xdr:cNvSpPr/>
      </xdr:nvSpPr>
      <xdr:spPr>
        <a:xfrm rot="10800000">
          <a:off x="134035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623" name="Arrow: Down 3622">
          <a:extLst>
            <a:ext uri="{FF2B5EF4-FFF2-40B4-BE49-F238E27FC236}">
              <a16:creationId xmlns:a16="http://schemas.microsoft.com/office/drawing/2014/main" id="{8E524D2C-A386-4EC6-A3CA-B80D1C823304}"/>
            </a:ext>
          </a:extLst>
        </xdr:cNvPr>
        <xdr:cNvSpPr/>
      </xdr:nvSpPr>
      <xdr:spPr>
        <a:xfrm rot="10800000">
          <a:off x="134035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36"/>
  <sheetViews>
    <sheetView tabSelected="1" topLeftCell="AK525" zoomScaleNormal="100" workbookViewId="0">
      <selection activeCell="BA621" sqref="BA62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0" t="s">
        <v>5</v>
      </c>
      <c r="C1" s="590"/>
      <c r="D1" s="590"/>
    </row>
    <row r="2" spans="2:90" ht="15.6" x14ac:dyDescent="0.3">
      <c r="B2" s="590" t="s">
        <v>6</v>
      </c>
      <c r="C2" s="590"/>
      <c r="D2" s="59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5" t="s">
        <v>13</v>
      </c>
      <c r="C3" s="595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1" t="s">
        <v>11</v>
      </c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11"/>
      <c r="AE4" s="282"/>
      <c r="AF4" s="404"/>
      <c r="AG4" s="404"/>
      <c r="AH4" s="404"/>
      <c r="AI4" s="404"/>
      <c r="AJ4" s="12"/>
      <c r="AL4" s="606" t="s">
        <v>14</v>
      </c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8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596" t="s">
        <v>12</v>
      </c>
      <c r="G6" s="596"/>
      <c r="H6" s="596"/>
      <c r="I6" s="596"/>
      <c r="J6" s="596"/>
      <c r="K6" s="596"/>
      <c r="L6" s="596"/>
      <c r="M6" s="292"/>
      <c r="N6" s="499"/>
      <c r="O6" s="292"/>
      <c r="P6" s="293"/>
      <c r="Q6" s="602" t="s">
        <v>111</v>
      </c>
      <c r="R6" s="596"/>
      <c r="S6" s="596"/>
      <c r="T6" s="596"/>
      <c r="U6" s="603"/>
      <c r="V6" s="3"/>
      <c r="W6" s="8" t="s">
        <v>7</v>
      </c>
      <c r="X6" s="30"/>
      <c r="Y6" s="597">
        <v>1.2500000000000001E-2</v>
      </c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8"/>
      <c r="AK6" s="3"/>
      <c r="AL6" s="613" t="s">
        <v>25</v>
      </c>
      <c r="AM6" s="614"/>
      <c r="AN6" s="614"/>
      <c r="AO6" s="614"/>
      <c r="AP6" s="614"/>
      <c r="AQ6" s="614"/>
      <c r="AR6" s="614"/>
      <c r="AS6" s="614"/>
      <c r="AT6" s="614"/>
      <c r="AU6" s="614"/>
      <c r="AV6" s="614"/>
      <c r="AW6" s="614"/>
      <c r="AX6" s="614"/>
      <c r="AY6" s="615"/>
      <c r="AZ6" s="3"/>
      <c r="BA6" s="616" t="s">
        <v>7</v>
      </c>
      <c r="BB6" s="610"/>
      <c r="BC6" s="610"/>
      <c r="BD6" s="85"/>
      <c r="BE6" s="609" t="s">
        <v>24</v>
      </c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10"/>
      <c r="BS6" s="610"/>
      <c r="BT6" s="610"/>
      <c r="BU6" s="611"/>
      <c r="BV6" s="3"/>
    </row>
    <row r="7" spans="2:90" ht="16.2" x14ac:dyDescent="0.3">
      <c r="D7" s="593" t="s">
        <v>20</v>
      </c>
      <c r="E7" s="594"/>
      <c r="F7" s="594"/>
      <c r="G7" s="594"/>
      <c r="H7" s="594"/>
      <c r="I7" s="594"/>
      <c r="J7" s="594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599" t="s">
        <v>33</v>
      </c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1"/>
      <c r="AK7" s="3"/>
      <c r="AL7" s="593" t="s">
        <v>68</v>
      </c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612"/>
      <c r="BA7" s="593" t="s">
        <v>23</v>
      </c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612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04" t="s">
        <v>1</v>
      </c>
      <c r="BB8" s="605"/>
      <c r="BC8" s="605"/>
      <c r="BD8" s="63"/>
      <c r="BE8" s="605" t="s">
        <v>22</v>
      </c>
      <c r="BF8" s="605"/>
      <c r="BG8" s="605"/>
      <c r="BH8" s="605"/>
      <c r="BI8" s="617"/>
      <c r="BJ8" s="618" t="s">
        <v>111</v>
      </c>
      <c r="BK8" s="619"/>
      <c r="BL8" s="619"/>
      <c r="BM8" s="620"/>
      <c r="BN8" s="604" t="s">
        <v>22</v>
      </c>
      <c r="BO8" s="605"/>
      <c r="BP8" s="605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SUM(D102:D491)</f>
        <v>31236253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SUM(D109:D498)</f>
        <v>30997872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SUM(D116:D505)</f>
        <v>31449547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SUM(D123:D515)</f>
        <v>362054677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SUM(D124:D516)</f>
        <v>361992958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SUM(D125:D517)</f>
        <v>361934609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SUM(D126:D518)</f>
        <v>361869121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SUM(D127:D519)</f>
        <v>361803073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SUM(D128:D520)</f>
        <v>361731078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SUM(D129:D521)</f>
        <v>438657690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SUM(D130:D522)</f>
        <v>438582703.23262841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SUM(D131:D523)</f>
        <v>438519444.23262841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SUM(D132:D524)</f>
        <v>769454165.23262835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SUM(D133:D525)</f>
        <v>813745286.23262835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SUM(D134:D526)</f>
        <v>813677807.30462837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SUM(D135:D527)</f>
        <v>813605840.30462837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SUM(D136:D528)</f>
        <v>813536397.34662843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SUM(D137:D529)</f>
        <v>814459363.34662843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SUM(D138:D530)</f>
        <v>814391950.34662843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SUM(D139:D531)</f>
        <v>814335820.34662843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SUM(D140:D532)</f>
        <v>814274249.34662843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SUM(D141:D533)</f>
        <v>814209520.34662843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SUM(D142:D534)</f>
        <v>814142599.34662843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SUM(D143:D535)</f>
        <v>814074030.34662843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SUM(D144:D536)</f>
        <v>814002947.34662843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SUM(D145:D537)</f>
        <v>813944406.34662843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SUM(D146:D538)</f>
        <v>813895368.34662843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SUM(D147:D539)</f>
        <v>813846722.34662843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SUM(D148:D540)</f>
        <v>813792158.34662843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SUM(D149:D541)</f>
        <v>813737010.34662843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SUM(D150:D542)</f>
        <v>813678300.34662843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SUM(D151:D543)</f>
        <v>813615054.34662843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SUM(D152:D544)</f>
        <v>813560855.34662843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SUM(D153:D545)</f>
        <v>813513006.34662843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SUM(D154:D546)</f>
        <v>813463206.34662843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SUM(D155:D547)</f>
        <v>813408687.34662843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SUM(D156:D548)</f>
        <v>813354342.34662843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SUM(D157:D549)</f>
        <v>813298978.34662843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SUM(D158:D550)</f>
        <v>813238378.34662843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SUM(D159:D551)</f>
        <v>813184855.34662843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SUM(D160:D552)</f>
        <v>813148012.34662843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SUM(D161:D553)</f>
        <v>813107400.34662843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SUM(D162:D554)</f>
        <v>813063401.34662843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SUM(D163:D555)</f>
        <v>813018428.34662843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SUM(D164:D556)</f>
        <v>812973071.34662843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SUM(D165:D557)</f>
        <v>812922590.34662843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SUM(D166:D558)</f>
        <v>812878761.34662843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SUM(D167:D559)</f>
        <v>812846043.34662843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SUM(D168:D560)</f>
        <v>812804559.34662843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SUM(D169:D561)</f>
        <v>812764461.34662843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SUM(D170:D562)</f>
        <v>812719824.34662843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SUM(D171:D563)</f>
        <v>812673818.34662843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SUM(D172:D564)</f>
        <v>812624217.34662843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SUM(D173:D565)</f>
        <v>812581557.34662843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SUM(D174:D566)</f>
        <v>812547576.34662843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SUM(D175:D567)</f>
        <v>812509016.34662843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SUM(D176:D568)</f>
        <v>812467037.34662843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SUM(D177:D569)</f>
        <v>812425826.34662843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SUM(D178:D570)</f>
        <v>812380362.34662843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SUM(D179:D571)</f>
        <v>812327513.34662843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SUM(D180:D572)</f>
        <v>812285421.34662843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SUM(D181:D573)</f>
        <v>812254311.34662843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SUM(D182:D577)</f>
        <v>812228891.34662843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SUM(D183:D578)</f>
        <v>812200452.34662843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SUM(D184:D579)</f>
        <v>812165209.34662843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SUM(D185:D580)</f>
        <v>845840684.06091416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SUM(D186:D581)</f>
        <v>896651226.91805696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SUM(D187:D582)</f>
        <v>965183373.4894855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SUM(D188:D584)</f>
        <v>965151516.4894855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SUM(D189:D585)</f>
        <v>1141624370.060914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SUM(D190:D589)</f>
        <v>1141587923.060914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SUM(D191:D590)</f>
        <v>1141547769.060914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SUM(D192:D591)</f>
        <v>1141501474.060914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SUM(D193:D592)</f>
        <v>1141450129.060914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SUM(D194:D593)</f>
        <v>1141406516.060914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SUM(D195:D594)</f>
        <v>1141373130.060914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SUM(D196:D600)</f>
        <v>1141336326.060914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SUM(D197:D601)</f>
        <v>1141300630.060914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SUM(D198:D602)</f>
        <v>1141259014.060914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SUM(D199:D603)</f>
        <v>1141213659.060914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SUM(D200:D605)</f>
        <v>1141160030.060914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SUM(D201:D606)</f>
        <v>1141116824.060914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SUM(D202:D607)</f>
        <v>1141083042.060914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SUM(D203:D608)</f>
        <v>1141045624.060914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SUM(D204:D609)</f>
        <v>1141001397.060914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SUM(D205:D610)</f>
        <v>1140960468.060914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SUM(D206:D611)</f>
        <v>1140913079.060914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SUM(D207:D612)</f>
        <v>1140861676.060914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SUM(D208:D613)</f>
        <v>1140812751.060914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SUM(D209:D614)</f>
        <v>1140778685.060914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SUM(D210:D615)</f>
        <v>1140740968.060914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SUM(D211:D616)</f>
        <v>1140696300.060914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SUM(D212:D617)</f>
        <v>1140646942.060914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SUM(D213:D618)</f>
        <v>1140589624.060914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SUM(D214:D619)</f>
        <v>1140528641.060914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SUM(D215:D620)</f>
        <v>1140474406.060914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SUM(D216:D621)</f>
        <v>1140432471.060914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SUM(D217:D622)</f>
        <v>1140386680.060914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SUM(D218:D623)</f>
        <v>1140335146.060914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SUM(D219:D624)</f>
        <v>1140275453.060914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SUM(D220:D625)</f>
        <v>1140209324.060914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SUM(D221:D626)</f>
        <v>1140137637.060914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SUM(D222:D627)</f>
        <v>1140083405.060914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SUM(D223:D628)</f>
        <v>1140038464.060914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SUM(D224:D629)</f>
        <v>1139981137.060914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SUM(D225:D630)</f>
        <v>1139919065.060914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SUM(D226:D631)</f>
        <v>1139855402.060914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SUM(D227:D632)</f>
        <v>1139781101.060914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SUM(D228:D633)</f>
        <v>1139699687.060914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SUM(D229:D634)</f>
        <v>1139620238.060914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SUM(D230:D635)</f>
        <v>1139559349.060914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SUM(D231:D636)</f>
        <v>1139489508.060914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SUM(D232:D637)</f>
        <v>1139414436.060914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SUM(D233:D638)</f>
        <v>1139332855.060914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SUM(D234:D639)</f>
        <v>1139241325.060914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SUM(D235:D640)</f>
        <v>1139139864.060914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SUM(D236:D641)</f>
        <v>1139053571.060914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SUM(D237:D642)</f>
        <v>1138982250.060914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SUM(D238:D643)</f>
        <v>1138893345.060914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SUM(D239:D644)</f>
        <v>1138798878.060914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SUM(D240:D645)</f>
        <v>1138690489.060914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SUM(D241:D646)</f>
        <v>1138572170.060914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SUM(D242:D647)</f>
        <v>1138439629.060914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SUM(D243:D648)</f>
        <v>1138315239.060914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SUM(D244:D649)</f>
        <v>1138212513.060914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SUM(D245:D650)</f>
        <v>1138086824.060914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SUM(D246:D651)</f>
        <v>1137951171.060914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SUM(D247:D652)</f>
        <v>1137808265.060914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SUM(D248:D653)</f>
        <v>1137646724.060914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SUM(D249:D654)</f>
        <v>1137463197.060914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SUM(D250:D655)</f>
        <v>1137305944.060914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SUM(D251:D656)</f>
        <v>1137167695.060914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SUM(D252:D657)</f>
        <v>1137005546.060914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SUM(D253:D658)</f>
        <v>1136848285.060914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SUM(D254:D659)</f>
        <v>1136674517.060914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SUM(D255:D660)</f>
        <v>1136482331.060914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SUM(D256:D661)</f>
        <v>1136278152.060914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SUM(D257:D662)</f>
        <v>1136105313.060914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SUM(D258:D663)</f>
        <v>1135968686.060914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SUM(D259:D664)</f>
        <v>1135796386.060914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SUM(D260:D665)</f>
        <v>1135619304.060914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SUM(D261:D666)</f>
        <v>1135438401.060914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SUM(D262:D667)</f>
        <v>1135330338.060914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SUM(D263:D668)</f>
        <v>1135166326.060914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SUM(D264:D669)</f>
        <v>1135022953.060914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SUM(D265:D670)</f>
        <v>1134884765.060914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SUM(D266:D671)</f>
        <v>1134723197.060914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SUM(D267:D672)</f>
        <v>1134540921.060914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SUM(D268:D673)</f>
        <v>1134337184.060914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SUM(D269:D674)</f>
        <v>1134118608.060914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SUM(D270:D675)</f>
        <v>1133883336.060914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SUM(D271:D676)</f>
        <v>1133670853.060914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SUM(D272:D677)</f>
        <v>1133488074.060914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SUM(D273:D678)</f>
        <v>1133287989.060914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SUM(D274:D679)</f>
        <v>1133078233.060914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SUM(D275:D680)</f>
        <v>1132851280.060914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SUM(D276:D681)</f>
        <v>1132623966.060914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SUM(D277:D682)</f>
        <v>1132377205.060914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SUM(D278:D683)</f>
        <v>1132156907.060914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SUM(D279:D684)</f>
        <v>1131969006.060914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SUM(D280:D685)</f>
        <v>1131769274.060914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SUM(D281:D686)</f>
        <v>1131569239.060914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SUM(D282:D687)</f>
        <v>1131319066.060914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SUM(D283:D688)</f>
        <v>1131081194.060914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SUM(D284:D689)</f>
        <v>1130826514.060914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SUM(D285:D690)</f>
        <v>1130636864.060914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SUM(D286:D691)</f>
        <v>1130448584.060914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SUM(D287:D692)</f>
        <v>1130248475.060914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SUM(D288:D693)</f>
        <v>1130049395.060914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SUM(D289:D694)</f>
        <v>1129817053.060914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SUM(D290:D695)</f>
        <v>1129624023.060914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SUM(D291:D696)</f>
        <v>1129525183.060914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SUM(D292:D697)</f>
        <v>1129364579.060914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SUM(D293:D698)</f>
        <v>1129236839.060914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SUM(D294:D699)</f>
        <v>1129050448.060914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SUM(D295:D700)</f>
        <v>1128850826.060914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SUM(D296:D701)</f>
        <v>1128616051.060914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SUM(D297:D702)</f>
        <v>1128387638.060914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SUM(D298:D703)</f>
        <v>1128221594.060914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SUM(D299:D704)</f>
        <v>1127989367.060914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SUM(D300:D705)</f>
        <v>1127795030.060914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SUM(D301:D706)</f>
        <v>1127604868.060914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SUM(D302:D707)</f>
        <v>1127370157.060914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SUM(D303:D708)</f>
        <v>1127109184.060914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SUM(D304:D709)</f>
        <v>1126834994.060914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SUM(D305:D710)</f>
        <v>1126528545.060914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SUM(D306:D711)</f>
        <v>1126278851.060914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SUM(D307:D712)</f>
        <v>1126058024.060914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SUM(D308:D713)</f>
        <v>1125843341.060914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SUM(D309:D714)</f>
        <v>1125619713.060914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SUM(D310:D715)</f>
        <v>1125381640.060914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SUM(D311:D716)</f>
        <v>1125147221.060914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SUM(D312:D717)</f>
        <v>1124898415.060914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SUM(D313:D718)</f>
        <v>1124695648.060914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SUM(D314:D719)</f>
        <v>1124521088.060914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SUM(D315:D720)</f>
        <v>1124371760.060914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SUM(D316:D721)</f>
        <v>1124197382.060914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SUM(D317:D722)</f>
        <v>1124007301.060914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SUM(D318:D723)</f>
        <v>1123813543.060914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SUM(D319:D724)</f>
        <v>1123621478.060914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SUM(D320:D725)</f>
        <v>1123448411.060914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SUM(D321:D726)</f>
        <v>1123313229.060914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SUM(D322:D727)</f>
        <v>1123160985.060914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SUM(D323:D728)</f>
        <v>1123009258.060914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SUM(D324:D729)</f>
        <v>1122849227.060914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SUM(D325:D730)</f>
        <v>1122686594.060914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SUM(D326:D731)</f>
        <v>1122517561.060914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SUM(D327:D732)</f>
        <v>1122376829.060914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SUM(D328:D733)</f>
        <v>1122269013.060914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SUM(D329:D734)</f>
        <v>1122142561.060914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SUM(D330:D735)</f>
        <v>1122026334.060914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SUM(D331:D736)</f>
        <v>1121912875.060914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SUM(D332:D737)</f>
        <v>1121791138.060914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SUM(D333:D738)</f>
        <v>1121665013.060914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SUM(D334:D739)</f>
        <v>1121559030.060914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SUM(D335:D740)</f>
        <v>1121467774.060914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SUM(D336:D741)</f>
        <v>1121377428.060914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SUM(D337:D742)</f>
        <v>1121281886.060914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SUM(D338:D743)</f>
        <v>1121185080.060914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SUM(D339:D744)</f>
        <v>1121080836.060914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SUM(D340:D745)</f>
        <v>1120980548.060914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SUM(D341:D746)</f>
        <v>1120894064.060914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SUM(D342:D747)</f>
        <v>1120829767.060914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SUM(D343:D748)</f>
        <v>1120776982.060914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SUM(D344:D749)</f>
        <v>1120713584.060914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SUM(D345:D750)</f>
        <v>1120641944.060914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SUM(D346:D751)</f>
        <v>1120573020.060914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SUM(D347:D752)</f>
        <v>1120487481.060914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SUM(D348:D753)</f>
        <v>1120417864.060914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SUM(D349:D754)</f>
        <v>1120360639.060914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SUM(D350:D755)</f>
        <v>1120289585.060914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SUM(D351:D756)</f>
        <v>1120215881.060914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SUM(D352:D757)</f>
        <v>1120140582.060914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SUM(D353:D758)</f>
        <v>1120063205.060914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SUM(D354:D759)</f>
        <v>1119982580.060914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SUM(D355:D760)</f>
        <v>1119918260.060914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SUM(D356:D761)</f>
        <v>1119868848.060914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SUM(D357:D762)</f>
        <v>1119813667.060914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SUM(D358:D763)</f>
        <v>1119756777.060914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SUM(D359:D764)</f>
        <v>1119689552.060914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SUM(D360:D765)</f>
        <v>1119621231.060914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SUM(D361:D766)</f>
        <v>1119551991.060914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SUM(D362:D767)</f>
        <v>1119493763.060914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SUM(D363:D768)</f>
        <v>1119451796.060914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SUM(D364:D769)</f>
        <v>1119406428.060914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SUM(D365:D770)</f>
        <v>1119350745.060914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88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SUM(D366:D771)</f>
        <v>1119289385.060914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SUM(D367:D772)</f>
        <v>1119226612.060914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SUM(D368:D773)</f>
        <v>1119159827.060914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SUM(D369:D774)</f>
        <v>1119110109.060914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SUM(D370:D775)</f>
        <v>1119073213.060914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SUM(D371:D776)</f>
        <v>1119026446.060914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SUM(D372:D777)</f>
        <v>1118973215.060914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SUM(D373:D778)</f>
        <v>1118909720.060914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SUM(D374:D779)</f>
        <v>1118847091.060914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SUM(D375:D780)</f>
        <v>1118780678.060914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SUM(D376:D781)</f>
        <v>1118724770.060914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SUM(D377:D782)</f>
        <v>1118685265.060914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SUM(D378:D783)</f>
        <v>1118639517.060914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SUM(D379:D784)</f>
        <v>1118580812.060914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SUM(D380:D785)</f>
        <v>1118514274.060914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SUM(D381:D786)</f>
        <v>1118447228.060914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SUM(D382:D787)</f>
        <v>1118370252.060914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SUM(D383:D788)</f>
        <v>1118306593.060914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SUM(D384:D789)</f>
        <v>1118262497.060914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SUM(D385:D790)</f>
        <v>1118202299.060914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SUM(D386:D791)</f>
        <v>1118139840.060914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SUM(D387:D792)</f>
        <v>1118071084.060914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SUM(D388:D793)</f>
        <v>1118026833.060914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SUM(D389:D794)</f>
        <v>1117956809.060914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SUM(D390:D795)</f>
        <v>1117890655.060914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SUM(D391:D796)</f>
        <v>1117853672.060914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SUM(D392:D797)</f>
        <v>1117796028.060914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SUM(D393:D798)</f>
        <v>1117733745.060914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SUM(D394:D799)</f>
        <v>1117658562.060914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SUM(D395:D800)</f>
        <v>1117578401.060914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SUM(D396:D801)</f>
        <v>1117493033.060914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SUM(D397:D802)</f>
        <v>1117426253.060914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SUM(D398:D803)</f>
        <v>1117378379.060914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SUM(D399:D804)</f>
        <v>1117321857.060914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SUM(D400:D805)</f>
        <v>1117244137.060914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SUM(D401:D806)</f>
        <v>1117165698.060914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SUM(D402:D807)</f>
        <v>1117091219.060914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SUM(D403:D808)</f>
        <v>1117009446.060914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SUM(D404:D809)</f>
        <v>1116945865.060914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SUM(D405:D810)</f>
        <v>1116902684.060914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SUM(D406:D811)</f>
        <v>1116851034.060914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SUM(D407:D812)</f>
        <v>1116790717.060914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SUM(D408:D813)</f>
        <v>1116725660.060914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SUM(D409:D814)</f>
        <v>1116658590.060914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SUM(D410:D815)</f>
        <v>1116592075.060914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SUM(D411:D816)</f>
        <v>1116538795.060914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SUM(D412:D817)</f>
        <v>1116504059.060914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490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SUM(D413:D818)</f>
        <v>1116456603.060914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SUM(D414:D819)</f>
        <v>1116404557.060914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SUM(D415:D820)</f>
        <v>1116347953.060914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SUM(D416:D821)</f>
        <v>1116288684.060914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SUM(D417:D822)</f>
        <v>1116228778.060914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SUM(D418:D823)</f>
        <v>1116186744.060914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SUM(D419:D824)</f>
        <v>1116156043.060914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SUM(D420:D825)</f>
        <v>1116115589.060914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SUM(D421:D826)</f>
        <v>1116073235.060914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SUM(D422:D827)</f>
        <v>1116027106.060914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SUM(D423:D828)</f>
        <v>1115979287.060914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SUM(D424:D829)</f>
        <v>1115929796.060914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SUM(D425:D830)</f>
        <v>1115894041.060914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SUM(D426:D831)</f>
        <v>1115871841.060914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SUM(D427:D832)</f>
        <v>1115841689.060914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SUM(D428:D833)</f>
        <v>1115806785.060914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SUM(D429:D834)</f>
        <v>1115770969.060914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SUM(D430:D835)</f>
        <v>1115731144.060914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SUM(D431:D836)</f>
        <v>1115692049.060914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>
        <v>11521</v>
      </c>
      <c r="E461" s="16"/>
      <c r="F461" s="16"/>
      <c r="G461" s="16"/>
      <c r="H461" s="16">
        <f t="shared" ref="H461" si="900">+H460+D461</f>
        <v>33835043</v>
      </c>
      <c r="I461" s="16"/>
      <c r="J461" s="436">
        <f t="shared" ref="J461" si="901">+D461/H460</f>
        <v>3.4062094420563298E-4</v>
      </c>
      <c r="K461" s="16"/>
      <c r="L461" s="16"/>
      <c r="M461" s="16"/>
      <c r="N461" s="16">
        <f t="shared" ref="N461" si="902">SUM(D455:D461)</f>
        <v>86885</v>
      </c>
      <c r="O461" s="16">
        <f t="shared" ref="O461" si="903">+H461/BW461</f>
        <v>74856.289823008847</v>
      </c>
      <c r="P461" s="41"/>
      <c r="Q461" s="17">
        <f t="shared" ref="Q461" si="904">SUM(D455:D461)</f>
        <v>86885</v>
      </c>
      <c r="R461" s="16"/>
      <c r="S461" s="60">
        <f t="shared" ref="S461" si="905">+(Q461-Q454)/Q454</f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ref="Z461" si="906">SUM(W456:W461)</f>
        <v>2014</v>
      </c>
      <c r="AA461" s="33">
        <f t="shared" ref="AA461" si="907">+AA460+W461</f>
        <v>600858</v>
      </c>
      <c r="AB461" s="33"/>
      <c r="AC461" s="46">
        <f t="shared" ref="AC461" si="908">+AA461/H461</f>
        <v>1.7758452383228832E-2</v>
      </c>
      <c r="AD461" s="33"/>
      <c r="AE461" s="33">
        <f t="shared" ref="AE461" si="909">+AA461/BW461</f>
        <v>1329.3318584070796</v>
      </c>
      <c r="AF461" s="50"/>
      <c r="AG461" s="33">
        <f t="shared" ref="AG461" si="910">SUM(W455:W461)</f>
        <v>2415</v>
      </c>
      <c r="AH461" s="33">
        <f t="shared" ref="AH461" si="911">SUM(D432:D837)</f>
        <v>1115666407.060914</v>
      </c>
      <c r="AI461" s="213">
        <f t="shared" ref="AI461" si="912">+(AG461-AG454)/AG454</f>
        <v>-0.12468285610728524</v>
      </c>
      <c r="AJ461" s="50"/>
      <c r="AK461" s="111"/>
      <c r="AL461" s="23">
        <f t="shared" ref="AL461" si="913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14">+AL461/AP460</f>
        <v>5.1461732642651093E-3</v>
      </c>
      <c r="AS461" s="25"/>
      <c r="AT461" s="25"/>
      <c r="AU461" s="24"/>
      <c r="AV461" s="298">
        <f t="shared" ref="AV461" si="915">+AP461/H461</f>
        <v>0.84368989866512067</v>
      </c>
      <c r="AW461" s="298"/>
      <c r="AX461" s="24">
        <f t="shared" ref="AX461" si="916">+AP461/BW461</f>
        <v>63155.495575221241</v>
      </c>
      <c r="AY461" s="308"/>
      <c r="AZ461" s="111"/>
      <c r="BA461" s="65">
        <f t="shared" ref="BA461" si="917">+BC461-BC460</f>
        <v>1054127</v>
      </c>
      <c r="BB461" s="66"/>
      <c r="BC461" s="66">
        <v>495403788</v>
      </c>
      <c r="BD461" s="66"/>
      <c r="BE461" s="66">
        <f t="shared" ref="BE461" si="918">+D461</f>
        <v>11521</v>
      </c>
      <c r="BF461" s="66"/>
      <c r="BG461" s="144">
        <f t="shared" ref="BG461" si="919">+BE461/BA461</f>
        <v>1.0929423115051603E-2</v>
      </c>
      <c r="BH461" s="66"/>
      <c r="BI461" s="170"/>
      <c r="BJ461" s="66"/>
      <c r="BK461" s="66">
        <f t="shared" ref="BK461" si="920">SUM(BA455:BA461)</f>
        <v>5670180</v>
      </c>
      <c r="BL461" s="66"/>
      <c r="BM461" s="144">
        <f t="shared" ref="BM461" si="921">+Q461/BK461</f>
        <v>1.5323146707864653E-2</v>
      </c>
      <c r="BN461" s="65">
        <f t="shared" ref="BN461" si="922">+BC461/BW461</f>
        <v>1096026.0796460176</v>
      </c>
      <c r="BO461" s="66"/>
      <c r="BP461" s="66">
        <f t="shared" ref="BP461" si="923">+BP460+BE461</f>
        <v>32928065</v>
      </c>
      <c r="BQ461" s="66"/>
      <c r="BR461" s="435">
        <f t="shared" ref="BR461" si="924">+BP461/BC461</f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424"/>
        <v>44362</v>
      </c>
      <c r="C462" s="61"/>
      <c r="D462" s="17">
        <v>12580</v>
      </c>
      <c r="E462" s="16"/>
      <c r="F462" s="16"/>
      <c r="G462" s="16"/>
      <c r="H462" s="16">
        <f t="shared" ref="H462" si="925">+H461+D462</f>
        <v>33847623</v>
      </c>
      <c r="I462" s="16"/>
      <c r="J462" s="436">
        <f t="shared" ref="J462" si="926">+D462/H461</f>
        <v>3.7180387209793112E-4</v>
      </c>
      <c r="K462" s="16"/>
      <c r="L462" s="16"/>
      <c r="M462" s="16"/>
      <c r="N462" s="16">
        <f t="shared" ref="N462" si="927">SUM(D456:D462)</f>
        <v>85923</v>
      </c>
      <c r="O462" s="16">
        <f t="shared" ref="O462" si="928">+H462/BW462</f>
        <v>74718.814569536422</v>
      </c>
      <c r="P462" s="41"/>
      <c r="Q462" s="17">
        <f t="shared" ref="Q462" si="929">SUM(D456:D462)</f>
        <v>85923</v>
      </c>
      <c r="R462" s="16"/>
      <c r="S462" s="60">
        <f t="shared" ref="S462" si="930">+(Q462-Q455)/Q455</f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ref="Z462" si="931">SUM(W457:W462)</f>
        <v>1915</v>
      </c>
      <c r="AA462" s="33">
        <f t="shared" ref="AA462" si="932">+AA461+W462</f>
        <v>601211</v>
      </c>
      <c r="AB462" s="33"/>
      <c r="AC462" s="46">
        <f t="shared" ref="AC462" si="933">+AA462/H462</f>
        <v>1.7762281268613751E-2</v>
      </c>
      <c r="AD462" s="33"/>
      <c r="AE462" s="33">
        <f t="shared" ref="AE462" si="934">+AA462/BW462</f>
        <v>1327.176600441501</v>
      </c>
      <c r="AF462" s="50"/>
      <c r="AG462" s="33">
        <f t="shared" ref="AG462" si="935">SUM(W456:W462)</f>
        <v>2367</v>
      </c>
      <c r="AH462" s="33">
        <f t="shared" ref="AH462" si="936">SUM(D433:D838)</f>
        <v>1115648573.060914</v>
      </c>
      <c r="AI462" s="213">
        <f t="shared" ref="AI462" si="937">+(AG462-AG455)/AG455</f>
        <v>-0.17612252001392273</v>
      </c>
      <c r="AJ462" s="50"/>
      <c r="AK462" s="111"/>
      <c r="AL462" s="23">
        <f t="shared" ref="AL462" si="938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39">+AL462/AP461</f>
        <v>1.1355943911999194E-3</v>
      </c>
      <c r="AS462" s="25"/>
      <c r="AT462" s="25"/>
      <c r="AU462" s="24"/>
      <c r="AV462" s="298">
        <f t="shared" ref="AV462" si="940">+AP462/H462</f>
        <v>0.84433406150854373</v>
      </c>
      <c r="AW462" s="298"/>
      <c r="AX462" s="24">
        <f t="shared" ref="AX462" si="941">+AP462/BW462</f>
        <v>63087.640176600442</v>
      </c>
      <c r="AY462" s="308"/>
      <c r="AZ462" s="111"/>
      <c r="BA462" s="65">
        <f t="shared" ref="BA462" si="942">+BC462-BC461</f>
        <v>613617</v>
      </c>
      <c r="BB462" s="66"/>
      <c r="BC462" s="66">
        <v>496017405</v>
      </c>
      <c r="BD462" s="66"/>
      <c r="BE462" s="66">
        <f t="shared" ref="BE462" si="943">+D462</f>
        <v>12580</v>
      </c>
      <c r="BF462" s="66"/>
      <c r="BG462" s="144">
        <f t="shared" ref="BG462" si="944">+BE462/BA462</f>
        <v>2.0501387673418435E-2</v>
      </c>
      <c r="BH462" s="66"/>
      <c r="BI462" s="170"/>
      <c r="BJ462" s="66"/>
      <c r="BK462" s="66">
        <f t="shared" ref="BK462" si="945">SUM(BA456:BA462)</f>
        <v>5694671</v>
      </c>
      <c r="BL462" s="66"/>
      <c r="BM462" s="144">
        <f t="shared" ref="BM462" si="946">+Q462/BK462</f>
        <v>1.5088316778967565E-2</v>
      </c>
      <c r="BN462" s="65">
        <f t="shared" ref="BN462" si="947">+BC462/BW462</f>
        <v>1094961.1589403974</v>
      </c>
      <c r="BO462" s="66"/>
      <c r="BP462" s="66">
        <f t="shared" ref="BP462" si="948">+BP461+BE462</f>
        <v>32940645</v>
      </c>
      <c r="BQ462" s="66"/>
      <c r="BR462" s="435">
        <f t="shared" ref="BR462" si="949">+BP462/BC462</f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424"/>
        <v>44363</v>
      </c>
      <c r="C463" s="61"/>
      <c r="D463" s="17">
        <v>14063</v>
      </c>
      <c r="E463" s="16"/>
      <c r="F463" s="16"/>
      <c r="G463" s="16"/>
      <c r="H463" s="16">
        <f t="shared" ref="H463" si="950">+H462+D463</f>
        <v>33861686</v>
      </c>
      <c r="I463" s="16"/>
      <c r="J463" s="436">
        <f t="shared" ref="J463" si="951">+D463/H462</f>
        <v>4.1547969262125143E-4</v>
      </c>
      <c r="K463" s="16"/>
      <c r="L463" s="16"/>
      <c r="M463" s="16"/>
      <c r="N463" s="16">
        <f t="shared" ref="N463" si="952">SUM(D457:D463)</f>
        <v>85785</v>
      </c>
      <c r="O463" s="16">
        <f t="shared" ref="O463" si="953">+H463/BW463</f>
        <v>74585.211453744487</v>
      </c>
      <c r="P463" s="41"/>
      <c r="Q463" s="17">
        <f t="shared" ref="Q463" si="954">SUM(D457:D463)</f>
        <v>85785</v>
      </c>
      <c r="R463" s="16"/>
      <c r="S463" s="60">
        <f t="shared" ref="S463" si="955">+(Q463-Q456)/Q456</f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ref="Z463" si="956">SUM(W458:W463)</f>
        <v>1868</v>
      </c>
      <c r="AA463" s="33">
        <f t="shared" ref="AA463" si="957">+AA462+W463</f>
        <v>601645</v>
      </c>
      <c r="AB463" s="33"/>
      <c r="AC463" s="46">
        <f t="shared" ref="AC463" si="958">+AA463/H463</f>
        <v>1.7767721311927588E-2</v>
      </c>
      <c r="AD463" s="33"/>
      <c r="AE463" s="33">
        <f t="shared" ref="AE463" si="959">+AA463/BW463</f>
        <v>1325.2092511013216</v>
      </c>
      <c r="AF463" s="50"/>
      <c r="AG463" s="33">
        <f t="shared" ref="AG463" si="960">SUM(W457:W463)</f>
        <v>2349</v>
      </c>
      <c r="AH463" s="33">
        <f t="shared" ref="AH463" si="961">SUM(D434:D839)</f>
        <v>1115623543.060914</v>
      </c>
      <c r="AI463" s="213">
        <f t="shared" ref="AI463" si="962">+(AG463-AG456)/AG456</f>
        <v>-0.16435432230522945</v>
      </c>
      <c r="AJ463" s="50"/>
      <c r="AK463" s="111"/>
      <c r="AL463" s="23">
        <f t="shared" ref="AL463" si="963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64">+AL463/AP462</f>
        <v>1.3224533893265477E-3</v>
      </c>
      <c r="AS463" s="25"/>
      <c r="AT463" s="25"/>
      <c r="AU463" s="24"/>
      <c r="AV463" s="298">
        <f t="shared" ref="AV463" si="965">+AP463/H463</f>
        <v>0.84509953225601353</v>
      </c>
      <c r="AW463" s="298"/>
      <c r="AX463" s="24">
        <f t="shared" ref="AX463" si="966">+AP463/BW463</f>
        <v>63031.927312775333</v>
      </c>
      <c r="AY463" s="308"/>
      <c r="AZ463" s="111"/>
      <c r="BA463" s="65">
        <f t="shared" ref="BA463" si="967">+BC463-BC462</f>
        <v>607828</v>
      </c>
      <c r="BB463" s="66"/>
      <c r="BC463" s="66">
        <v>496625233</v>
      </c>
      <c r="BD463" s="66"/>
      <c r="BE463" s="66">
        <f t="shared" ref="BE463" si="968">+D463</f>
        <v>14063</v>
      </c>
      <c r="BF463" s="66"/>
      <c r="BG463" s="144">
        <f t="shared" ref="BG463" si="969">+BE463/BA463</f>
        <v>2.3136479398777287E-2</v>
      </c>
      <c r="BH463" s="66"/>
      <c r="BI463" s="170"/>
      <c r="BJ463" s="66"/>
      <c r="BK463" s="66">
        <f t="shared" ref="BK463" si="970">SUM(BA457:BA463)</f>
        <v>5543952</v>
      </c>
      <c r="BL463" s="66"/>
      <c r="BM463" s="144">
        <f t="shared" ref="BM463" si="971">+Q463/BK463</f>
        <v>1.5473618819210557E-2</v>
      </c>
      <c r="BN463" s="65">
        <f t="shared" ref="BN463" si="972">+BC463/BW463</f>
        <v>1093888.1784140968</v>
      </c>
      <c r="BO463" s="66"/>
      <c r="BP463" s="66">
        <f t="shared" ref="BP463" si="973">+BP462+BE463</f>
        <v>32954708</v>
      </c>
      <c r="BQ463" s="66"/>
      <c r="BR463" s="435">
        <f t="shared" ref="BR463" si="974">+BP463/BC463</f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424"/>
        <v>44364</v>
      </c>
      <c r="C464" s="61"/>
      <c r="D464" s="17">
        <v>13733</v>
      </c>
      <c r="E464" s="16"/>
      <c r="F464" s="16"/>
      <c r="G464" s="16"/>
      <c r="H464" s="16">
        <f t="shared" ref="H464" si="975">+H463+D464</f>
        <v>33875419</v>
      </c>
      <c r="I464" s="16"/>
      <c r="J464" s="436">
        <f t="shared" ref="J464" si="976">+D464/H463</f>
        <v>4.0556161320496562E-4</v>
      </c>
      <c r="K464" s="16"/>
      <c r="L464" s="16"/>
      <c r="M464" s="16"/>
      <c r="N464" s="16">
        <f t="shared" ref="N464" si="977">SUM(D458:D464)</f>
        <v>82754</v>
      </c>
      <c r="O464" s="16">
        <f t="shared" ref="O464" si="978">+H464/BW464</f>
        <v>74451.470329670323</v>
      </c>
      <c r="P464" s="41"/>
      <c r="Q464" s="17">
        <f t="shared" ref="Q464" si="979">SUM(D458:D464)</f>
        <v>82754</v>
      </c>
      <c r="R464" s="16"/>
      <c r="S464" s="60">
        <f t="shared" ref="S464" si="980">+(Q464-Q457)/Q457</f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ref="Z464" si="981">SUM(W459:W464)</f>
        <v>1822</v>
      </c>
      <c r="AA464" s="33">
        <f t="shared" ref="AA464" si="982">+AA463+W464</f>
        <v>602020</v>
      </c>
      <c r="AB464" s="33"/>
      <c r="AC464" s="46">
        <f t="shared" ref="AC464" si="983">+AA464/H464</f>
        <v>1.7771588301239906E-2</v>
      </c>
      <c r="AD464" s="33"/>
      <c r="AE464" s="33">
        <f t="shared" ref="AE464" si="984">+AA464/BW464</f>
        <v>1323.1208791208792</v>
      </c>
      <c r="AF464" s="50"/>
      <c r="AG464" s="33">
        <f t="shared" ref="AG464" si="985">SUM(W458:W464)</f>
        <v>2243</v>
      </c>
      <c r="AH464" s="33">
        <f t="shared" ref="AH464" si="986">SUM(D435:D840)</f>
        <v>1115596037.060914</v>
      </c>
      <c r="AI464" s="213">
        <f t="shared" ref="AI464" si="987">+(AG464-AG457)/AG457</f>
        <v>-0.17476085356880058</v>
      </c>
      <c r="AJ464" s="50"/>
      <c r="AK464" s="111"/>
      <c r="AL464" s="23">
        <f t="shared" ref="AL464" si="988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89">+AL464/AP463</f>
        <v>1.0241645596359723E-3</v>
      </c>
      <c r="AS464" s="25"/>
      <c r="AT464" s="25"/>
      <c r="AU464" s="24"/>
      <c r="AV464" s="298">
        <f t="shared" ref="AV464" si="990">+AP464/H464</f>
        <v>0.84562210138271643</v>
      </c>
      <c r="AW464" s="298"/>
      <c r="AX464" s="24">
        <f t="shared" ref="AX464" si="991">+AP464/BW464</f>
        <v>62957.808791208794</v>
      </c>
      <c r="AY464" s="308"/>
      <c r="AZ464" s="111"/>
      <c r="BA464" s="65">
        <f t="shared" ref="BA464" si="992">+BC464-BC463</f>
        <v>784478</v>
      </c>
      <c r="BB464" s="66"/>
      <c r="BC464" s="66">
        <v>497409711</v>
      </c>
      <c r="BD464" s="66"/>
      <c r="BE464" s="66">
        <f t="shared" ref="BE464" si="993">+D464</f>
        <v>13733</v>
      </c>
      <c r="BF464" s="66"/>
      <c r="BG464" s="144">
        <f t="shared" ref="BG464" si="994">+BE464/BA464</f>
        <v>1.750590838748824E-2</v>
      </c>
      <c r="BH464" s="66"/>
      <c r="BI464" s="170"/>
      <c r="BJ464" s="66"/>
      <c r="BK464" s="66">
        <f t="shared" ref="BK464" si="995">SUM(BA458:BA464)</f>
        <v>5409711</v>
      </c>
      <c r="BL464" s="66"/>
      <c r="BM464" s="144">
        <f t="shared" ref="BM464" si="996">+Q464/BK464</f>
        <v>1.5297305161033557E-2</v>
      </c>
      <c r="BN464" s="65">
        <f t="shared" ref="BN464" si="997">+BC464/BW464</f>
        <v>1093208.1560439561</v>
      </c>
      <c r="BO464" s="66"/>
      <c r="BP464" s="66">
        <f t="shared" ref="BP464" si="998">+BP463+BE464</f>
        <v>32968441</v>
      </c>
      <c r="BQ464" s="66"/>
      <c r="BR464" s="435">
        <f t="shared" ref="BR464" si="999">+BP464/BC464</f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424"/>
        <v>44365</v>
      </c>
      <c r="C465" s="61"/>
      <c r="D465" s="17">
        <v>13389</v>
      </c>
      <c r="E465" s="16"/>
      <c r="F465" s="16"/>
      <c r="G465" s="16"/>
      <c r="H465" s="16">
        <f t="shared" ref="H465" si="1000">+H464+D465</f>
        <v>33888808</v>
      </c>
      <c r="I465" s="16"/>
      <c r="J465" s="436">
        <f t="shared" ref="J465" si="1001">+D465/H464</f>
        <v>3.952423437183168E-4</v>
      </c>
      <c r="K465" s="16"/>
      <c r="L465" s="16"/>
      <c r="M465" s="16"/>
      <c r="N465" s="16">
        <f t="shared" ref="N465" si="1002">SUM(D459:D465)</f>
        <v>79998</v>
      </c>
      <c r="O465" s="16">
        <f t="shared" ref="O465" si="1003">+H465/BW465</f>
        <v>74317.561403508778</v>
      </c>
      <c r="P465" s="41"/>
      <c r="Q465" s="17">
        <f t="shared" ref="Q465" si="1004">SUM(D459:D465)</f>
        <v>79998</v>
      </c>
      <c r="R465" s="16"/>
      <c r="S465" s="60">
        <f t="shared" ref="S465" si="1005">+(Q465-Q458)/Q458</f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ref="Z465" si="1006">SUM(W460:W465)</f>
        <v>1907</v>
      </c>
      <c r="AA465" s="33">
        <f t="shared" ref="AA465" si="1007">+AA464+W465</f>
        <v>602413</v>
      </c>
      <c r="AB465" s="33"/>
      <c r="AC465" s="46">
        <f t="shared" ref="AC465" si="1008">+AA465/H465</f>
        <v>1.7776163741138374E-2</v>
      </c>
      <c r="AD465" s="33"/>
      <c r="AE465" s="33">
        <f t="shared" ref="AE465" si="1009">+AA465/BW465</f>
        <v>1321.0811403508771</v>
      </c>
      <c r="AF465" s="50"/>
      <c r="AG465" s="33">
        <f t="shared" ref="AG465" si="1010">SUM(W459:W465)</f>
        <v>2215</v>
      </c>
      <c r="AH465" s="33">
        <f t="shared" ref="AH465" si="1011">SUM(D436:D841)</f>
        <v>1115567496.060914</v>
      </c>
      <c r="AI465" s="213">
        <f t="shared" ref="AI465" si="1012">+(AG465-AG458)/AG458</f>
        <v>-0.15425735013363878</v>
      </c>
      <c r="AJ465" s="50"/>
      <c r="AK465" s="111"/>
      <c r="AL465" s="23">
        <f t="shared" ref="AL465" si="1013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14">+AL465/AP464</f>
        <v>1.0516723863527233E-3</v>
      </c>
      <c r="AS465" s="25"/>
      <c r="AT465" s="25"/>
      <c r="AU465" s="24"/>
      <c r="AV465" s="298">
        <f t="shared" ref="AV465" si="1015">+AP465/H465</f>
        <v>0.8461769738256949</v>
      </c>
      <c r="AW465" s="298"/>
      <c r="AX465" s="24">
        <f t="shared" ref="AX465" si="1016">+AP465/BW465</f>
        <v>62885.809210526313</v>
      </c>
      <c r="AY465" s="308"/>
      <c r="AZ465" s="111"/>
      <c r="BA465" s="65">
        <f t="shared" ref="BA465" si="1017">+BC465-BC464</f>
        <v>820364</v>
      </c>
      <c r="BB465" s="66"/>
      <c r="BC465" s="66">
        <v>498230075</v>
      </c>
      <c r="BD465" s="66"/>
      <c r="BE465" s="66">
        <f t="shared" ref="BE465" si="1018">+D465</f>
        <v>13389</v>
      </c>
      <c r="BF465" s="66"/>
      <c r="BG465" s="144">
        <f t="shared" ref="BG465" si="1019">+BE465/BA465</f>
        <v>1.6320803935813859E-2</v>
      </c>
      <c r="BH465" s="66"/>
      <c r="BI465" s="170"/>
      <c r="BJ465" s="66"/>
      <c r="BK465" s="66">
        <f t="shared" ref="BK465" si="1020">SUM(BA459:BA465)</f>
        <v>4983961</v>
      </c>
      <c r="BL465" s="66"/>
      <c r="BM465" s="144">
        <f t="shared" ref="BM465" si="1021">+Q465/BK465</f>
        <v>1.6051088682275002E-2</v>
      </c>
      <c r="BN465" s="65">
        <f t="shared" ref="BN465" si="1022">+BC465/BW465</f>
        <v>1092609.8135964912</v>
      </c>
      <c r="BO465" s="66"/>
      <c r="BP465" s="66">
        <f t="shared" ref="BP465" si="1023">+BP464+BE465</f>
        <v>32981830</v>
      </c>
      <c r="BQ465" s="66"/>
      <c r="BR465" s="435">
        <f t="shared" ref="BR465" si="1024">+BP465/BC465</f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424"/>
        <v>44366</v>
      </c>
      <c r="C466" s="61"/>
      <c r="D466" s="17">
        <v>7782</v>
      </c>
      <c r="E466" s="16"/>
      <c r="F466" s="16"/>
      <c r="G466" s="16"/>
      <c r="H466" s="16">
        <f t="shared" ref="H466" si="1025">+H465+D466</f>
        <v>33896590</v>
      </c>
      <c r="I466" s="16"/>
      <c r="J466" s="436">
        <f t="shared" ref="J466" si="1026">+D466/H465</f>
        <v>2.2963333499366516E-4</v>
      </c>
      <c r="K466" s="16"/>
      <c r="L466" s="16"/>
      <c r="M466" s="16"/>
      <c r="N466" s="16">
        <f t="shared" ref="N466" si="1027">SUM(D460:D466)</f>
        <v>78353</v>
      </c>
      <c r="O466" s="16">
        <f t="shared" ref="O466" si="1028">+H466/BW466</f>
        <v>74171.969365426703</v>
      </c>
      <c r="P466" s="41"/>
      <c r="Q466" s="17">
        <f t="shared" ref="Q466" si="1029">SUM(D460:D466)</f>
        <v>78353</v>
      </c>
      <c r="R466" s="16"/>
      <c r="S466" s="60">
        <f t="shared" ref="S466" si="1030">+(Q466-Q459)/Q459</f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ref="Z466" si="1031">SUM(W461:W466)</f>
        <v>1977</v>
      </c>
      <c r="AA466" s="33">
        <f t="shared" ref="AA466" si="1032">+AA465+W466</f>
        <v>602583</v>
      </c>
      <c r="AB466" s="33"/>
      <c r="AC466" s="46">
        <f t="shared" ref="AC466" si="1033">+AA466/H466</f>
        <v>1.7777097932269881E-2</v>
      </c>
      <c r="AD466" s="33"/>
      <c r="AE466" s="33">
        <f t="shared" ref="AE466" si="1034">+AA466/BW466</f>
        <v>1318.562363238512</v>
      </c>
      <c r="AF466" s="50"/>
      <c r="AG466" s="33">
        <f t="shared" ref="AG466" si="1035">SUM(W460:W466)</f>
        <v>2077</v>
      </c>
      <c r="AH466" s="33">
        <f t="shared" ref="AH466" si="1036">SUM(D437:D842)</f>
        <v>1115537282.060914</v>
      </c>
      <c r="AI466" s="213">
        <f t="shared" ref="AI466" si="1037">+(AG466-AG459)/AG459</f>
        <v>-0.18196140212682158</v>
      </c>
      <c r="AJ466" s="50"/>
      <c r="AK466" s="111"/>
      <c r="AL466" s="23">
        <f t="shared" ref="AL466" si="1038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39">+AL466/AP465</f>
        <v>6.5957758508887368E-4</v>
      </c>
      <c r="AS466" s="25"/>
      <c r="AT466" s="25"/>
      <c r="AU466" s="24"/>
      <c r="AV466" s="298">
        <f t="shared" ref="AV466" si="1040">+AP466/H466</f>
        <v>0.84654069922667741</v>
      </c>
      <c r="AW466" s="298"/>
      <c r="AX466" s="24">
        <f t="shared" ref="AX466" si="1041">+AP466/BW466</f>
        <v>62789.590809628011</v>
      </c>
      <c r="AY466" s="308"/>
      <c r="AZ466" s="111"/>
      <c r="BA466" s="65">
        <f t="shared" ref="BA466" si="1042">+BC466-BC465</f>
        <v>459136</v>
      </c>
      <c r="BB466" s="66"/>
      <c r="BC466" s="66">
        <v>498689211</v>
      </c>
      <c r="BD466" s="66"/>
      <c r="BE466" s="66">
        <f t="shared" ref="BE466" si="1043">+D466</f>
        <v>7782</v>
      </c>
      <c r="BF466" s="66"/>
      <c r="BG466" s="144">
        <f t="shared" ref="BG466" si="1044">+BE466/BA466</f>
        <v>1.6949226373013659E-2</v>
      </c>
      <c r="BH466" s="66"/>
      <c r="BI466" s="170"/>
      <c r="BJ466" s="66"/>
      <c r="BK466" s="66">
        <f t="shared" ref="BK466" si="1045">SUM(BA460:BA466)</f>
        <v>4794358</v>
      </c>
      <c r="BL466" s="66"/>
      <c r="BM466" s="144">
        <f t="shared" ref="BM466" si="1046">+Q466/BK466</f>
        <v>1.6342751208816696E-2</v>
      </c>
      <c r="BN466" s="65">
        <f t="shared" ref="BN466" si="1047">+BC466/BW466</f>
        <v>1091223.6564551422</v>
      </c>
      <c r="BO466" s="66"/>
      <c r="BP466" s="66">
        <f t="shared" ref="BP466" si="1048">+BP465+BE466</f>
        <v>32989612</v>
      </c>
      <c r="BQ466" s="66"/>
      <c r="BR466" s="435">
        <f t="shared" ref="BR466" si="1049">+BP466/BC466</f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424"/>
        <v>44367</v>
      </c>
      <c r="C467" s="61"/>
      <c r="D467" s="17">
        <v>4422</v>
      </c>
      <c r="E467" s="16"/>
      <c r="F467" s="16"/>
      <c r="G467" s="16"/>
      <c r="H467" s="16">
        <f t="shared" ref="H467" si="1050">+H466+D467</f>
        <v>33901012</v>
      </c>
      <c r="I467" s="16"/>
      <c r="J467" s="436">
        <f t="shared" ref="J467" si="1051">+D467/H466</f>
        <v>1.3045560040110229E-4</v>
      </c>
      <c r="K467" s="16"/>
      <c r="L467" s="16"/>
      <c r="M467" s="16"/>
      <c r="N467" s="16">
        <f t="shared" ref="N467" si="1052">SUM(D461:D467)</f>
        <v>77490</v>
      </c>
      <c r="O467" s="16">
        <f t="shared" ref="O467" si="1053">+H467/BW467</f>
        <v>74019.676855895203</v>
      </c>
      <c r="P467" s="41"/>
      <c r="Q467" s="17">
        <f t="shared" ref="Q467" si="1054">SUM(D461:D467)</f>
        <v>77490</v>
      </c>
      <c r="R467" s="16"/>
      <c r="S467" s="60">
        <f t="shared" ref="S467" si="1055">+(Q467-Q460)/Q460</f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ref="Z467" si="1056">SUM(W462:W467)</f>
        <v>1811</v>
      </c>
      <c r="AA467" s="33">
        <f t="shared" ref="AA467" si="1057">+AA466+W467</f>
        <v>602669</v>
      </c>
      <c r="AB467" s="33"/>
      <c r="AC467" s="46">
        <f t="shared" ref="AC467" si="1058">+AA467/H467</f>
        <v>1.7777315910215304E-2</v>
      </c>
      <c r="AD467" s="33"/>
      <c r="AE467" s="33">
        <f t="shared" ref="AE467" si="1059">+AA467/BW467</f>
        <v>1315.8711790393013</v>
      </c>
      <c r="AF467" s="50"/>
      <c r="AG467" s="33">
        <f t="shared" ref="AG467" si="1060">SUM(W461:W467)</f>
        <v>2063</v>
      </c>
      <c r="AH467" s="33">
        <f t="shared" ref="AH467" si="1061">SUM(D438:D843)</f>
        <v>1115508268.060914</v>
      </c>
      <c r="AI467" s="213">
        <f t="shared" ref="AI467" si="1062">+(AG467-AG460)/AG460</f>
        <v>-0.16646464646464645</v>
      </c>
      <c r="AJ467" s="50"/>
      <c r="AK467" s="111"/>
      <c r="AL467" s="23">
        <f t="shared" ref="AL467" si="1063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64">+AL467/AP466</f>
        <v>5.7404042949459597E-4</v>
      </c>
      <c r="AS467" s="25"/>
      <c r="AT467" s="25"/>
      <c r="AU467" s="24"/>
      <c r="AV467" s="298">
        <f t="shared" ref="AV467" si="1065">+AP467/H467</f>
        <v>0.84691616285673121</v>
      </c>
      <c r="AW467" s="298"/>
      <c r="AX467" s="24">
        <f t="shared" ref="AX467" si="1066">+AP467/BW467</f>
        <v>62688.46069868996</v>
      </c>
      <c r="AY467" s="308"/>
      <c r="AZ467" s="111"/>
      <c r="BA467" s="65">
        <f t="shared" ref="BA467" si="1067">+BC467-BC466</f>
        <v>372514</v>
      </c>
      <c r="BB467" s="66"/>
      <c r="BC467" s="66">
        <v>499061725</v>
      </c>
      <c r="BD467" s="66"/>
      <c r="BE467" s="66">
        <f t="shared" ref="BE467" si="1068">+D467</f>
        <v>4422</v>
      </c>
      <c r="BF467" s="66"/>
      <c r="BG467" s="144">
        <f t="shared" ref="BG467" si="1069">+BE467/BA467</f>
        <v>1.1870694792678932E-2</v>
      </c>
      <c r="BH467" s="66"/>
      <c r="BI467" s="170"/>
      <c r="BJ467" s="66"/>
      <c r="BK467" s="66">
        <f t="shared" ref="BK467" si="1070">SUM(BA461:BA467)</f>
        <v>4712064</v>
      </c>
      <c r="BL467" s="66"/>
      <c r="BM467" s="144">
        <f t="shared" ref="BM467" si="1071">+Q467/BK467</f>
        <v>1.6445022818026241E-2</v>
      </c>
      <c r="BN467" s="65">
        <f t="shared" ref="BN467" si="1072">+BC467/BW467</f>
        <v>1089654.4213973798</v>
      </c>
      <c r="BO467" s="66"/>
      <c r="BP467" s="66">
        <f t="shared" ref="BP467" si="1073">+BP466+BE467</f>
        <v>32994034</v>
      </c>
      <c r="BQ467" s="66"/>
      <c r="BR467" s="435">
        <f t="shared" ref="BR467" si="1074">+BP467/BC467</f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424"/>
        <v>44368</v>
      </c>
      <c r="C468" s="61"/>
      <c r="D468" s="17">
        <v>9755</v>
      </c>
      <c r="E468" s="16"/>
      <c r="F468" s="16"/>
      <c r="G468" s="16"/>
      <c r="H468" s="16">
        <f t="shared" ref="H468" si="1075">+H467+D468</f>
        <v>33910767</v>
      </c>
      <c r="I468" s="16"/>
      <c r="J468" s="436">
        <f t="shared" ref="J468" si="1076">+D468/H467</f>
        <v>2.8774952204966626E-4</v>
      </c>
      <c r="K468" s="16"/>
      <c r="L468" s="16"/>
      <c r="M468" s="16"/>
      <c r="N468" s="16">
        <f t="shared" ref="N468" si="1077">SUM(D462:D468)</f>
        <v>75724</v>
      </c>
      <c r="O468" s="16">
        <f t="shared" ref="O468" si="1078">+H468/BW468</f>
        <v>73879.666666666672</v>
      </c>
      <c r="P468" s="41"/>
      <c r="Q468" s="17">
        <f t="shared" ref="Q468" si="1079">SUM(D462:D468)</f>
        <v>75724</v>
      </c>
      <c r="R468" s="16"/>
      <c r="S468" s="60">
        <f t="shared" ref="S468" si="1080">+(Q468-Q461)/Q461</f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ref="Z468" si="1081">SUM(W463:W468)</f>
        <v>1695</v>
      </c>
      <c r="AA468" s="33">
        <f t="shared" ref="AA468" si="1082">+AA467+W468</f>
        <v>602906</v>
      </c>
      <c r="AB468" s="33"/>
      <c r="AC468" s="46">
        <f t="shared" ref="AC468" si="1083">+AA468/H468</f>
        <v>1.7779190898277234E-2</v>
      </c>
      <c r="AD468" s="33"/>
      <c r="AE468" s="33">
        <f t="shared" ref="AE468" si="1084">+AA468/BW468</f>
        <v>1313.520697167756</v>
      </c>
      <c r="AF468" s="50"/>
      <c r="AG468" s="33">
        <f t="shared" ref="AG468" si="1085">SUM(W462:W468)</f>
        <v>2048</v>
      </c>
      <c r="AH468" s="33">
        <f t="shared" ref="AH468" si="1086">SUM(D439:D844)</f>
        <v>1115488629.060914</v>
      </c>
      <c r="AI468" s="213">
        <f t="shared" ref="AI468" si="1087">+(AG468-AG461)/AG461</f>
        <v>-0.15196687370600415</v>
      </c>
      <c r="AJ468" s="50"/>
      <c r="AK468" s="111"/>
      <c r="AL468" s="23">
        <f t="shared" ref="AL468" si="1088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89">+AL468/AP467</f>
        <v>2.8150922380253221E-3</v>
      </c>
      <c r="AS468" s="25"/>
      <c r="AT468" s="25"/>
      <c r="AU468" s="24"/>
      <c r="AV468" s="298">
        <f t="shared" ref="AV468" si="1090">+AP468/H468</f>
        <v>0.84905599451643188</v>
      </c>
      <c r="AW468" s="298"/>
      <c r="AX468" s="24">
        <f t="shared" ref="AX468" si="1091">+AP468/BW468</f>
        <v>62727.973856209152</v>
      </c>
      <c r="AY468" s="308"/>
      <c r="AZ468" s="111"/>
      <c r="BA468" s="65">
        <f t="shared" ref="BA468" si="1092">+BC468-BC467</f>
        <v>1247281</v>
      </c>
      <c r="BB468" s="66"/>
      <c r="BC468" s="66">
        <v>500309006</v>
      </c>
      <c r="BD468" s="66"/>
      <c r="BE468" s="66">
        <f t="shared" ref="BE468" si="1093">+D468</f>
        <v>9755</v>
      </c>
      <c r="BF468" s="66"/>
      <c r="BG468" s="144">
        <f t="shared" ref="BG468" si="1094">+BE468/BA468</f>
        <v>7.8210122658807432E-3</v>
      </c>
      <c r="BH468" s="66"/>
      <c r="BI468" s="170"/>
      <c r="BJ468" s="66"/>
      <c r="BK468" s="66">
        <f t="shared" ref="BK468" si="1095">SUM(BA462:BA468)</f>
        <v>4905218</v>
      </c>
      <c r="BL468" s="66"/>
      <c r="BM468" s="144">
        <f t="shared" ref="BM468" si="1096">+Q468/BK468</f>
        <v>1.5437438254528138E-2</v>
      </c>
      <c r="BN468" s="65">
        <f t="shared" ref="BN468" si="1097">+BC468/BW468</f>
        <v>1089997.834422658</v>
      </c>
      <c r="BO468" s="66"/>
      <c r="BP468" s="66">
        <f t="shared" ref="BP468" si="1098">+BP467+BE468</f>
        <v>33003789</v>
      </c>
      <c r="BQ468" s="66"/>
      <c r="BR468" s="435">
        <f t="shared" ref="BR468" si="1099">+BP468/BC468</f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424"/>
        <v>44369</v>
      </c>
      <c r="C469" s="61"/>
      <c r="D469" s="17">
        <v>12874</v>
      </c>
      <c r="E469" s="16"/>
      <c r="F469" s="16"/>
      <c r="G469" s="16"/>
      <c r="H469" s="16">
        <f t="shared" ref="H469" si="1100">+H468+D469</f>
        <v>33923641</v>
      </c>
      <c r="I469" s="16"/>
      <c r="J469" s="436">
        <f t="shared" ref="J469" si="1101">+D469/H468</f>
        <v>3.7964343301347326E-4</v>
      </c>
      <c r="K469" s="16"/>
      <c r="L469" s="16"/>
      <c r="M469" s="16"/>
      <c r="N469" s="16">
        <f t="shared" ref="N469" si="1102">SUM(D463:D469)</f>
        <v>76018</v>
      </c>
      <c r="O469" s="16">
        <f t="shared" ref="O469" si="1103">+H469/BW469</f>
        <v>73747.045652173911</v>
      </c>
      <c r="P469" s="41"/>
      <c r="Q469" s="17">
        <f t="shared" ref="Q469" si="1104">SUM(D463:D469)</f>
        <v>76018</v>
      </c>
      <c r="R469" s="16"/>
      <c r="S469" s="60">
        <f t="shared" ref="S469" si="1105">+(Q469-Q462)/Q462</f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ref="Z469" si="1106">SUM(W464:W469)</f>
        <v>1692</v>
      </c>
      <c r="AA469" s="33">
        <f t="shared" ref="AA469" si="1107">+AA468+W469</f>
        <v>603337</v>
      </c>
      <c r="AB469" s="33"/>
      <c r="AC469" s="46">
        <f t="shared" ref="AC469" si="1108">+AA469/H469</f>
        <v>1.7785148710894566E-2</v>
      </c>
      <c r="AD469" s="33"/>
      <c r="AE469" s="33">
        <f t="shared" ref="AE469" si="1109">+AA469/BW469</f>
        <v>1311.6021739130435</v>
      </c>
      <c r="AF469" s="50"/>
      <c r="AG469" s="33">
        <f t="shared" ref="AG469" si="1110">SUM(W463:W469)</f>
        <v>2126</v>
      </c>
      <c r="AH469" s="33">
        <f t="shared" ref="AH469" si="1111">SUM(D440:D845)</f>
        <v>1115475088.060914</v>
      </c>
      <c r="AI469" s="213">
        <f t="shared" ref="AI469" si="1112">+(AG469-AG462)/AG462</f>
        <v>-0.10181664554288128</v>
      </c>
      <c r="AJ469" s="50"/>
      <c r="AK469" s="111"/>
      <c r="AL469" s="23">
        <f t="shared" ref="AL469" si="1113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14">+AL469/AP468</f>
        <v>1.0292739615742352E-3</v>
      </c>
      <c r="AS469" s="25"/>
      <c r="AT469" s="25"/>
      <c r="AU469" s="24"/>
      <c r="AV469" s="298">
        <f t="shared" ref="AV469" si="1115">+AP469/H469</f>
        <v>0.84960735788944353</v>
      </c>
      <c r="AW469" s="298"/>
      <c r="AX469" s="24">
        <f t="shared" ref="AX469" si="1116">+AP469/BW469</f>
        <v>62656.032608695656</v>
      </c>
      <c r="AY469" s="308"/>
      <c r="AZ469" s="111"/>
      <c r="BA469" s="65">
        <f t="shared" ref="BA469" si="1117">+BC469-BC468</f>
        <v>481846</v>
      </c>
      <c r="BB469" s="66"/>
      <c r="BC469" s="66">
        <v>500790852</v>
      </c>
      <c r="BD469" s="66"/>
      <c r="BE469" s="66">
        <f t="shared" ref="BE469" si="1118">+D469</f>
        <v>12874</v>
      </c>
      <c r="BF469" s="66"/>
      <c r="BG469" s="144">
        <f t="shared" ref="BG469" si="1119">+BE469/BA469</f>
        <v>2.6718080050472558E-2</v>
      </c>
      <c r="BH469" s="66"/>
      <c r="BI469" s="170"/>
      <c r="BJ469" s="66"/>
      <c r="BK469" s="66">
        <f t="shared" ref="BK469" si="1120">SUM(BA463:BA469)</f>
        <v>4773447</v>
      </c>
      <c r="BL469" s="66"/>
      <c r="BM469" s="144">
        <f t="shared" ref="BM469" si="1121">+Q469/BK469</f>
        <v>1.5925179435322106E-2</v>
      </c>
      <c r="BN469" s="65">
        <f t="shared" ref="BN469" si="1122">+BC469/BW469</f>
        <v>1088675.7652173913</v>
      </c>
      <c r="BO469" s="66"/>
      <c r="BP469" s="66">
        <f t="shared" ref="BP469" si="1123">+BP468+BE469</f>
        <v>33016663</v>
      </c>
      <c r="BQ469" s="66"/>
      <c r="BR469" s="435">
        <f t="shared" ref="BR469" si="1124">+BP469/BC469</f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424"/>
        <v>44370</v>
      </c>
      <c r="C470" s="61"/>
      <c r="D470" s="17">
        <v>13365</v>
      </c>
      <c r="E470" s="16"/>
      <c r="F470" s="16"/>
      <c r="G470" s="16"/>
      <c r="H470" s="16">
        <f t="shared" ref="H470" si="1125">+H469+D470</f>
        <v>33937006</v>
      </c>
      <c r="I470" s="16"/>
      <c r="J470" s="436">
        <f t="shared" ref="J470" si="1126">+D470/H469</f>
        <v>3.9397304080655729E-4</v>
      </c>
      <c r="K470" s="16"/>
      <c r="L470" s="16"/>
      <c r="M470" s="16"/>
      <c r="N470" s="16">
        <f t="shared" ref="N470" si="1127">SUM(D464:D470)</f>
        <v>75320</v>
      </c>
      <c r="O470" s="16">
        <f t="shared" ref="O470" si="1128">+H470/BW470</f>
        <v>73616.065075921913</v>
      </c>
      <c r="P470" s="41"/>
      <c r="Q470" s="17">
        <f t="shared" ref="Q470" si="1129">SUM(D464:D470)</f>
        <v>75320</v>
      </c>
      <c r="R470" s="16"/>
      <c r="S470" s="60">
        <f t="shared" ref="S470" si="1130">+(Q470-Q463)/Q463</f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ref="Z470" si="1131">SUM(W465:W470)</f>
        <v>1646</v>
      </c>
      <c r="AA470" s="33">
        <f t="shared" ref="AA470" si="1132">+AA469+W470</f>
        <v>603666</v>
      </c>
      <c r="AB470" s="33"/>
      <c r="AC470" s="46">
        <f t="shared" ref="AC470" si="1133">+AA470/H470</f>
        <v>1.7787839033295984E-2</v>
      </c>
      <c r="AD470" s="33"/>
      <c r="AE470" s="33">
        <f t="shared" ref="AE470" si="1134">+AA470/BW470</f>
        <v>1309.4707158351409</v>
      </c>
      <c r="AF470" s="50"/>
      <c r="AG470" s="33">
        <f t="shared" ref="AG470" si="1135">SUM(W464:W470)</f>
        <v>2021</v>
      </c>
      <c r="AH470" s="33">
        <f t="shared" ref="AH470" si="1136">SUM(D441:D846)</f>
        <v>1115454722.060914</v>
      </c>
      <c r="AI470" s="213">
        <f t="shared" ref="AI470" si="1137">+(AG470-AG463)/AG463</f>
        <v>-0.13963388676032354</v>
      </c>
      <c r="AJ470" s="50"/>
      <c r="AK470" s="111"/>
      <c r="AL470" s="23">
        <f t="shared" ref="AL470" si="1138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39">+AL470/AP469</f>
        <v>1.0216927999750188E-3</v>
      </c>
      <c r="AS470" s="25"/>
      <c r="AT470" s="25"/>
      <c r="AU470" s="24"/>
      <c r="AV470" s="298">
        <f t="shared" ref="AV470" si="1140">+AP470/H470</f>
        <v>0.85014046318641068</v>
      </c>
      <c r="AW470" s="298"/>
      <c r="AX470" s="24">
        <f t="shared" ref="AX470" si="1141">+AP470/BW470</f>
        <v>62583.995661605208</v>
      </c>
      <c r="AY470" s="308"/>
      <c r="AZ470" s="111"/>
      <c r="BA470" s="65">
        <f t="shared" ref="BA470" si="1142">+BC470-BC469</f>
        <v>889271</v>
      </c>
      <c r="BB470" s="66"/>
      <c r="BC470" s="66">
        <f>502180123-500000</f>
        <v>501680123</v>
      </c>
      <c r="BD470" s="66"/>
      <c r="BE470" s="66">
        <f t="shared" ref="BE470" si="1143">+D470</f>
        <v>13365</v>
      </c>
      <c r="BF470" s="66"/>
      <c r="BG470" s="144">
        <f t="shared" ref="BG470" si="1144">+BE470/BA470</f>
        <v>1.5029164337980211E-2</v>
      </c>
      <c r="BH470" s="66"/>
      <c r="BI470" s="170"/>
      <c r="BJ470" s="66"/>
      <c r="BK470" s="66">
        <f t="shared" ref="BK470" si="1145">SUM(BA464:BA470)</f>
        <v>5054890</v>
      </c>
      <c r="BL470" s="66"/>
      <c r="BM470" s="144">
        <f t="shared" ref="BM470" si="1146">+Q470/BK470</f>
        <v>1.4900423154608705E-2</v>
      </c>
      <c r="BN470" s="65">
        <f t="shared" ref="BN470" si="1147">+BC470/BW470</f>
        <v>1088243.2169197397</v>
      </c>
      <c r="BO470" s="66"/>
      <c r="BP470" s="66">
        <f t="shared" ref="BP470" si="1148">+BP469+BE470</f>
        <v>33030028</v>
      </c>
      <c r="BQ470" s="66"/>
      <c r="BR470" s="435">
        <f t="shared" ref="BR470" si="1149">+BP470/BC470</f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424"/>
        <v>44371</v>
      </c>
      <c r="C471" s="61"/>
      <c r="D471" s="17">
        <v>15460</v>
      </c>
      <c r="E471" s="16"/>
      <c r="F471" s="16"/>
      <c r="G471" s="16"/>
      <c r="H471" s="16">
        <f t="shared" ref="H471" si="1150">+H470+D471</f>
        <v>33952466</v>
      </c>
      <c r="I471" s="16"/>
      <c r="J471" s="436">
        <f t="shared" ref="J471" si="1151">+D471/H470</f>
        <v>4.555499091463755E-4</v>
      </c>
      <c r="K471" s="16"/>
      <c r="L471" s="16"/>
      <c r="M471" s="16"/>
      <c r="N471" s="16">
        <f t="shared" ref="N471" si="1152">SUM(D465:D471)</f>
        <v>77047</v>
      </c>
      <c r="O471" s="16">
        <f t="shared" ref="O471" si="1153">+H471/BW471</f>
        <v>73490.186147186148</v>
      </c>
      <c r="P471" s="41"/>
      <c r="Q471" s="17">
        <f t="shared" ref="Q471" si="1154">SUM(D465:D471)</f>
        <v>77047</v>
      </c>
      <c r="R471" s="16"/>
      <c r="S471" s="60">
        <f t="shared" ref="S471" si="1155">+(Q471-Q464)/Q464</f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ref="Z471" si="1156">SUM(W466:W471)</f>
        <v>1633</v>
      </c>
      <c r="AA471" s="33">
        <f t="shared" ref="AA471" si="1157">+AA470+W471</f>
        <v>604046</v>
      </c>
      <c r="AB471" s="33"/>
      <c r="AC471" s="46">
        <f t="shared" ref="AC471" si="1158">+AA471/H471</f>
        <v>1.7790931592421004E-2</v>
      </c>
      <c r="AD471" s="33"/>
      <c r="AE471" s="33">
        <f t="shared" ref="AE471" si="1159">+AA471/BW471</f>
        <v>1307.4588744588746</v>
      </c>
      <c r="AF471" s="50"/>
      <c r="AG471" s="33">
        <f t="shared" ref="AG471" si="1160">SUM(W465:W471)</f>
        <v>2026</v>
      </c>
      <c r="AH471" s="33">
        <f t="shared" ref="AH471" si="1161">SUM(D442:D847)</f>
        <v>1115431984.060914</v>
      </c>
      <c r="AI471" s="213">
        <f t="shared" ref="AI471" si="1162">+(AG471-AG464)/AG464</f>
        <v>-9.6745430227374057E-2</v>
      </c>
      <c r="AJ471" s="50"/>
      <c r="AK471" s="111" t="s">
        <v>26</v>
      </c>
      <c r="AL471" s="23">
        <f t="shared" ref="AL471" si="1163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64">+AL471/AP470</f>
        <v>8.0807669082439554E-4</v>
      </c>
      <c r="AS471" s="25"/>
      <c r="AT471" s="25"/>
      <c r="AU471" s="24"/>
      <c r="AV471" s="298">
        <f t="shared" ref="AV471" si="1165">+AP471/H471</f>
        <v>0.85044002400296936</v>
      </c>
      <c r="AW471" s="298"/>
      <c r="AX471" s="24">
        <f t="shared" ref="AX471" si="1166">+AP471/BW471</f>
        <v>62498.995670995668</v>
      </c>
      <c r="AY471" s="308"/>
      <c r="AZ471" s="111" t="s">
        <v>26</v>
      </c>
      <c r="BA471" s="65">
        <f t="shared" ref="BA471" si="1167">+BC471-BC470</f>
        <v>500000</v>
      </c>
      <c r="BB471" s="66"/>
      <c r="BC471" s="66">
        <v>502180123</v>
      </c>
      <c r="BD471" s="66"/>
      <c r="BE471" s="66">
        <f t="shared" ref="BE471" si="1168">+D471</f>
        <v>15460</v>
      </c>
      <c r="BF471" s="66"/>
      <c r="BG471" s="144">
        <f t="shared" ref="BG471" si="1169">+BE471/BA471</f>
        <v>3.092E-2</v>
      </c>
      <c r="BH471" s="66"/>
      <c r="BI471" s="170"/>
      <c r="BJ471" s="66"/>
      <c r="BK471" s="66">
        <f t="shared" ref="BK471" si="1170">SUM(BA465:BA471)</f>
        <v>4770412</v>
      </c>
      <c r="BL471" s="66"/>
      <c r="BM471" s="144">
        <f t="shared" ref="BM471" si="1171">+Q471/BK471</f>
        <v>1.6151015887097383E-2</v>
      </c>
      <c r="BN471" s="65">
        <f t="shared" ref="BN471" si="1172">+BC471/BW471</f>
        <v>1086969.9632034632</v>
      </c>
      <c r="BO471" s="66"/>
      <c r="BP471" s="66">
        <f t="shared" ref="BP471" si="1173">+BP470+BE471</f>
        <v>33045488</v>
      </c>
      <c r="BQ471" s="66"/>
      <c r="BR471" s="435">
        <f t="shared" ref="BR471" si="1174">+BP471/BC471</f>
        <v>6.580405413616898E-2</v>
      </c>
      <c r="BS471" s="66"/>
      <c r="BT471" s="75"/>
      <c r="BU471" s="170"/>
      <c r="BV471" s="1"/>
      <c r="BW471" s="61">
        <f t="shared" ref="BW471:BW488" si="1175">+BW470+1</f>
        <v>462</v>
      </c>
    </row>
    <row r="472" spans="2:75" x14ac:dyDescent="0.3">
      <c r="B472" s="158">
        <f t="shared" si="424"/>
        <v>44372</v>
      </c>
      <c r="C472" s="61"/>
      <c r="D472" s="17">
        <v>15537</v>
      </c>
      <c r="E472" s="16"/>
      <c r="F472" s="16"/>
      <c r="G472" s="16"/>
      <c r="H472" s="16">
        <f t="shared" ref="H472" si="1176">+H471+D472</f>
        <v>33968003</v>
      </c>
      <c r="I472" s="16"/>
      <c r="J472" s="436">
        <f t="shared" ref="J472" si="1177">+D472/H471</f>
        <v>4.5761035442904206E-4</v>
      </c>
      <c r="K472" s="16"/>
      <c r="L472" s="16"/>
      <c r="M472" s="16"/>
      <c r="N472" s="16">
        <f t="shared" ref="N472" si="1178">SUM(D466:D472)</f>
        <v>79195</v>
      </c>
      <c r="O472" s="16">
        <f t="shared" ref="O472" si="1179">+H472/BW472</f>
        <v>73365.017278617714</v>
      </c>
      <c r="P472" s="41"/>
      <c r="Q472" s="17">
        <f t="shared" ref="Q472" si="1180">SUM(D466:D472)</f>
        <v>79195</v>
      </c>
      <c r="R472" s="16"/>
      <c r="S472" s="60">
        <f t="shared" ref="S472" si="1181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" si="1182">SUM(W467:W472)</f>
        <v>1850</v>
      </c>
      <c r="AA472" s="33">
        <f t="shared" ref="AA472" si="1183">+AA471+W472</f>
        <v>604433</v>
      </c>
      <c r="AB472" s="33"/>
      <c r="AC472" s="46">
        <f t="shared" ref="AC472" si="1184">+AA472/H472</f>
        <v>1.7794187076584984E-2</v>
      </c>
      <c r="AD472" s="33"/>
      <c r="AE472" s="33">
        <f t="shared" ref="AE472" si="1185">+AA472/BW472</f>
        <v>1305.4708423326133</v>
      </c>
      <c r="AF472" s="50"/>
      <c r="AG472" s="33">
        <f t="shared" ref="AG472" si="1186">SUM(W466:W472)</f>
        <v>2020</v>
      </c>
      <c r="AH472" s="33">
        <f t="shared" ref="AH472" si="1187">SUM(D443:D848)</f>
        <v>1115408484.060914</v>
      </c>
      <c r="AI472" s="213">
        <f t="shared" ref="AI472" si="1188">+(AG472-AG465)/AG465</f>
        <v>-8.8036117381489837E-2</v>
      </c>
      <c r="AJ472" s="50"/>
      <c r="AK472" s="111"/>
      <c r="AL472" s="23">
        <f t="shared" ref="AL472" si="1189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0">+AL472/AP471</f>
        <v>7.9391751957503317E-4</v>
      </c>
      <c r="AS472" s="25"/>
      <c r="AT472" s="25"/>
      <c r="AU472" s="24"/>
      <c r="AV472" s="298">
        <f t="shared" ref="AV472" si="1191">+AP472/H472</f>
        <v>0.85072590225571987</v>
      </c>
      <c r="AW472" s="298"/>
      <c r="AX472" s="24">
        <f t="shared" ref="AX472" si="1192">+AP472/BW472</f>
        <v>62413.520518358535</v>
      </c>
      <c r="AY472" s="308"/>
      <c r="AZ472" s="111"/>
      <c r="BA472" s="65">
        <f t="shared" ref="BA472" si="1193">+BC472-BC471</f>
        <v>826269</v>
      </c>
      <c r="BB472" s="66"/>
      <c r="BC472" s="66">
        <v>503006392</v>
      </c>
      <c r="BD472" s="66"/>
      <c r="BE472" s="66">
        <f t="shared" ref="BE472" si="1194">+D472</f>
        <v>15537</v>
      </c>
      <c r="BF472" s="66"/>
      <c r="BG472" s="144">
        <f t="shared" ref="BG472" si="1195">+BE472/BA472</f>
        <v>1.8803803603911075E-2</v>
      </c>
      <c r="BH472" s="66"/>
      <c r="BI472" s="170"/>
      <c r="BJ472" s="66"/>
      <c r="BK472" s="66">
        <f t="shared" ref="BK472" si="1196">SUM(BA466:BA472)</f>
        <v>4776317</v>
      </c>
      <c r="BL472" s="66"/>
      <c r="BM472" s="144">
        <f t="shared" ref="BM472" si="1197">+Q472/BK472</f>
        <v>1.6580767147574168E-2</v>
      </c>
      <c r="BN472" s="65">
        <f t="shared" ref="BN472" si="1198">+BC472/BW472</f>
        <v>1086406.8941684666</v>
      </c>
      <c r="BO472" s="66"/>
      <c r="BP472" s="66">
        <f t="shared" ref="BP472" si="1199">+BP471+BE472</f>
        <v>33061025</v>
      </c>
      <c r="BQ472" s="66"/>
      <c r="BR472" s="435">
        <f t="shared" ref="BR472" si="1200">+BP472/BC472</f>
        <v>6.5726848656030595E-2</v>
      </c>
      <c r="BS472" s="66"/>
      <c r="BT472" s="75"/>
      <c r="BU472" s="170"/>
      <c r="BV472" s="1"/>
      <c r="BW472" s="61">
        <f t="shared" si="1175"/>
        <v>463</v>
      </c>
    </row>
    <row r="473" spans="2:75" x14ac:dyDescent="0.3">
      <c r="B473" s="158">
        <f t="shared" si="424"/>
        <v>44373</v>
      </c>
      <c r="C473" s="61"/>
      <c r="D473" s="17">
        <v>6586</v>
      </c>
      <c r="E473" s="16"/>
      <c r="F473" s="16"/>
      <c r="G473" s="16"/>
      <c r="H473" s="16">
        <f t="shared" ref="H473" si="1201">+H472+D473</f>
        <v>33974589</v>
      </c>
      <c r="I473" s="16"/>
      <c r="J473" s="436">
        <f t="shared" ref="J473" si="1202">+D473/H472</f>
        <v>1.9388834839657781E-4</v>
      </c>
      <c r="K473" s="16"/>
      <c r="L473" s="16"/>
      <c r="M473" s="16"/>
      <c r="N473" s="16">
        <f t="shared" ref="N473" si="1203">SUM(D467:D473)</f>
        <v>77999</v>
      </c>
      <c r="O473" s="16">
        <f t="shared" ref="O473" si="1204">+H473/BW473</f>
        <v>73221.096982758623</v>
      </c>
      <c r="P473" s="41"/>
      <c r="Q473" s="17">
        <f t="shared" ref="Q473" si="1205">SUM(D467:D473)</f>
        <v>77999</v>
      </c>
      <c r="R473" s="16"/>
      <c r="S473" s="60">
        <f t="shared" ref="S473" si="1206">+(Q473-Q466)/Q466</f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ref="Z473" si="1207">SUM(W468:W473)</f>
        <v>1913</v>
      </c>
      <c r="AA473" s="33">
        <f t="shared" ref="AA473" si="1208">+AA472+W473</f>
        <v>604582</v>
      </c>
      <c r="AB473" s="33"/>
      <c r="AC473" s="46">
        <f t="shared" ref="AC473" si="1209">+AA473/H473</f>
        <v>1.7795123290527518E-2</v>
      </c>
      <c r="AD473" s="33"/>
      <c r="AE473" s="33">
        <f t="shared" ref="AE473" si="1210">+AA473/BW473</f>
        <v>1302.9784482758621</v>
      </c>
      <c r="AF473" s="50"/>
      <c r="AG473" s="33">
        <f t="shared" ref="AG473" si="1211">SUM(W467:W473)</f>
        <v>1999</v>
      </c>
      <c r="AH473" s="33">
        <f t="shared" ref="AH473" si="1212">SUM(D444:D849)</f>
        <v>1115384091.060914</v>
      </c>
      <c r="AI473" s="213">
        <f t="shared" ref="AI473" si="1213">+(AG473-AG466)/AG466</f>
        <v>-3.7554164660568129E-2</v>
      </c>
      <c r="AJ473" s="50"/>
      <c r="AK473" s="111"/>
      <c r="AL473" s="23">
        <f t="shared" ref="AL473" si="1214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15">+AL473/AP472</f>
        <v>5.3451064557230978E-4</v>
      </c>
      <c r="AS473" s="25"/>
      <c r="AT473" s="25"/>
      <c r="AU473" s="24"/>
      <c r="AV473" s="298">
        <f t="shared" ref="AV473" si="1216">+AP473/H473</f>
        <v>0.85101562229347349</v>
      </c>
      <c r="AW473" s="298"/>
      <c r="AX473" s="24">
        <f t="shared" ref="AX473" si="1217">+AP473/BW473</f>
        <v>62312.297413793101</v>
      </c>
      <c r="AY473" s="308"/>
      <c r="AZ473" s="111"/>
      <c r="BA473" s="65">
        <f t="shared" ref="BA473" si="1218">+BC473-BC472</f>
        <v>451282</v>
      </c>
      <c r="BB473" s="66"/>
      <c r="BC473" s="66">
        <v>503457674</v>
      </c>
      <c r="BD473" s="66"/>
      <c r="BE473" s="66">
        <f t="shared" ref="BE473" si="1219">+D473</f>
        <v>6586</v>
      </c>
      <c r="BF473" s="66"/>
      <c r="BG473" s="144">
        <f t="shared" ref="BG473" si="1220">+BE473/BA473</f>
        <v>1.4593978931133969E-2</v>
      </c>
      <c r="BH473" s="66"/>
      <c r="BI473" s="170"/>
      <c r="BJ473" s="66"/>
      <c r="BK473" s="66">
        <f t="shared" ref="BK473" si="1221">SUM(BA467:BA473)</f>
        <v>4768463</v>
      </c>
      <c r="BL473" s="66"/>
      <c r="BM473" s="144">
        <f t="shared" ref="BM473" si="1222">+Q473/BK473</f>
        <v>1.6357262287659567E-2</v>
      </c>
      <c r="BN473" s="65">
        <f t="shared" ref="BN473" si="1223">+BC473/BW473</f>
        <v>1085038.0905172413</v>
      </c>
      <c r="BO473" s="66"/>
      <c r="BP473" s="66">
        <f t="shared" ref="BP473" si="1224">+BP472+BE473</f>
        <v>33067611</v>
      </c>
      <c r="BQ473" s="66"/>
      <c r="BR473" s="435">
        <f t="shared" ref="BR473" si="1225">+BP473/BC473</f>
        <v>6.56810149248018E-2</v>
      </c>
      <c r="BS473" s="66"/>
      <c r="BT473" s="75"/>
      <c r="BU473" s="170"/>
      <c r="BV473" s="1"/>
      <c r="BW473" s="61">
        <f t="shared" si="1175"/>
        <v>464</v>
      </c>
    </row>
    <row r="474" spans="2:75" x14ac:dyDescent="0.3">
      <c r="B474" s="347">
        <f t="shared" si="424"/>
        <v>44374</v>
      </c>
      <c r="C474" s="61"/>
      <c r="D474" s="17">
        <v>7306</v>
      </c>
      <c r="E474" s="16"/>
      <c r="F474" s="16"/>
      <c r="G474" s="16"/>
      <c r="H474" s="16">
        <f t="shared" ref="H474" si="1226">+H473+D474</f>
        <v>33981895</v>
      </c>
      <c r="I474" s="16"/>
      <c r="J474" s="436">
        <f t="shared" ref="J474" si="1227">+D474/H473</f>
        <v>2.1504307233856458E-4</v>
      </c>
      <c r="K474" s="16"/>
      <c r="L474" s="16"/>
      <c r="M474" s="16"/>
      <c r="N474" s="16">
        <f t="shared" ref="N474" si="1228">SUM(D468:D474)</f>
        <v>80883</v>
      </c>
      <c r="O474" s="16">
        <f t="shared" ref="O474" si="1229">+H474/BW474</f>
        <v>73079.344086021505</v>
      </c>
      <c r="P474" s="41"/>
      <c r="Q474" s="17">
        <f t="shared" ref="Q474" si="1230">SUM(D468:D474)</f>
        <v>80883</v>
      </c>
      <c r="R474" s="16"/>
      <c r="S474" s="60">
        <f t="shared" ref="S474" si="1231">+(Q474-Q467)/Q467</f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ref="Z474" si="1232">SUM(W469:W474)</f>
        <v>1782</v>
      </c>
      <c r="AA474" s="33">
        <f t="shared" ref="AA474" si="1233">+AA473+W474</f>
        <v>604688</v>
      </c>
      <c r="AB474" s="33"/>
      <c r="AC474" s="46">
        <f t="shared" ref="AC474" si="1234">+AA474/H474</f>
        <v>1.779441670336513E-2</v>
      </c>
      <c r="AD474" s="33"/>
      <c r="AE474" s="33">
        <f t="shared" ref="AE474" si="1235">+AA474/BW474</f>
        <v>1300.4043010752689</v>
      </c>
      <c r="AF474" s="50"/>
      <c r="AG474" s="33">
        <f t="shared" ref="AG474" si="1236">SUM(W468:W474)</f>
        <v>2019</v>
      </c>
      <c r="AH474" s="33">
        <f t="shared" ref="AH474" si="1237">SUM(D445:D850)</f>
        <v>1115361278.060914</v>
      </c>
      <c r="AI474" s="213">
        <f t="shared" ref="AI474" si="1238">+(AG474-AG467)/AG467</f>
        <v>-2.1328162869607366E-2</v>
      </c>
      <c r="AJ474" s="50"/>
      <c r="AK474" s="111"/>
      <c r="AL474" s="23">
        <f t="shared" ref="AL474" si="1239">+AP474-AP473</f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ref="AR474" si="1240">+AL474/AP473</f>
        <v>5.6037258932049242E-4</v>
      </c>
      <c r="AS474" s="25"/>
      <c r="AT474" s="25"/>
      <c r="AU474" s="24"/>
      <c r="AV474" s="298">
        <f t="shared" ref="AV474" si="1241">+AP474/H474</f>
        <v>0.85130943992381825</v>
      </c>
      <c r="AW474" s="298"/>
      <c r="AX474" s="24">
        <f t="shared" ref="AX474" si="1242">+AP474/BW474</f>
        <v>62213.135483870967</v>
      </c>
      <c r="AY474" s="308"/>
      <c r="AZ474" s="111"/>
      <c r="BA474" s="65">
        <f t="shared" ref="BA474" si="1243">+BC474-BC473</f>
        <v>366543</v>
      </c>
      <c r="BB474" s="66"/>
      <c r="BC474" s="66">
        <v>503824217</v>
      </c>
      <c r="BD474" s="66"/>
      <c r="BE474" s="66">
        <f t="shared" ref="BE474" si="1244">+D474</f>
        <v>7306</v>
      </c>
      <c r="BF474" s="66"/>
      <c r="BG474" s="144">
        <f t="shared" ref="BG474" si="1245">+BE474/BA474</f>
        <v>1.9932177125194041E-2</v>
      </c>
      <c r="BH474" s="66"/>
      <c r="BI474" s="170"/>
      <c r="BJ474" s="66"/>
      <c r="BK474" s="66">
        <f t="shared" ref="BK474" si="1246">SUM(BA468:BA474)</f>
        <v>4762492</v>
      </c>
      <c r="BL474" s="66"/>
      <c r="BM474" s="144">
        <f t="shared" ref="BM474" si="1247">+Q474/BK474</f>
        <v>1.6983335615051953E-2</v>
      </c>
      <c r="BN474" s="65">
        <f t="shared" ref="BN474" si="1248">+BC474/BW474</f>
        <v>1083492.9397849462</v>
      </c>
      <c r="BO474" s="66"/>
      <c r="BP474" s="66">
        <f t="shared" ref="BP474" si="1249">+BP473+BE474</f>
        <v>33074917</v>
      </c>
      <c r="BQ474" s="66"/>
      <c r="BR474" s="435">
        <f t="shared" ref="BR474" si="1250">+BP474/BC474</f>
        <v>6.5647731657170416E-2</v>
      </c>
      <c r="BS474" s="66"/>
      <c r="BT474" s="75"/>
      <c r="BU474" s="170"/>
      <c r="BV474" s="1"/>
      <c r="BW474" s="61">
        <f t="shared" si="1175"/>
        <v>465</v>
      </c>
    </row>
    <row r="475" spans="2:75" x14ac:dyDescent="0.3">
      <c r="B475" s="158">
        <f t="shared" si="424"/>
        <v>44375</v>
      </c>
      <c r="C475" s="61"/>
      <c r="D475" s="17">
        <v>11982</v>
      </c>
      <c r="E475" s="16"/>
      <c r="F475" s="16"/>
      <c r="G475" s="16"/>
      <c r="H475" s="16">
        <f t="shared" ref="H475" si="1251">+H474+D475</f>
        <v>33993877</v>
      </c>
      <c r="I475" s="16"/>
      <c r="J475" s="436">
        <f t="shared" ref="J475" si="1252">+D475/H474</f>
        <v>3.52599523952387E-4</v>
      </c>
      <c r="K475" s="16"/>
      <c r="L475" s="16"/>
      <c r="M475" s="16"/>
      <c r="N475" s="16">
        <f t="shared" ref="N475" si="1253">SUM(D469:D475)</f>
        <v>83110</v>
      </c>
      <c r="O475" s="16">
        <f t="shared" ref="O475" si="1254">+H475/BW475</f>
        <v>72948.2339055794</v>
      </c>
      <c r="P475" s="41"/>
      <c r="Q475" s="17">
        <f t="shared" ref="Q475" si="1255">SUM(D469:D475)</f>
        <v>83110</v>
      </c>
      <c r="R475" s="16"/>
      <c r="S475" s="60">
        <f t="shared" ref="S475" si="1256">+(Q475-Q468)/Q468</f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ref="Z475" si="1257">SUM(W470:W475)</f>
        <v>1515</v>
      </c>
      <c r="AA475" s="33">
        <f t="shared" ref="AA475" si="1258">+AA474+W475</f>
        <v>604852</v>
      </c>
      <c r="AB475" s="33"/>
      <c r="AC475" s="46">
        <f t="shared" ref="AC475" si="1259">+AA475/H475</f>
        <v>1.7792969010272056E-2</v>
      </c>
      <c r="AD475" s="33"/>
      <c r="AE475" s="33">
        <f t="shared" ref="AE475" si="1260">+AA475/BW475</f>
        <v>1297.9656652360516</v>
      </c>
      <c r="AF475" s="50"/>
      <c r="AG475" s="33">
        <f t="shared" ref="AG475" si="1261">SUM(W469:W475)</f>
        <v>1946</v>
      </c>
      <c r="AH475" s="33">
        <f t="shared" ref="AH475" si="1262">SUM(D446:D851)</f>
        <v>1115348617.060914</v>
      </c>
      <c r="AI475" s="213">
        <f t="shared" ref="AI475" si="1263">+(AG475-AG468)/AG468</f>
        <v>-4.98046875E-2</v>
      </c>
      <c r="AJ475" s="50"/>
      <c r="AK475" s="111"/>
      <c r="AL475" s="23">
        <f t="shared" ref="AL475" si="1264">+AP475-AP474</f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ref="AR475" si="1265">+AL475/AP474</f>
        <v>1.7197903232965221E-3</v>
      </c>
      <c r="AS475" s="25"/>
      <c r="AT475" s="25"/>
      <c r="AU475" s="24"/>
      <c r="AV475" s="298">
        <f t="shared" ref="AV475" si="1266">+AP475/H475</f>
        <v>0.85247293211068564</v>
      </c>
      <c r="AW475" s="298"/>
      <c r="AX475" s="24">
        <f t="shared" ref="AX475" si="1267">+AP475/BW475</f>
        <v>62186.394849785407</v>
      </c>
      <c r="AY475" s="308"/>
      <c r="AZ475" s="111"/>
      <c r="BA475" s="65">
        <f t="shared" ref="BA475" si="1268">+BC475-BC474</f>
        <v>1053856</v>
      </c>
      <c r="BB475" s="66"/>
      <c r="BC475" s="66">
        <v>504878073</v>
      </c>
      <c r="BD475" s="66"/>
      <c r="BE475" s="66">
        <f t="shared" ref="BE475" si="1269">+D475</f>
        <v>11982</v>
      </c>
      <c r="BF475" s="66"/>
      <c r="BG475" s="144">
        <f t="shared" ref="BG475" si="1270">+BE475/BA475</f>
        <v>1.1369674794279295E-2</v>
      </c>
      <c r="BH475" s="66"/>
      <c r="BI475" s="170"/>
      <c r="BJ475" s="66"/>
      <c r="BK475" s="66">
        <f t="shared" ref="BK475" si="1271">SUM(BA469:BA475)</f>
        <v>4569067</v>
      </c>
      <c r="BL475" s="66"/>
      <c r="BM475" s="144">
        <f t="shared" ref="BM475" si="1272">+Q475/BK475</f>
        <v>1.8189709190081914E-2</v>
      </c>
      <c r="BN475" s="65">
        <f t="shared" ref="BN475" si="1273">+BC475/BW475</f>
        <v>1083429.3412017168</v>
      </c>
      <c r="BO475" s="66"/>
      <c r="BP475" s="66">
        <f t="shared" ref="BP475" si="1274">+BP474+BE475</f>
        <v>33086899</v>
      </c>
      <c r="BQ475" s="66"/>
      <c r="BR475" s="435">
        <f t="shared" ref="BR475" si="1275">+BP475/BC475</f>
        <v>6.5534434489096932E-2</v>
      </c>
      <c r="BS475" s="66"/>
      <c r="BT475" s="75"/>
      <c r="BU475" s="170"/>
      <c r="BV475" s="1"/>
      <c r="BW475" s="61">
        <f t="shared" si="1175"/>
        <v>466</v>
      </c>
    </row>
    <row r="476" spans="2:75" x14ac:dyDescent="0.3">
      <c r="B476" s="158">
        <f t="shared" si="424"/>
        <v>44376</v>
      </c>
      <c r="C476" s="61"/>
      <c r="D476" s="17">
        <v>11427</v>
      </c>
      <c r="E476" s="16"/>
      <c r="F476" s="16"/>
      <c r="G476" s="16"/>
      <c r="H476" s="16">
        <f t="shared" ref="H476" si="1276">+H475+D476</f>
        <v>34005304</v>
      </c>
      <c r="I476" s="16"/>
      <c r="J476" s="436">
        <f t="shared" ref="J476" si="1277">+D476/H475</f>
        <v>3.3614877173321534E-4</v>
      </c>
      <c r="K476" s="16"/>
      <c r="L476" s="16"/>
      <c r="M476" s="16"/>
      <c r="N476" s="16">
        <f t="shared" ref="N476" si="1278">SUM(D470:D476)</f>
        <v>81663</v>
      </c>
      <c r="O476" s="16">
        <f t="shared" ref="O476" si="1279">+H476/BW476</f>
        <v>72816.496788008561</v>
      </c>
      <c r="P476" s="41"/>
      <c r="Q476" s="17">
        <f t="shared" ref="Q476" si="1280">SUM(D470:D476)</f>
        <v>81663</v>
      </c>
      <c r="R476" s="16"/>
      <c r="S476" s="60">
        <f t="shared" ref="S476" si="1281">+(Q476-Q469)/Q469</f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ref="Z476" si="1282">SUM(W471:W476)</f>
        <v>1480</v>
      </c>
      <c r="AA476" s="33">
        <f t="shared" ref="AA476" si="1283">+AA475+W476</f>
        <v>605146</v>
      </c>
      <c r="AB476" s="33"/>
      <c r="AC476" s="46">
        <f t="shared" ref="AC476" si="1284">+AA476/H476</f>
        <v>1.7795635645545177E-2</v>
      </c>
      <c r="AD476" s="33"/>
      <c r="AE476" s="33">
        <f t="shared" ref="AE476" si="1285">+AA476/BW476</f>
        <v>1295.8158458244111</v>
      </c>
      <c r="AF476" s="50"/>
      <c r="AG476" s="33">
        <f t="shared" ref="AG476" si="1286">SUM(W470:W476)</f>
        <v>1809</v>
      </c>
      <c r="AH476" s="33">
        <f t="shared" ref="AH476" si="1287">SUM(D447:D852)</f>
        <v>1115340867.060914</v>
      </c>
      <c r="AI476" s="213">
        <f t="shared" ref="AI476" si="1288">+(AG476-AG469)/AG469</f>
        <v>-0.14910630291627469</v>
      </c>
      <c r="AJ476" s="50"/>
      <c r="AK476" s="111"/>
      <c r="AL476" s="23">
        <f t="shared" ref="AL476" si="1289">+AP476-AP475</f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ref="AR476" si="1290">+AL476/AP475</f>
        <v>9.8392414332378834E-4</v>
      </c>
      <c r="AS476" s="25"/>
      <c r="AT476" s="25"/>
      <c r="AU476" s="24"/>
      <c r="AV476" s="298">
        <f t="shared" ref="AV476" si="1291">+AP476/H476</f>
        <v>0.8530249575183918</v>
      </c>
      <c r="AW476" s="298"/>
      <c r="AX476" s="24">
        <f t="shared" ref="AX476" si="1292">+AP476/BW476</f>
        <v>62114.289079229122</v>
      </c>
      <c r="AY476" s="308"/>
      <c r="AZ476" s="111"/>
      <c r="BA476" s="65">
        <f t="shared" ref="BA476" si="1293">+BC476-BC475</f>
        <v>514526</v>
      </c>
      <c r="BB476" s="66"/>
      <c r="BC476" s="66">
        <v>505392599</v>
      </c>
      <c r="BD476" s="66"/>
      <c r="BE476" s="66">
        <f t="shared" ref="BE476" si="1294">+D476</f>
        <v>11427</v>
      </c>
      <c r="BF476" s="66"/>
      <c r="BG476" s="144">
        <f t="shared" ref="BG476" si="1295">+BE476/BA476</f>
        <v>2.2208790226344248E-2</v>
      </c>
      <c r="BH476" s="66"/>
      <c r="BI476" s="170"/>
      <c r="BJ476" s="66"/>
      <c r="BK476" s="66">
        <f t="shared" ref="BK476" si="1296">SUM(BA470:BA476)</f>
        <v>4601747</v>
      </c>
      <c r="BL476" s="66"/>
      <c r="BM476" s="144">
        <f t="shared" ref="BM476" si="1297">+Q476/BK476</f>
        <v>1.7746086431957256E-2</v>
      </c>
      <c r="BN476" s="65">
        <f t="shared" ref="BN476" si="1298">+BC476/BW476</f>
        <v>1082211.1327623127</v>
      </c>
      <c r="BO476" s="66"/>
      <c r="BP476" s="66">
        <f t="shared" ref="BP476" si="1299">+BP475+BE476</f>
        <v>33098326</v>
      </c>
      <c r="BQ476" s="66"/>
      <c r="BR476" s="435">
        <f t="shared" ref="BR476" si="1300">+BP476/BC476</f>
        <v>6.5490325868424515E-2</v>
      </c>
      <c r="BS476" s="66"/>
      <c r="BT476" s="75"/>
      <c r="BU476" s="170"/>
      <c r="BV476" s="1"/>
      <c r="BW476" s="61">
        <f t="shared" si="1175"/>
        <v>467</v>
      </c>
    </row>
    <row r="477" spans="2:75" x14ac:dyDescent="0.3">
      <c r="B477" s="158">
        <f t="shared" si="424"/>
        <v>44377</v>
      </c>
      <c r="C477" s="61"/>
      <c r="D477" s="17">
        <v>14197</v>
      </c>
      <c r="E477" s="16"/>
      <c r="F477" s="16"/>
      <c r="G477" s="16"/>
      <c r="H477" s="16">
        <f t="shared" ref="H477" si="1301">+H476+D477</f>
        <v>34019501</v>
      </c>
      <c r="I477" s="16"/>
      <c r="J477" s="436">
        <f t="shared" ref="J477" si="1302">+D477/H476</f>
        <v>4.1749369451306772E-4</v>
      </c>
      <c r="K477" s="16"/>
      <c r="L477" s="16"/>
      <c r="M477" s="16"/>
      <c r="N477" s="16">
        <f t="shared" ref="N477" si="1303">SUM(D471:D477)</f>
        <v>82495</v>
      </c>
      <c r="O477" s="16">
        <f t="shared" ref="O477" si="1304">+H477/BW477</f>
        <v>72691.241452991453</v>
      </c>
      <c r="P477" s="41"/>
      <c r="Q477" s="17">
        <f t="shared" ref="Q477" si="1305">SUM(D471:D477)</f>
        <v>82495</v>
      </c>
      <c r="R477" s="16"/>
      <c r="S477" s="60">
        <f t="shared" ref="S477" si="1306">+(Q477-Q470)/Q470</f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ref="Z477" si="1307">SUM(W472:W477)</f>
        <v>1349</v>
      </c>
      <c r="AA477" s="33">
        <f t="shared" ref="AA477" si="1308">+AA476+W477</f>
        <v>605395</v>
      </c>
      <c r="AB477" s="33"/>
      <c r="AC477" s="46">
        <f t="shared" ref="AC477" si="1309">+AA477/H477</f>
        <v>1.7795528511720379E-2</v>
      </c>
      <c r="AD477" s="33"/>
      <c r="AE477" s="33">
        <f t="shared" ref="AE477" si="1310">+AA477/BW477</f>
        <v>1293.5790598290598</v>
      </c>
      <c r="AF477" s="50"/>
      <c r="AG477" s="33">
        <f t="shared" ref="AG477" si="1311">SUM(W471:W477)</f>
        <v>1729</v>
      </c>
      <c r="AH477" s="33">
        <f t="shared" ref="AH477" si="1312">SUM(D448:D853)</f>
        <v>1115335632.060914</v>
      </c>
      <c r="AI477" s="213">
        <f t="shared" ref="AI477" si="1313">+(AG477-AG470)/AG470</f>
        <v>-0.14448292924294903</v>
      </c>
      <c r="AJ477" s="50"/>
      <c r="AK477" s="111"/>
      <c r="AL477" s="23">
        <f t="shared" ref="AL477" si="1314">+AP477-AP476</f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ref="AR477" si="1315">+AL477/AP476</f>
        <v>6.6586519227370224E-4</v>
      </c>
      <c r="AS477" s="25"/>
      <c r="AT477" s="25"/>
      <c r="AU477" s="24"/>
      <c r="AV477" s="298">
        <f t="shared" ref="AV477" si="1316">+AP477/H477</f>
        <v>0.85323673618845852</v>
      </c>
      <c r="AW477" s="298"/>
      <c r="AX477" s="24">
        <f t="shared" ref="AX477" si="1317">+AP477/BW477</f>
        <v>62022.837606837609</v>
      </c>
      <c r="AY477" s="308"/>
      <c r="AZ477" s="111"/>
      <c r="BA477" s="65">
        <f t="shared" ref="BA477" si="1318">+BC477-BC476</f>
        <v>766529</v>
      </c>
      <c r="BB477" s="66"/>
      <c r="BC477" s="66">
        <v>506159128</v>
      </c>
      <c r="BD477" s="66"/>
      <c r="BE477" s="66">
        <f t="shared" ref="BE477" si="1319">+D477</f>
        <v>14197</v>
      </c>
      <c r="BF477" s="66"/>
      <c r="BG477" s="144">
        <f t="shared" ref="BG477" si="1320">+BE477/BA477</f>
        <v>1.8521151841613299E-2</v>
      </c>
      <c r="BH477" s="66"/>
      <c r="BI477" s="170"/>
      <c r="BJ477" s="66"/>
      <c r="BK477" s="66">
        <f t="shared" ref="BK477" si="1321">SUM(BA471:BA477)</f>
        <v>4479005</v>
      </c>
      <c r="BL477" s="66"/>
      <c r="BM477" s="144">
        <f t="shared" ref="BM477" si="1322">+Q477/BK477</f>
        <v>1.8418153138922595E-2</v>
      </c>
      <c r="BN477" s="65">
        <f t="shared" ref="BN477" si="1323">+BC477/BW477</f>
        <v>1081536.5982905983</v>
      </c>
      <c r="BO477" s="66"/>
      <c r="BP477" s="66">
        <f t="shared" ref="BP477" si="1324">+BP476+BE477</f>
        <v>33112523</v>
      </c>
      <c r="BQ477" s="66"/>
      <c r="BR477" s="435">
        <f t="shared" ref="BR477" si="1325">+BP477/BC477</f>
        <v>6.5419195601269492E-2</v>
      </c>
      <c r="BS477" s="66"/>
      <c r="BT477" s="75"/>
      <c r="BU477" s="170"/>
      <c r="BV477" s="1"/>
      <c r="BW477" s="61">
        <f t="shared" si="1175"/>
        <v>468</v>
      </c>
    </row>
    <row r="478" spans="2:75" x14ac:dyDescent="0.3">
      <c r="B478" s="158">
        <f t="shared" si="424"/>
        <v>44378</v>
      </c>
      <c r="C478" s="61"/>
      <c r="D478" s="17">
        <v>16949</v>
      </c>
      <c r="E478" s="16"/>
      <c r="F478" s="16"/>
      <c r="G478" s="16"/>
      <c r="H478" s="16">
        <f t="shared" ref="H478" si="1326">+H477+D478</f>
        <v>34036450</v>
      </c>
      <c r="I478" s="16"/>
      <c r="J478" s="436">
        <f t="shared" ref="J478" si="1327">+D478/H477</f>
        <v>4.9821424482387328E-4</v>
      </c>
      <c r="K478" s="16"/>
      <c r="L478" s="16"/>
      <c r="M478" s="16"/>
      <c r="N478" s="16">
        <f t="shared" ref="N478" si="1328">SUM(D472:D478)</f>
        <v>83984</v>
      </c>
      <c r="O478" s="16">
        <f t="shared" ref="O478" si="1329">+H478/BW478</f>
        <v>72572.388059701494</v>
      </c>
      <c r="P478" s="41"/>
      <c r="Q478" s="17">
        <f t="shared" ref="Q478" si="1330">SUM(D472:D478)</f>
        <v>83984</v>
      </c>
      <c r="R478" s="16"/>
      <c r="S478" s="60">
        <f t="shared" ref="S478" si="1331">+(Q478-Q471)/Q471</f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ref="Z478" si="1332">SUM(W473:W478)</f>
        <v>1277</v>
      </c>
      <c r="AA478" s="33">
        <f t="shared" ref="AA478" si="1333">+AA477+W478</f>
        <v>605710</v>
      </c>
      <c r="AB478" s="33"/>
      <c r="AC478" s="46">
        <f t="shared" ref="AC478" si="1334">+AA478/H478</f>
        <v>1.7795921725091778E-2</v>
      </c>
      <c r="AD478" s="33"/>
      <c r="AE478" s="33">
        <f t="shared" ref="AE478" si="1335">+AA478/BW478</f>
        <v>1291.4925373134329</v>
      </c>
      <c r="AF478" s="50"/>
      <c r="AG478" s="33">
        <f t="shared" ref="AG478" si="1336">SUM(W472:W478)</f>
        <v>1664</v>
      </c>
      <c r="AH478" s="33">
        <f t="shared" ref="AH478" si="1337">SUM(D449:D854)</f>
        <v>1115322656.060914</v>
      </c>
      <c r="AI478" s="213">
        <f t="shared" ref="AI478" si="1338">+(AG478-AG471)/AG471</f>
        <v>-0.17867719644619942</v>
      </c>
      <c r="AJ478" s="50"/>
      <c r="AK478" s="111"/>
      <c r="AL478" s="23">
        <f t="shared" ref="AL478" si="1339">+AP478-AP477</f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ref="AR478" si="1340">+AL478/AP477</f>
        <v>8.7502232428308729E-4</v>
      </c>
      <c r="AS478" s="25"/>
      <c r="AT478" s="25"/>
      <c r="AU478" s="24"/>
      <c r="AV478" s="298">
        <f t="shared" ref="AV478" si="1341">+AP478/H478</f>
        <v>0.85355808258499344</v>
      </c>
      <c r="AW478" s="298"/>
      <c r="AX478" s="24">
        <f t="shared" ref="AX478" si="1342">+AP478/BW478</f>
        <v>61944.748400852877</v>
      </c>
      <c r="AY478" s="308"/>
      <c r="AZ478" s="111"/>
      <c r="BA478" s="65">
        <f t="shared" ref="BA478" si="1343">+BC478-BC477</f>
        <v>445484</v>
      </c>
      <c r="BB478" s="66"/>
      <c r="BC478" s="66">
        <v>506604612</v>
      </c>
      <c r="BD478" s="66"/>
      <c r="BE478" s="66">
        <f t="shared" ref="BE478" si="1344">+D478</f>
        <v>16949</v>
      </c>
      <c r="BF478" s="66"/>
      <c r="BG478" s="144">
        <f t="shared" ref="BG478" si="1345">+BE478/BA478</f>
        <v>3.8046259798331705E-2</v>
      </c>
      <c r="BH478" s="66"/>
      <c r="BI478" s="170"/>
      <c r="BJ478" s="66"/>
      <c r="BK478" s="66">
        <f t="shared" ref="BK478" si="1346">SUM(BA472:BA478)</f>
        <v>4424489</v>
      </c>
      <c r="BL478" s="66"/>
      <c r="BM478" s="144">
        <f t="shared" ref="BM478" si="1347">+Q478/BK478</f>
        <v>1.8981627030827741E-2</v>
      </c>
      <c r="BN478" s="65">
        <f t="shared" ref="BN478" si="1348">+BC478/BW478</f>
        <v>1080180.4093816632</v>
      </c>
      <c r="BO478" s="66"/>
      <c r="BP478" s="66">
        <f t="shared" ref="BP478" si="1349">+BP477+BE478</f>
        <v>33129472</v>
      </c>
      <c r="BQ478" s="66"/>
      <c r="BR478" s="435">
        <f t="shared" ref="BR478" si="1350">+BP478/BC478</f>
        <v>6.5395125143471844E-2</v>
      </c>
      <c r="BS478" s="66"/>
      <c r="BT478" s="75"/>
      <c r="BU478" s="170"/>
      <c r="BV478" s="1"/>
      <c r="BW478" s="61">
        <f t="shared" si="1175"/>
        <v>469</v>
      </c>
    </row>
    <row r="479" spans="2:75" x14ac:dyDescent="0.3">
      <c r="B479" s="158">
        <f t="shared" si="424"/>
        <v>44379</v>
      </c>
      <c r="C479" s="61"/>
      <c r="D479" s="17">
        <v>18399</v>
      </c>
      <c r="E479" s="16"/>
      <c r="F479" s="16"/>
      <c r="G479" s="16"/>
      <c r="H479" s="16">
        <f t="shared" ref="H479" si="1351">+H478+D479</f>
        <v>34054849</v>
      </c>
      <c r="I479" s="16"/>
      <c r="J479" s="436">
        <f t="shared" ref="J479" si="1352">+D479/H478</f>
        <v>5.4056753862403398E-4</v>
      </c>
      <c r="K479" s="16"/>
      <c r="L479" s="16"/>
      <c r="M479" s="16"/>
      <c r="N479" s="16">
        <f t="shared" ref="N479" si="1353">SUM(D473:D479)</f>
        <v>86846</v>
      </c>
      <c r="O479" s="16">
        <f t="shared" ref="O479" si="1354">+H479/BW479</f>
        <v>72457.125531914891</v>
      </c>
      <c r="P479" s="41"/>
      <c r="Q479" s="17">
        <f t="shared" ref="Q479" si="1355">SUM(D473:D479)</f>
        <v>86846</v>
      </c>
      <c r="R479" s="16"/>
      <c r="S479" s="60">
        <f t="shared" ref="S479" si="1356">+(Q479-Q472)/Q472</f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ref="Z479" si="1357">SUM(W474:W479)</f>
        <v>1450</v>
      </c>
      <c r="AA479" s="33">
        <f t="shared" ref="AA479" si="1358">+AA478+W479</f>
        <v>606032</v>
      </c>
      <c r="AB479" s="33"/>
      <c r="AC479" s="46">
        <f t="shared" ref="AC479" si="1359">+AA479/H479</f>
        <v>1.7795762359715646E-2</v>
      </c>
      <c r="AD479" s="33"/>
      <c r="AE479" s="33">
        <f t="shared" ref="AE479" si="1360">+AA479/BW479</f>
        <v>1289.4297872340426</v>
      </c>
      <c r="AF479" s="50"/>
      <c r="AG479" s="33">
        <f t="shared" ref="AG479" si="1361">SUM(W473:W479)</f>
        <v>1599</v>
      </c>
      <c r="AH479" s="33">
        <f t="shared" ref="AH479" si="1362">SUM(D450:D855)</f>
        <v>1115305682.060914</v>
      </c>
      <c r="AI479" s="213">
        <f t="shared" ref="AI479" si="1363">+(AG479-AG472)/AG472</f>
        <v>-0.20841584158415841</v>
      </c>
      <c r="AJ479" s="50"/>
      <c r="AK479" s="111"/>
      <c r="AL479" s="23">
        <f t="shared" ref="AL479" si="1364">+AP479-AP478</f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ref="AR479" si="1365">+AL479/AP478</f>
        <v>7.1574892364875545E-4</v>
      </c>
      <c r="AS479" s="25"/>
      <c r="AT479" s="25"/>
      <c r="AU479" s="24"/>
      <c r="AV479" s="298">
        <f t="shared" ref="AV479" si="1366">+AP479/H479</f>
        <v>0.85370752928606441</v>
      </c>
      <c r="AW479" s="298"/>
      <c r="AX479" s="24">
        <f t="shared" ref="AX479" si="1367">+AP479/BW479</f>
        <v>61857.193617021279</v>
      </c>
      <c r="AY479" s="308"/>
      <c r="AZ479" s="111"/>
      <c r="BA479" s="65">
        <f t="shared" ref="BA479" si="1368">+BC479-BC478</f>
        <v>741973</v>
      </c>
      <c r="BB479" s="66"/>
      <c r="BC479" s="66">
        <v>507346585</v>
      </c>
      <c r="BD479" s="66"/>
      <c r="BE479" s="66">
        <f t="shared" ref="BE479" si="1369">+D479</f>
        <v>18399</v>
      </c>
      <c r="BF479" s="66"/>
      <c r="BG479" s="144">
        <f t="shared" ref="BG479" si="1370">+BE479/BA479</f>
        <v>2.4797398288077869E-2</v>
      </c>
      <c r="BH479" s="66"/>
      <c r="BI479" s="170"/>
      <c r="BJ479" s="66"/>
      <c r="BK479" s="66">
        <f t="shared" ref="BK479" si="1371">SUM(BA473:BA479)</f>
        <v>4340193</v>
      </c>
      <c r="BL479" s="66"/>
      <c r="BM479" s="144">
        <f t="shared" ref="BM479" si="1372">+Q479/BK479</f>
        <v>2.0009709245648752E-2</v>
      </c>
      <c r="BN479" s="65">
        <f t="shared" ref="BN479" si="1373">+BC479/BW479</f>
        <v>1079460.8191489361</v>
      </c>
      <c r="BO479" s="66"/>
      <c r="BP479" s="66">
        <f t="shared" ref="BP479" si="1374">+BP478+BE479</f>
        <v>33147871</v>
      </c>
      <c r="BQ479" s="66"/>
      <c r="BR479" s="435">
        <f t="shared" ref="BR479" si="1375">+BP479/BC479</f>
        <v>6.5335752678812253E-2</v>
      </c>
      <c r="BS479" s="66"/>
      <c r="BT479" s="75"/>
      <c r="BU479" s="170"/>
      <c r="BV479" s="1"/>
      <c r="BW479" s="61">
        <f t="shared" si="1175"/>
        <v>470</v>
      </c>
    </row>
    <row r="480" spans="2:75" x14ac:dyDescent="0.3">
      <c r="B480" s="158">
        <f t="shared" si="424"/>
        <v>44380</v>
      </c>
      <c r="C480" s="61"/>
      <c r="D480" s="17">
        <v>7978</v>
      </c>
      <c r="E480" s="16"/>
      <c r="F480" s="16"/>
      <c r="G480" s="16"/>
      <c r="H480" s="16">
        <f t="shared" ref="H480" si="1376">+H479+D480</f>
        <v>34062827</v>
      </c>
      <c r="I480" s="16"/>
      <c r="J480" s="436">
        <f t="shared" ref="J480" si="1377">+D480/H479</f>
        <v>2.3426913447773619E-4</v>
      </c>
      <c r="K480" s="16"/>
      <c r="L480" s="16"/>
      <c r="M480" s="16"/>
      <c r="N480" s="16">
        <f t="shared" ref="N480" si="1378">SUM(D474:D480)</f>
        <v>88238</v>
      </c>
      <c r="O480" s="16">
        <f t="shared" ref="O480" si="1379">+H480/BW480</f>
        <v>72320.227176220811</v>
      </c>
      <c r="P480" s="41"/>
      <c r="Q480" s="17">
        <f t="shared" ref="Q480" si="1380">SUM(D474:D480)</f>
        <v>88238</v>
      </c>
      <c r="R480" s="16"/>
      <c r="S480" s="60">
        <f t="shared" ref="S480" si="1381">+(Q480-Q473)/Q473</f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ref="Z480" si="1382">SUM(W475:W480)</f>
        <v>1440</v>
      </c>
      <c r="AA480" s="33">
        <f t="shared" ref="AA480" si="1383">+AA479+W480</f>
        <v>606128</v>
      </c>
      <c r="AB480" s="33"/>
      <c r="AC480" s="46">
        <f t="shared" ref="AC480" si="1384">+AA480/H480</f>
        <v>1.7794412659876996E-2</v>
      </c>
      <c r="AD480" s="33"/>
      <c r="AE480" s="33">
        <f t="shared" ref="AE480" si="1385">+AA480/BW480</f>
        <v>1286.8959660297239</v>
      </c>
      <c r="AF480" s="50"/>
      <c r="AG480" s="33">
        <f t="shared" ref="AG480" si="1386">SUM(W474:W480)</f>
        <v>1546</v>
      </c>
      <c r="AH480" s="33">
        <f t="shared" ref="AH480" si="1387">SUM(D451:D856)</f>
        <v>1115287861.060914</v>
      </c>
      <c r="AI480" s="213">
        <f t="shared" ref="AI480" si="1388">+(AG480-AG473)/AG473</f>
        <v>-0.22661330665332666</v>
      </c>
      <c r="AJ480" s="50"/>
      <c r="AK480" s="111"/>
      <c r="AL480" s="23">
        <f t="shared" ref="AL480" si="1389">+AP480-AP479</f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ref="AR480" si="1390">+AL480/AP479</f>
        <v>5.0012243368656862E-4</v>
      </c>
      <c r="AS480" s="25"/>
      <c r="AT480" s="25"/>
      <c r="AU480" s="24"/>
      <c r="AV480" s="298">
        <f t="shared" ref="AV480" si="1391">+AP480/H480</f>
        <v>0.85393443709178929</v>
      </c>
      <c r="AW480" s="298"/>
      <c r="AX480" s="24">
        <f t="shared" ref="AX480" si="1392">+AP480/BW480</f>
        <v>61756.732484076434</v>
      </c>
      <c r="AY480" s="308"/>
      <c r="AZ480" s="111"/>
      <c r="BA480" s="65">
        <f t="shared" ref="BA480" si="1393">+BC480-BC479</f>
        <v>255291</v>
      </c>
      <c r="BB480" s="66"/>
      <c r="BC480" s="66">
        <v>507601876</v>
      </c>
      <c r="BD480" s="66"/>
      <c r="BE480" s="66">
        <f t="shared" ref="BE480" si="1394">+D480</f>
        <v>7978</v>
      </c>
      <c r="BF480" s="66"/>
      <c r="BG480" s="144">
        <f t="shared" ref="BG480" si="1395">+BE480/BA480</f>
        <v>3.125061204664481E-2</v>
      </c>
      <c r="BH480" s="66"/>
      <c r="BI480" s="170"/>
      <c r="BJ480" s="66"/>
      <c r="BK480" s="66">
        <f t="shared" ref="BK480" si="1396">SUM(BA474:BA480)</f>
        <v>4144202</v>
      </c>
      <c r="BL480" s="66"/>
      <c r="BM480" s="144">
        <f t="shared" ref="BM480" si="1397">+Q480/BK480</f>
        <v>2.1291915789819125E-2</v>
      </c>
      <c r="BN480" s="65">
        <f t="shared" ref="BN480" si="1398">+BC480/BW480</f>
        <v>1077710.9893842887</v>
      </c>
      <c r="BO480" s="66"/>
      <c r="BP480" s="66">
        <f t="shared" ref="BP480" si="1399">+BP479+BE480</f>
        <v>33155849</v>
      </c>
      <c r="BQ480" s="66"/>
      <c r="BR480" s="435">
        <f t="shared" ref="BR480" si="1400">+BP480/BC480</f>
        <v>6.5318610051787906E-2</v>
      </c>
      <c r="BS480" s="66"/>
      <c r="BT480" s="75"/>
      <c r="BU480" s="170"/>
      <c r="BV480" s="1"/>
      <c r="BW480" s="61">
        <f t="shared" si="1175"/>
        <v>471</v>
      </c>
    </row>
    <row r="481" spans="2:85" x14ac:dyDescent="0.3">
      <c r="B481" s="347">
        <f t="shared" si="424"/>
        <v>44381</v>
      </c>
      <c r="C481" s="61"/>
      <c r="D481" s="17">
        <v>5749</v>
      </c>
      <c r="E481" s="16"/>
      <c r="F481" s="16"/>
      <c r="G481" s="16"/>
      <c r="H481" s="16">
        <f t="shared" ref="H481" si="1401">+H480+D481</f>
        <v>34068576</v>
      </c>
      <c r="I481" s="16"/>
      <c r="J481" s="436">
        <f t="shared" ref="J481" si="1402">+D481/H480</f>
        <v>1.6877636139830672E-4</v>
      </c>
      <c r="K481" s="16"/>
      <c r="L481" s="16"/>
      <c r="M481" s="16"/>
      <c r="N481" s="16">
        <f t="shared" ref="N481" si="1403">SUM(D475:D481)</f>
        <v>86681</v>
      </c>
      <c r="O481" s="16">
        <f t="shared" ref="O481" si="1404">+H481/BW481</f>
        <v>72179.186440677964</v>
      </c>
      <c r="P481" s="41"/>
      <c r="Q481" s="17">
        <f t="shared" ref="Q481" si="1405">SUM(D475:D481)</f>
        <v>86681</v>
      </c>
      <c r="R481" s="16"/>
      <c r="S481" s="60">
        <f t="shared" ref="S481" si="1406">+(Q481-Q474)/Q474</f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ref="Z481" si="1407">SUM(W476:W481)</f>
        <v>1331</v>
      </c>
      <c r="AA481" s="33">
        <f t="shared" ref="AA481" si="1408">+AA480+W481</f>
        <v>606183</v>
      </c>
      <c r="AB481" s="33"/>
      <c r="AC481" s="46">
        <f t="shared" ref="AC481" si="1409">+AA481/H481</f>
        <v>1.7793024281378828E-2</v>
      </c>
      <c r="AD481" s="33"/>
      <c r="AE481" s="33">
        <f t="shared" ref="AE481" si="1410">+AA481/BW481</f>
        <v>1284.2860169491526</v>
      </c>
      <c r="AF481" s="50"/>
      <c r="AG481" s="33">
        <f t="shared" ref="AG481" si="1411">SUM(W475:W481)</f>
        <v>1495</v>
      </c>
      <c r="AH481" s="33">
        <f t="shared" ref="AH481" si="1412">SUM(D452:D857)</f>
        <v>1115270936.060914</v>
      </c>
      <c r="AI481" s="213">
        <f t="shared" ref="AI481" si="1413">+(AG481-AG474)/AG474</f>
        <v>-0.25953442298167412</v>
      </c>
      <c r="AJ481" s="50"/>
      <c r="AK481" s="111"/>
      <c r="AL481" s="23">
        <f t="shared" ref="AL481" si="1414">+AP481-AP480</f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ref="AR481" si="1415">+AL481/AP480</f>
        <v>4.4180609893190601E-4</v>
      </c>
      <c r="AS481" s="25"/>
      <c r="AT481" s="25"/>
      <c r="AU481" s="24"/>
      <c r="AV481" s="298">
        <f t="shared" ref="AV481" si="1416">+AP481/H481</f>
        <v>0.85416754724353605</v>
      </c>
      <c r="AW481" s="298"/>
      <c r="AX481" s="24">
        <f t="shared" ref="AX481" si="1417">+AP481/BW481</f>
        <v>61653.118644067799</v>
      </c>
      <c r="AY481" s="308"/>
      <c r="AZ481" s="111"/>
      <c r="BA481" s="65">
        <f t="shared" ref="BA481" si="1418">+BC481-BC480</f>
        <v>483136</v>
      </c>
      <c r="BB481" s="66"/>
      <c r="BC481" s="66">
        <v>508085012</v>
      </c>
      <c r="BD481" s="66"/>
      <c r="BE481" s="66">
        <f t="shared" ref="BE481" si="1419">+D481</f>
        <v>5749</v>
      </c>
      <c r="BF481" s="66"/>
      <c r="BG481" s="144">
        <f t="shared" ref="BG481" si="1420">+BE481/BA481</f>
        <v>1.1899340972314213E-2</v>
      </c>
      <c r="BH481" s="66"/>
      <c r="BI481" s="170"/>
      <c r="BJ481" s="66"/>
      <c r="BK481" s="66">
        <f t="shared" ref="BK481" si="1421">SUM(BA475:BA481)</f>
        <v>4260795</v>
      </c>
      <c r="BL481" s="66"/>
      <c r="BM481" s="144">
        <f t="shared" ref="BM481" si="1422">+Q481/BK481</f>
        <v>2.0343856017480306E-2</v>
      </c>
      <c r="BN481" s="65">
        <f t="shared" ref="BN481" si="1423">+BC481/BW481</f>
        <v>1076451.2966101696</v>
      </c>
      <c r="BO481" s="66"/>
      <c r="BP481" s="66">
        <f t="shared" ref="BP481" si="1424">+BP480+BE481</f>
        <v>33161598</v>
      </c>
      <c r="BQ481" s="66"/>
      <c r="BR481" s="435">
        <f t="shared" ref="BR481" si="1425">+BP481/BC481</f>
        <v>6.5267813883083017E-2</v>
      </c>
      <c r="BS481" s="66"/>
      <c r="BT481" s="75"/>
      <c r="BU481" s="170"/>
      <c r="BV481" s="1"/>
      <c r="BW481" s="61">
        <f t="shared" si="1175"/>
        <v>472</v>
      </c>
    </row>
    <row r="482" spans="2:85" x14ac:dyDescent="0.3">
      <c r="B482" s="158">
        <f t="shared" si="424"/>
        <v>44382</v>
      </c>
      <c r="C482" s="61"/>
      <c r="D482" s="17">
        <v>5132</v>
      </c>
      <c r="E482" s="16"/>
      <c r="F482" s="16"/>
      <c r="G482" s="16"/>
      <c r="H482" s="16">
        <f t="shared" ref="H482" si="1426">+H481+D482</f>
        <v>34073708</v>
      </c>
      <c r="I482" s="16"/>
      <c r="J482" s="436">
        <f t="shared" ref="J482" si="1427">+D482/H481</f>
        <v>1.5063734979706812E-4</v>
      </c>
      <c r="K482" s="16"/>
      <c r="L482" s="16"/>
      <c r="M482" s="16"/>
      <c r="N482" s="16">
        <f t="shared" ref="N482" si="1428">SUM(D476:D482)</f>
        <v>79831</v>
      </c>
      <c r="O482" s="16">
        <f t="shared" ref="O482" si="1429">+H482/BW482</f>
        <v>72037.437632135305</v>
      </c>
      <c r="P482" s="41"/>
      <c r="Q482" s="17">
        <f t="shared" ref="Q482" si="1430">SUM(D476:D482)</f>
        <v>79831</v>
      </c>
      <c r="R482" s="16"/>
      <c r="S482" s="60">
        <f t="shared" ref="S482" si="1431">+(Q482-Q475)/Q475</f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ref="Z482" si="1432">SUM(W477:W482)</f>
        <v>1073</v>
      </c>
      <c r="AA482" s="33">
        <f t="shared" ref="AA482" si="1433">+AA481+W482</f>
        <v>606219</v>
      </c>
      <c r="AB482" s="33"/>
      <c r="AC482" s="46">
        <f t="shared" ref="AC482" si="1434">+AA482/H482</f>
        <v>1.7791400924137755E-2</v>
      </c>
      <c r="AD482" s="33"/>
      <c r="AE482" s="33">
        <f t="shared" ref="AE482" si="1435">+AA482/BW482</f>
        <v>1281.6469344608879</v>
      </c>
      <c r="AF482" s="50"/>
      <c r="AG482" s="33">
        <f t="shared" ref="AG482" si="1436">SUM(W476:W482)</f>
        <v>1367</v>
      </c>
      <c r="AH482" s="33">
        <f t="shared" ref="AH482" si="1437">SUM(D453:D858)</f>
        <v>1115259333.060914</v>
      </c>
      <c r="AI482" s="213">
        <f t="shared" ref="AI482" si="1438">+(AG482-AG475)/AG475</f>
        <v>-0.29753340184994859</v>
      </c>
      <c r="AJ482" s="50"/>
      <c r="AK482" s="111"/>
      <c r="AL482" s="23">
        <f t="shared" ref="AL482" si="1439">+AP482-AP481</f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ref="AR482" si="1440">+AL482/AP481</f>
        <v>5.6673009791798512E-4</v>
      </c>
      <c r="AS482" s="25"/>
      <c r="AT482" s="25"/>
      <c r="AU482" s="24"/>
      <c r="AV482" s="298">
        <f t="shared" ref="AV482" si="1441">+AP482/H482</f>
        <v>0.85452290663522734</v>
      </c>
      <c r="AW482" s="298"/>
      <c r="AX482" s="24">
        <f t="shared" ref="AX482" si="1442">+AP482/BW482</f>
        <v>61557.64059196617</v>
      </c>
      <c r="AY482" s="308"/>
      <c r="AZ482" s="111"/>
      <c r="BA482" s="65">
        <f t="shared" ref="BA482" si="1443">+BC482-BC481</f>
        <v>380659</v>
      </c>
      <c r="BB482" s="66"/>
      <c r="BC482" s="66">
        <v>508465671</v>
      </c>
      <c r="BD482" s="66"/>
      <c r="BE482" s="66">
        <f t="shared" ref="BE482" si="1444">+D482</f>
        <v>5132</v>
      </c>
      <c r="BF482" s="66"/>
      <c r="BG482" s="144">
        <f t="shared" ref="BG482" si="1445">+BE482/BA482</f>
        <v>1.3481882734941247E-2</v>
      </c>
      <c r="BH482" s="66"/>
      <c r="BI482" s="170"/>
      <c r="BJ482" s="66"/>
      <c r="BK482" s="66">
        <f t="shared" ref="BK482" si="1446">SUM(BA476:BA482)</f>
        <v>3587598</v>
      </c>
      <c r="BL482" s="66"/>
      <c r="BM482" s="144">
        <f t="shared" ref="BM482" si="1447">+Q482/BK482</f>
        <v>2.2251935696251363E-2</v>
      </c>
      <c r="BN482" s="65">
        <f t="shared" ref="BN482" si="1448">+BC482/BW482</f>
        <v>1074980.2769556025</v>
      </c>
      <c r="BO482" s="66"/>
      <c r="BP482" s="66">
        <f t="shared" ref="BP482" si="1449">+BP481+BE482</f>
        <v>33166730</v>
      </c>
      <c r="BQ482" s="66"/>
      <c r="BR482" s="435">
        <f t="shared" ref="BR482" si="1450">+BP482/BC482</f>
        <v>6.5229044735254108E-2</v>
      </c>
      <c r="BS482" s="66"/>
      <c r="BT482" s="75"/>
      <c r="BU482" s="170"/>
      <c r="BV482" s="1"/>
      <c r="BW482" s="61">
        <f t="shared" si="1175"/>
        <v>473</v>
      </c>
    </row>
    <row r="483" spans="2:85" x14ac:dyDescent="0.3">
      <c r="B483" s="158">
        <f t="shared" si="424"/>
        <v>44383</v>
      </c>
      <c r="C483" s="61"/>
      <c r="D483" s="17">
        <v>11612</v>
      </c>
      <c r="E483" s="16"/>
      <c r="F483" s="16"/>
      <c r="G483" s="16"/>
      <c r="H483" s="16">
        <f t="shared" ref="H483" si="1451">+H482+D483</f>
        <v>34085320</v>
      </c>
      <c r="I483" s="16"/>
      <c r="J483" s="436">
        <f t="shared" ref="J483" si="1452">+D483/H482</f>
        <v>3.4079061779833294E-4</v>
      </c>
      <c r="K483" s="16"/>
      <c r="L483" s="16"/>
      <c r="M483" s="16"/>
      <c r="N483" s="16">
        <f t="shared" ref="N483" si="1453">SUM(D477:D483)</f>
        <v>80016</v>
      </c>
      <c r="O483" s="16">
        <f t="shared" ref="O483" si="1454">+H483/BW483</f>
        <v>71909.957805907179</v>
      </c>
      <c r="P483" s="41"/>
      <c r="Q483" s="17">
        <f t="shared" ref="Q483" si="1455">SUM(D477:D483)</f>
        <v>80016</v>
      </c>
      <c r="R483" s="16"/>
      <c r="S483" s="60">
        <f t="shared" ref="S483" si="1456">+(Q483-Q476)/Q476</f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ref="Z483" si="1457">SUM(W478:W483)</f>
        <v>1026</v>
      </c>
      <c r="AA483" s="33">
        <f t="shared" ref="AA483" si="1458">+AA482+W483</f>
        <v>606421</v>
      </c>
      <c r="AB483" s="33"/>
      <c r="AC483" s="46">
        <f t="shared" ref="AC483" si="1459">+AA483/H483</f>
        <v>1.7791266152114751E-2</v>
      </c>
      <c r="AD483" s="33"/>
      <c r="AE483" s="33">
        <f t="shared" ref="AE483" si="1460">+AA483/BW483</f>
        <v>1279.3691983122362</v>
      </c>
      <c r="AF483" s="50"/>
      <c r="AG483" s="33">
        <f t="shared" ref="AG483" si="1461">SUM(W477:W483)</f>
        <v>1275</v>
      </c>
      <c r="AH483" s="33">
        <f t="shared" ref="AH483" si="1462">SUM(D454:D859)</f>
        <v>1115252925.060914</v>
      </c>
      <c r="AI483" s="213">
        <f t="shared" ref="AI483" si="1463">+(AG483-AG476)/AG476</f>
        <v>-0.29519071310116085</v>
      </c>
      <c r="AJ483" s="50"/>
      <c r="AK483" s="111"/>
      <c r="AL483" s="23">
        <f t="shared" ref="AL483" si="1464">+AP483-AP482</f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ref="AR483" si="1465">+AL483/AP482</f>
        <v>9.7953879764935419E-4</v>
      </c>
      <c r="AS483" s="25"/>
      <c r="AT483" s="25"/>
      <c r="AU483" s="24"/>
      <c r="AV483" s="298">
        <f t="shared" ref="AV483" si="1466">+AP483/H483</f>
        <v>0.85506854563782886</v>
      </c>
      <c r="AW483" s="298"/>
      <c r="AX483" s="24">
        <f t="shared" ref="AX483" si="1467">+AP483/BW483</f>
        <v>61487.943037974685</v>
      </c>
      <c r="AY483" s="308"/>
      <c r="AZ483" s="111"/>
      <c r="BA483" s="65">
        <f t="shared" ref="BA483" si="1468">+BC483-BC482</f>
        <v>750932</v>
      </c>
      <c r="BB483" s="66"/>
      <c r="BC483" s="66">
        <v>509216603</v>
      </c>
      <c r="BD483" s="66"/>
      <c r="BE483" s="66">
        <f t="shared" ref="BE483" si="1469">+D483</f>
        <v>11612</v>
      </c>
      <c r="BF483" s="66"/>
      <c r="BG483" s="144">
        <f t="shared" ref="BG483" si="1470">+BE483/BA483</f>
        <v>1.5463450751865681E-2</v>
      </c>
      <c r="BH483" s="66"/>
      <c r="BI483" s="170"/>
      <c r="BJ483" s="66"/>
      <c r="BK483" s="66">
        <f t="shared" ref="BK483" si="1471">SUM(BA477:BA483)</f>
        <v>3824004</v>
      </c>
      <c r="BL483" s="66"/>
      <c r="BM483" s="144">
        <f t="shared" ref="BM483" si="1472">+Q483/BK483</f>
        <v>2.0924664304744451E-2</v>
      </c>
      <c r="BN483" s="65">
        <f t="shared" ref="BN483" si="1473">+BC483/BW483</f>
        <v>1074296.6308016877</v>
      </c>
      <c r="BO483" s="66"/>
      <c r="BP483" s="66">
        <f t="shared" ref="BP483" si="1474">+BP482+BE483</f>
        <v>33178342</v>
      </c>
      <c r="BQ483" s="66"/>
      <c r="BR483" s="435">
        <f t="shared" ref="BR483" si="1475">+BP483/BC483</f>
        <v>6.5155656364173975E-2</v>
      </c>
      <c r="BS483" s="66"/>
      <c r="BT483" s="75"/>
      <c r="BU483" s="170"/>
      <c r="BV483" s="1"/>
      <c r="BW483" s="61">
        <f t="shared" si="1175"/>
        <v>474</v>
      </c>
    </row>
    <row r="484" spans="2:85" x14ac:dyDescent="0.3">
      <c r="B484" s="158">
        <f t="shared" si="424"/>
        <v>44384</v>
      </c>
      <c r="C484" s="61"/>
      <c r="D484" s="17">
        <v>16812</v>
      </c>
      <c r="E484" s="16"/>
      <c r="F484" s="16"/>
      <c r="G484" s="16"/>
      <c r="H484" s="16">
        <f t="shared" ref="H484" si="1476">+H483+D484</f>
        <v>34102132</v>
      </c>
      <c r="I484" s="16"/>
      <c r="J484" s="436">
        <f t="shared" ref="J484" si="1477">+D484/H483</f>
        <v>4.9323286388392427E-4</v>
      </c>
      <c r="K484" s="16"/>
      <c r="L484" s="16"/>
      <c r="M484" s="16"/>
      <c r="N484" s="16">
        <f t="shared" ref="N484" si="1478">SUM(D478:D484)</f>
        <v>82631</v>
      </c>
      <c r="O484" s="16">
        <f t="shared" ref="O484" si="1479">+H484/BW484</f>
        <v>71793.962105263156</v>
      </c>
      <c r="P484" s="41"/>
      <c r="Q484" s="17">
        <f t="shared" ref="Q484" si="1480">SUM(D478:D484)</f>
        <v>82631</v>
      </c>
      <c r="R484" s="16"/>
      <c r="S484" s="60">
        <f t="shared" ref="S484" si="1481">+(Q484-Q477)/Q477</f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ref="Z484" si="1482">SUM(W479:W484)</f>
        <v>962</v>
      </c>
      <c r="AA484" s="33">
        <f t="shared" ref="AA484" si="1483">+AA483+W484</f>
        <v>606672</v>
      </c>
      <c r="AB484" s="33"/>
      <c r="AC484" s="46">
        <f t="shared" ref="AC484" si="1484">+AA484/H484</f>
        <v>1.7789855484695208E-2</v>
      </c>
      <c r="AD484" s="33"/>
      <c r="AE484" s="33">
        <f t="shared" ref="AE484" si="1485">+AA484/BW484</f>
        <v>1277.2042105263158</v>
      </c>
      <c r="AF484" s="50"/>
      <c r="AG484" s="33">
        <f t="shared" ref="AG484" si="1486">SUM(W478:W484)</f>
        <v>1277</v>
      </c>
      <c r="AH484" s="33">
        <f t="shared" ref="AH484" si="1487">SUM(D455:D860)</f>
        <v>1115240642.060914</v>
      </c>
      <c r="AI484" s="213">
        <f t="shared" ref="AI484" si="1488">+(AG484-AG477)/AG477</f>
        <v>-0.26142278773857719</v>
      </c>
      <c r="AJ484" s="50"/>
      <c r="AK484" s="111"/>
      <c r="AL484" s="23">
        <f t="shared" ref="AL484" si="1489">+AP484-AP483</f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ref="AR484" si="1490">+AL484/AP483</f>
        <v>7.9011064739974233E-4</v>
      </c>
      <c r="AS484" s="25"/>
      <c r="AT484" s="25"/>
      <c r="AU484" s="24"/>
      <c r="AV484" s="298">
        <f t="shared" ref="AV484" si="1491">+AP484/H484</f>
        <v>0.85532227134655392</v>
      </c>
      <c r="AW484" s="298"/>
      <c r="AX484" s="24">
        <f t="shared" ref="AX484" si="1492">+AP484/BW484</f>
        <v>61406.974736842109</v>
      </c>
      <c r="AY484" s="308"/>
      <c r="AZ484" s="111"/>
      <c r="BA484" s="65">
        <f t="shared" ref="BA484" si="1493">+BC484-BC483</f>
        <v>486270</v>
      </c>
      <c r="BB484" s="66"/>
      <c r="BC484" s="66">
        <v>509702873</v>
      </c>
      <c r="BD484" s="66"/>
      <c r="BE484" s="66">
        <f t="shared" ref="BE484" si="1494">+D484</f>
        <v>16812</v>
      </c>
      <c r="BF484" s="66"/>
      <c r="BG484" s="144">
        <f t="shared" ref="BG484" si="1495">+BE484/BA484</f>
        <v>3.4573385156394597E-2</v>
      </c>
      <c r="BH484" s="66"/>
      <c r="BI484" s="170"/>
      <c r="BJ484" s="66"/>
      <c r="BK484" s="66">
        <f t="shared" ref="BK484" si="1496">SUM(BA478:BA484)</f>
        <v>3543745</v>
      </c>
      <c r="BL484" s="66"/>
      <c r="BM484" s="144">
        <f t="shared" ref="BM484" si="1497">+Q484/BK484</f>
        <v>2.3317422670084895E-2</v>
      </c>
      <c r="BN484" s="65">
        <f t="shared" ref="BN484" si="1498">+BC484/BW484</f>
        <v>1073058.68</v>
      </c>
      <c r="BO484" s="66"/>
      <c r="BP484" s="66">
        <f t="shared" ref="BP484" si="1499">+BP483+BE484</f>
        <v>33195154</v>
      </c>
      <c r="BQ484" s="66"/>
      <c r="BR484" s="435">
        <f t="shared" ref="BR484" si="1500">+BP484/BC484</f>
        <v>6.5126480069889664E-2</v>
      </c>
      <c r="BS484" s="66"/>
      <c r="BT484" s="75"/>
      <c r="BU484" s="170"/>
      <c r="BV484" s="1"/>
      <c r="BW484" s="61">
        <f t="shared" si="1175"/>
        <v>475</v>
      </c>
    </row>
    <row r="485" spans="2:85" x14ac:dyDescent="0.3">
      <c r="B485" s="158">
        <f t="shared" si="424"/>
        <v>44385</v>
      </c>
      <c r="C485" s="61"/>
      <c r="D485" s="17">
        <v>19347</v>
      </c>
      <c r="E485" s="16"/>
      <c r="F485" s="16"/>
      <c r="G485" s="16"/>
      <c r="H485" s="16">
        <f t="shared" ref="H485" si="1501">+H484+D485</f>
        <v>34121479</v>
      </c>
      <c r="I485" s="16"/>
      <c r="J485" s="436">
        <f t="shared" ref="J485" si="1502">+D485/H484</f>
        <v>5.6732523350739477E-4</v>
      </c>
      <c r="K485" s="16"/>
      <c r="L485" s="16"/>
      <c r="M485" s="16"/>
      <c r="N485" s="16">
        <f t="shared" ref="N485" si="1503">SUM(D479:D485)</f>
        <v>85029</v>
      </c>
      <c r="O485" s="16">
        <f t="shared" ref="O485" si="1504">+H485/BW485</f>
        <v>71683.779411764699</v>
      </c>
      <c r="P485" s="41"/>
      <c r="Q485" s="17">
        <f t="shared" ref="Q485" si="1505">SUM(D479:D485)</f>
        <v>85029</v>
      </c>
      <c r="R485" s="16"/>
      <c r="S485" s="60">
        <f t="shared" ref="S485" si="1506">+(Q485-Q478)/Q478</f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ref="Z485" si="1507">SUM(W480:W485)</f>
        <v>901</v>
      </c>
      <c r="AA485" s="33">
        <f t="shared" ref="AA485" si="1508">+AA484+W485</f>
        <v>606933</v>
      </c>
      <c r="AB485" s="33"/>
      <c r="AC485" s="46">
        <f t="shared" ref="AC485" si="1509">+AA485/H485</f>
        <v>1.7787417714220419E-2</v>
      </c>
      <c r="AD485" s="33"/>
      <c r="AE485" s="33">
        <f t="shared" ref="AE485" si="1510">+AA485/BW485</f>
        <v>1275.0693277310925</v>
      </c>
      <c r="AF485" s="50"/>
      <c r="AG485" s="33">
        <f t="shared" ref="AG485" si="1511">SUM(W479:W485)</f>
        <v>1223</v>
      </c>
      <c r="AH485" s="33">
        <f t="shared" ref="AH485" si="1512">SUM(D456:D861)</f>
        <v>1115227100.060914</v>
      </c>
      <c r="AI485" s="213">
        <f t="shared" ref="AI485" si="1513">+(AG485-AG478)/AG478</f>
        <v>-0.26502403846153844</v>
      </c>
      <c r="AJ485" s="50"/>
      <c r="AK485" s="111"/>
      <c r="AL485" s="23">
        <f t="shared" ref="AL485" si="1514">+AP485-AP484</f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ref="AR485" si="1515">+AL485/AP484</f>
        <v>1.1997608500704171E-3</v>
      </c>
      <c r="AS485" s="25"/>
      <c r="AT485" s="25"/>
      <c r="AU485" s="24"/>
      <c r="AV485" s="298">
        <f t="shared" ref="AV485" si="1516">+AP485/H485</f>
        <v>0.85586290090180439</v>
      </c>
      <c r="AW485" s="298"/>
      <c r="AX485" s="24">
        <f t="shared" ref="AX485" si="1517">+AP485/BW485</f>
        <v>61351.487394957985</v>
      </c>
      <c r="AY485" s="308"/>
      <c r="AZ485" s="111"/>
      <c r="BA485" s="65">
        <f t="shared" ref="BA485" si="1518">+BC485-BC484</f>
        <v>777468</v>
      </c>
      <c r="BB485" s="66"/>
      <c r="BC485" s="66">
        <v>510480341</v>
      </c>
      <c r="BD485" s="66"/>
      <c r="BE485" s="66">
        <f t="shared" ref="BE485" si="1519">+D485</f>
        <v>19347</v>
      </c>
      <c r="BF485" s="66"/>
      <c r="BG485" s="144">
        <f t="shared" ref="BG485" si="1520">+BE485/BA485</f>
        <v>2.4884625476546945E-2</v>
      </c>
      <c r="BH485" s="66"/>
      <c r="BI485" s="170"/>
      <c r="BJ485" s="66"/>
      <c r="BK485" s="66">
        <f t="shared" ref="BK485" si="1521">SUM(BA479:BA485)</f>
        <v>3875729</v>
      </c>
      <c r="BL485" s="66"/>
      <c r="BM485" s="144">
        <f t="shared" ref="BM485" si="1522">+Q485/BK485</f>
        <v>2.193884040912045E-2</v>
      </c>
      <c r="BN485" s="65">
        <f t="shared" ref="BN485" si="1523">+BC485/BW485</f>
        <v>1072437.6911764706</v>
      </c>
      <c r="BO485" s="66"/>
      <c r="BP485" s="66">
        <f t="shared" ref="BP485" si="1524">+BP484+BE485</f>
        <v>33214501</v>
      </c>
      <c r="BQ485" s="66"/>
      <c r="BR485" s="435">
        <f t="shared" ref="BR485" si="1525">+BP485/BC485</f>
        <v>6.5065191217618307E-2</v>
      </c>
      <c r="BS485" s="66"/>
      <c r="BT485" s="75"/>
      <c r="BU485" s="170"/>
      <c r="BV485" s="1"/>
      <c r="BW485" s="61">
        <f t="shared" si="1175"/>
        <v>476</v>
      </c>
    </row>
    <row r="486" spans="2:85" x14ac:dyDescent="0.3">
      <c r="B486" s="158">
        <f t="shared" si="424"/>
        <v>44386</v>
      </c>
      <c r="C486" s="61"/>
      <c r="D486" s="17">
        <v>27237</v>
      </c>
      <c r="E486" s="16"/>
      <c r="F486" s="16"/>
      <c r="G486" s="16"/>
      <c r="H486" s="16">
        <f t="shared" ref="H486" si="1526">+H485+D486</f>
        <v>34148716</v>
      </c>
      <c r="I486" s="16"/>
      <c r="J486" s="436">
        <f t="shared" ref="J486" si="1527">+D486/H485</f>
        <v>7.9823620775641051E-4</v>
      </c>
      <c r="K486" s="16"/>
      <c r="L486" s="16"/>
      <c r="M486" s="16"/>
      <c r="N486" s="16">
        <f t="shared" ref="N486" si="1528">SUM(D480:D486)</f>
        <v>93867</v>
      </c>
      <c r="O486" s="16">
        <f t="shared" ref="O486" si="1529">+H486/BW486</f>
        <v>71590.599580712791</v>
      </c>
      <c r="P486" s="41"/>
      <c r="Q486" s="17">
        <f t="shared" ref="Q486" si="1530">SUM(D480:D486)</f>
        <v>93867</v>
      </c>
      <c r="R486" s="16"/>
      <c r="S486" s="60">
        <f t="shared" ref="S486" si="1531">+(Q486-Q479)/Q479</f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ref="Z486" si="1532">SUM(W481:W486)</f>
        <v>1171</v>
      </c>
      <c r="AA486" s="33">
        <f t="shared" ref="AA486" si="1533">+AA485+W486</f>
        <v>607299</v>
      </c>
      <c r="AB486" s="33"/>
      <c r="AC486" s="46">
        <f t="shared" ref="AC486" si="1534">+AA486/H486</f>
        <v>1.7783948304234923E-2</v>
      </c>
      <c r="AD486" s="33"/>
      <c r="AE486" s="33">
        <f t="shared" ref="AE486" si="1535">+AA486/BW486</f>
        <v>1273.1635220125786</v>
      </c>
      <c r="AF486" s="50"/>
      <c r="AG486" s="33">
        <f t="shared" ref="AG486" si="1536">SUM(W480:W486)</f>
        <v>1267</v>
      </c>
      <c r="AH486" s="33">
        <f t="shared" ref="AH486" si="1537">SUM(D457:D862)</f>
        <v>1115212899.060914</v>
      </c>
      <c r="AI486" s="213">
        <f t="shared" ref="AI486" si="1538">+(AG486-AG479)/AG479</f>
        <v>-0.20762976860537835</v>
      </c>
      <c r="AJ486" s="50"/>
      <c r="AK486" s="111"/>
      <c r="AL486" s="23">
        <f t="shared" ref="AL486" si="1539">+AP486-AP485</f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ref="AR486" si="1540">+AL486/AP485</f>
        <v>6.7334837546486172E-4</v>
      </c>
      <c r="AS486" s="25"/>
      <c r="AT486" s="25"/>
      <c r="AU486" s="24"/>
      <c r="AV486" s="298">
        <f t="shared" ref="AV486" si="1541">+AP486/H486</f>
        <v>0.8557560992922838</v>
      </c>
      <c r="AW486" s="298"/>
      <c r="AX486" s="24">
        <f t="shared" ref="AX486" si="1542">+AP486/BW486</f>
        <v>61264.092243186584</v>
      </c>
      <c r="AY486" s="308"/>
      <c r="AZ486" s="111"/>
      <c r="BA486" s="65">
        <f t="shared" ref="BA486" si="1543">+BC486-BC485</f>
        <v>947663</v>
      </c>
      <c r="BB486" s="66"/>
      <c r="BC486" s="66">
        <v>511428004</v>
      </c>
      <c r="BD486" s="66"/>
      <c r="BE486" s="66">
        <f t="shared" ref="BE486" si="1544">+D486</f>
        <v>27237</v>
      </c>
      <c r="BF486" s="66"/>
      <c r="BG486" s="144">
        <f t="shared" ref="BG486" si="1545">+BE486/BA486</f>
        <v>2.8741229740952216E-2</v>
      </c>
      <c r="BH486" s="66"/>
      <c r="BI486" s="170"/>
      <c r="BJ486" s="66"/>
      <c r="BK486" s="66">
        <f t="shared" ref="BK486" si="1546">SUM(BA480:BA486)</f>
        <v>4081419</v>
      </c>
      <c r="BL486" s="66"/>
      <c r="BM486" s="144">
        <f t="shared" ref="BM486" si="1547">+Q486/BK486</f>
        <v>2.2998618862704368E-2</v>
      </c>
      <c r="BN486" s="65">
        <f t="shared" ref="BN486" si="1548">+BC486/BW486</f>
        <v>1072176.109014675</v>
      </c>
      <c r="BO486" s="66"/>
      <c r="BP486" s="66">
        <f t="shared" ref="BP486" si="1549">+BP485+BE486</f>
        <v>33241738</v>
      </c>
      <c r="BQ486" s="66"/>
      <c r="BR486" s="435">
        <f t="shared" ref="BR486" si="1550">+BP486/BC486</f>
        <v>6.4997883846814139E-2</v>
      </c>
      <c r="BS486" s="66"/>
      <c r="BT486" s="75"/>
      <c r="BU486" s="170"/>
      <c r="BV486" s="1"/>
      <c r="BW486" s="61">
        <f t="shared" si="1175"/>
        <v>477</v>
      </c>
    </row>
    <row r="487" spans="2:85" x14ac:dyDescent="0.3">
      <c r="B487" s="158">
        <f t="shared" si="424"/>
        <v>44387</v>
      </c>
      <c r="C487" s="61"/>
      <c r="D487" s="17">
        <v>14535</v>
      </c>
      <c r="E487" s="16"/>
      <c r="F487" s="16"/>
      <c r="G487" s="16"/>
      <c r="H487" s="16">
        <f t="shared" ref="H487" si="1551">+H486+D487</f>
        <v>34163251</v>
      </c>
      <c r="I487" s="16"/>
      <c r="J487" s="436">
        <f t="shared" ref="J487" si="1552">+D487/H486</f>
        <v>4.2563825825837784E-4</v>
      </c>
      <c r="K487" s="16"/>
      <c r="L487" s="16"/>
      <c r="M487" s="16"/>
      <c r="N487" s="16">
        <f t="shared" ref="N487" si="1553">SUM(D481:D487)</f>
        <v>100424</v>
      </c>
      <c r="O487" s="16">
        <f t="shared" ref="O487" si="1554">+H487/BW487</f>
        <v>71471.236401673639</v>
      </c>
      <c r="P487" s="41"/>
      <c r="Q487" s="17">
        <f t="shared" ref="Q487" si="1555">SUM(D481:D487)</f>
        <v>100424</v>
      </c>
      <c r="R487" s="16"/>
      <c r="S487" s="60">
        <f t="shared" ref="S487" si="1556">+(Q487-Q480)/Q480</f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ref="Z487" si="1557">SUM(W482:W487)</f>
        <v>1234</v>
      </c>
      <c r="AA487" s="33">
        <f t="shared" ref="AA487" si="1558">+AA486+W487</f>
        <v>607417</v>
      </c>
      <c r="AB487" s="33"/>
      <c r="AC487" s="46">
        <f t="shared" ref="AC487" si="1559">+AA487/H487</f>
        <v>1.7779835999799903E-2</v>
      </c>
      <c r="AD487" s="33"/>
      <c r="AE487" s="33">
        <f t="shared" ref="AE487" si="1560">+AA487/BW487</f>
        <v>1270.7468619246863</v>
      </c>
      <c r="AF487" s="50"/>
      <c r="AG487" s="33">
        <f t="shared" ref="AG487" si="1561">SUM(W481:W487)</f>
        <v>1289</v>
      </c>
      <c r="AH487" s="33">
        <f t="shared" ref="AH487" si="1562">SUM(D458:D863)</f>
        <v>1115196135.060914</v>
      </c>
      <c r="AI487" s="213">
        <f t="shared" ref="AI487" si="1563">+(AG487-AG480)/AG480</f>
        <v>-0.16623544631306597</v>
      </c>
      <c r="AJ487" s="50"/>
      <c r="AK487" s="111"/>
      <c r="AL487" s="23">
        <f t="shared" ref="AL487" si="1564">+AP487-AP486</f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ref="AR487" si="1565">+AL487/AP486</f>
        <v>4.091986263409485E-4</v>
      </c>
      <c r="AS487" s="25"/>
      <c r="AT487" s="25"/>
      <c r="AU487" s="24"/>
      <c r="AV487" s="298">
        <f t="shared" ref="AV487" si="1566">+AP487/H487</f>
        <v>0.85574203696246587</v>
      </c>
      <c r="AW487" s="298"/>
      <c r="AX487" s="24">
        <f t="shared" ref="AX487" si="1567">+AP487/BW487</f>
        <v>61160.941422594144</v>
      </c>
      <c r="AY487" s="308"/>
      <c r="AZ487" s="111"/>
      <c r="BA487" s="65">
        <f t="shared" ref="BA487" si="1568">+BC487-BC486</f>
        <v>242661</v>
      </c>
      <c r="BB487" s="66"/>
      <c r="BC487" s="66">
        <v>511670665</v>
      </c>
      <c r="BD487" s="66"/>
      <c r="BE487" s="66">
        <f t="shared" ref="BE487" si="1569">+D487</f>
        <v>14535</v>
      </c>
      <c r="BF487" s="66"/>
      <c r="BG487" s="144">
        <f t="shared" ref="BG487" si="1570">+BE487/BA487</f>
        <v>5.9898376747808672E-2</v>
      </c>
      <c r="BH487" s="66"/>
      <c r="BI487" s="170"/>
      <c r="BJ487" s="66"/>
      <c r="BK487" s="66">
        <f t="shared" ref="BK487" si="1571">SUM(BA481:BA487)</f>
        <v>4068789</v>
      </c>
      <c r="BL487" s="66"/>
      <c r="BM487" s="144">
        <f t="shared" ref="BM487" si="1572">+Q487/BK487</f>
        <v>2.4681545295172594E-2</v>
      </c>
      <c r="BN487" s="65">
        <f t="shared" ref="BN487" si="1573">+BC487/BW487</f>
        <v>1070440.7217573221</v>
      </c>
      <c r="BO487" s="66"/>
      <c r="BP487" s="66">
        <f t="shared" ref="BP487" si="1574">+BP486+BE487</f>
        <v>33256273</v>
      </c>
      <c r="BQ487" s="66"/>
      <c r="BR487" s="435">
        <f t="shared" ref="BR487" si="1575">+BP487/BC487</f>
        <v>6.4995465393741111E-2</v>
      </c>
      <c r="BS487" s="66"/>
      <c r="BT487" s="75"/>
      <c r="BU487" s="170"/>
      <c r="BV487" s="1"/>
      <c r="BW487" s="61">
        <f t="shared" si="1175"/>
        <v>478</v>
      </c>
    </row>
    <row r="488" spans="2:85" x14ac:dyDescent="0.3">
      <c r="B488" s="347">
        <f t="shared" si="424"/>
        <v>44388</v>
      </c>
      <c r="C488" s="61"/>
      <c r="D488" s="17">
        <v>6642</v>
      </c>
      <c r="E488" s="16"/>
      <c r="F488" s="16"/>
      <c r="G488" s="16"/>
      <c r="H488" s="16">
        <f t="shared" ref="H488" si="1576">+H487+D488</f>
        <v>34169893</v>
      </c>
      <c r="I488" s="16"/>
      <c r="J488" s="436">
        <f t="shared" ref="J488" si="1577">+D488/H487</f>
        <v>1.9441943625330037E-4</v>
      </c>
      <c r="K488" s="16"/>
      <c r="L488" s="16"/>
      <c r="M488" s="16"/>
      <c r="N488" s="16">
        <f t="shared" ref="N488" si="1578">SUM(D482:D488)</f>
        <v>101317</v>
      </c>
      <c r="O488" s="16">
        <f t="shared" ref="O488" si="1579">+H488/BW488</f>
        <v>71335.893528183718</v>
      </c>
      <c r="P488" s="41"/>
      <c r="Q488" s="17">
        <f t="shared" ref="Q488" si="1580">SUM(D482:D488)</f>
        <v>101317</v>
      </c>
      <c r="R488" s="16"/>
      <c r="S488" s="60">
        <f t="shared" ref="S488" si="1581">+(Q488-Q481)/Q481</f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ref="Z488" si="1582">SUM(W483:W488)</f>
        <v>1225</v>
      </c>
      <c r="AA488" s="33">
        <f t="shared" ref="AA488" si="1583">+AA487+W488</f>
        <v>607444</v>
      </c>
      <c r="AB488" s="33"/>
      <c r="AC488" s="46">
        <f t="shared" ref="AC488" si="1584">+AA488/H488</f>
        <v>1.777717009532339E-2</v>
      </c>
      <c r="AD488" s="33"/>
      <c r="AE488" s="33">
        <f t="shared" ref="AE488" si="1585">+AA488/BW488</f>
        <v>1268.1503131524009</v>
      </c>
      <c r="AF488" s="50"/>
      <c r="AG488" s="33">
        <f t="shared" ref="AG488" si="1586">SUM(W482:W488)</f>
        <v>1261</v>
      </c>
      <c r="AH488" s="33">
        <f t="shared" ref="AH488" si="1587">SUM(D459:D864)</f>
        <v>1115179990.060914</v>
      </c>
      <c r="AI488" s="213">
        <f t="shared" ref="AI488" si="1588">+(AG488-AG481)/AG481</f>
        <v>-0.15652173913043479</v>
      </c>
      <c r="AJ488" s="50"/>
      <c r="AK488" s="111"/>
      <c r="AL488" s="23">
        <f t="shared" ref="AL488" si="1589">+AP488-AP487</f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ref="AR488" si="1590">+AL488/AP487</f>
        <v>3.1376849542653256E-4</v>
      </c>
      <c r="AS488" s="25"/>
      <c r="AT488" s="25"/>
      <c r="AU488" s="24"/>
      <c r="AV488" s="298">
        <f t="shared" ref="AV488" si="1591">+AP488/H488</f>
        <v>0.85584414911688489</v>
      </c>
      <c r="AW488" s="298"/>
      <c r="AX488" s="24">
        <f t="shared" ref="AX488" si="1592">+AP488/BW488</f>
        <v>61052.407098121083</v>
      </c>
      <c r="AY488" s="308"/>
      <c r="AZ488" s="111"/>
      <c r="BA488" s="65">
        <f t="shared" ref="BA488" si="1593">+BC488-BC487</f>
        <v>134862</v>
      </c>
      <c r="BB488" s="66"/>
      <c r="BC488" s="66">
        <v>511805527</v>
      </c>
      <c r="BD488" s="66"/>
      <c r="BE488" s="66">
        <f t="shared" ref="BE488" si="1594">+D488</f>
        <v>6642</v>
      </c>
      <c r="BF488" s="66"/>
      <c r="BG488" s="144">
        <f t="shared" ref="BG488" si="1595">+BE488/BA488</f>
        <v>4.9250344796903503E-2</v>
      </c>
      <c r="BH488" s="66"/>
      <c r="BI488" s="170"/>
      <c r="BJ488" s="66"/>
      <c r="BK488" s="66">
        <f t="shared" ref="BK488" si="1596">SUM(BA482:BA488)</f>
        <v>3720515</v>
      </c>
      <c r="BL488" s="66"/>
      <c r="BM488" s="144">
        <f t="shared" ref="BM488" si="1597">+Q488/BK488</f>
        <v>2.7231982669065975E-2</v>
      </c>
      <c r="BN488" s="65">
        <f t="shared" ref="BN488" si="1598">+BC488/BW488</f>
        <v>1068487.5302713988</v>
      </c>
      <c r="BO488" s="66"/>
      <c r="BP488" s="66">
        <f t="shared" ref="BP488" si="1599">+BP487+BE488</f>
        <v>33262915</v>
      </c>
      <c r="BQ488" s="66"/>
      <c r="BR488" s="435">
        <f t="shared" ref="BR488" si="1600">+BP488/BC488</f>
        <v>6.4991316516204795E-2</v>
      </c>
      <c r="BS488" s="66"/>
      <c r="BT488" s="75"/>
      <c r="BU488" s="170"/>
      <c r="BV488" s="1"/>
      <c r="BW488" s="61">
        <f t="shared" si="1175"/>
        <v>479</v>
      </c>
    </row>
    <row r="489" spans="2:85" x14ac:dyDescent="0.3">
      <c r="B489" s="158">
        <f t="shared" si="424"/>
        <v>44389</v>
      </c>
      <c r="C489" s="61"/>
      <c r="D489" s="17"/>
      <c r="E489" s="16"/>
      <c r="F489" s="16"/>
      <c r="G489" s="16"/>
      <c r="H489" s="16"/>
      <c r="I489" s="16"/>
      <c r="J489" s="436"/>
      <c r="K489" s="16"/>
      <c r="L489" s="16"/>
      <c r="M489" s="16"/>
      <c r="N489" s="16"/>
      <c r="O489" s="16"/>
      <c r="P489" s="41"/>
      <c r="Q489" s="410"/>
      <c r="R489" s="16"/>
      <c r="S489" s="60"/>
      <c r="T489" s="16"/>
      <c r="U489" s="41"/>
      <c r="V489" s="10"/>
      <c r="W489" s="34"/>
      <c r="X489" s="33"/>
      <c r="Y489" s="33"/>
      <c r="Z489" s="33"/>
      <c r="AA489" s="33"/>
      <c r="AB489" s="33"/>
      <c r="AC489" s="46"/>
      <c r="AD489" s="33"/>
      <c r="AE489" s="33"/>
      <c r="AF489" s="50"/>
      <c r="AG489" s="33"/>
      <c r="AH489" s="33"/>
      <c r="AI489" s="213"/>
      <c r="AJ489" s="50"/>
      <c r="AK489" s="10"/>
      <c r="AL489" s="23"/>
      <c r="AM489" s="24"/>
      <c r="AN489" s="24"/>
      <c r="AO489" s="24"/>
      <c r="AP489" s="24"/>
      <c r="AQ489" s="24"/>
      <c r="AR489" s="461"/>
      <c r="AS489" s="25"/>
      <c r="AT489" s="25"/>
      <c r="AU489" s="24"/>
      <c r="AV489" s="298"/>
      <c r="AW489" s="298"/>
      <c r="AX489" s="24"/>
      <c r="AY489" s="308"/>
      <c r="AZ489" s="10"/>
      <c r="BA489" s="65"/>
      <c r="BB489" s="66"/>
      <c r="BC489" s="66"/>
      <c r="BD489" s="66"/>
      <c r="BE489" s="66"/>
      <c r="BF489" s="66"/>
      <c r="BG489" s="144"/>
      <c r="BH489" s="66"/>
      <c r="BI489" s="170"/>
      <c r="BJ489" s="66"/>
      <c r="BK489" s="66"/>
      <c r="BL489" s="66"/>
      <c r="BM489" s="144"/>
      <c r="BN489" s="65"/>
      <c r="BO489" s="66"/>
      <c r="BP489" s="66"/>
      <c r="BQ489" s="66"/>
      <c r="BR489" s="435"/>
      <c r="BS489" s="66"/>
      <c r="BT489" s="75"/>
      <c r="BU489" s="170"/>
      <c r="BV489" s="1"/>
      <c r="BW489" s="61"/>
    </row>
    <row r="490" spans="2:85" x14ac:dyDescent="0.3">
      <c r="B490" s="158">
        <f t="shared" si="424"/>
        <v>44390</v>
      </c>
      <c r="D490" s="559"/>
      <c r="E490" s="19"/>
      <c r="F490" s="19"/>
      <c r="G490" s="19"/>
      <c r="H490" s="19"/>
      <c r="I490" s="19"/>
      <c r="J490" s="39"/>
      <c r="K490" s="19"/>
      <c r="L490" s="19"/>
      <c r="M490" s="19"/>
      <c r="N490" s="19"/>
      <c r="O490" s="19"/>
      <c r="P490" s="43"/>
      <c r="Q490" s="18"/>
      <c r="R490" s="19"/>
      <c r="S490" s="19"/>
      <c r="T490" s="19"/>
      <c r="U490" s="43"/>
      <c r="V490" s="1"/>
      <c r="W490" s="35"/>
      <c r="X490" s="36"/>
      <c r="Y490" s="36"/>
      <c r="Z490" s="36"/>
      <c r="AA490" s="36"/>
      <c r="AB490" s="36"/>
      <c r="AC490" s="47"/>
      <c r="AD490" s="36"/>
      <c r="AE490" s="36"/>
      <c r="AF490" s="51"/>
      <c r="AG490" s="36"/>
      <c r="AH490" s="36"/>
      <c r="AI490" s="36"/>
      <c r="AJ490" s="51"/>
      <c r="AK490" s="1"/>
      <c r="AL490" s="26"/>
      <c r="AM490" s="27"/>
      <c r="AN490" s="27"/>
      <c r="AO490" s="27"/>
      <c r="AP490" s="27"/>
      <c r="AQ490" s="27"/>
      <c r="AR490" s="27"/>
      <c r="AS490" s="27"/>
      <c r="AT490" s="27"/>
      <c r="AU490" s="27"/>
      <c r="AV490" s="300"/>
      <c r="AW490" s="300"/>
      <c r="AX490" s="27"/>
      <c r="AY490" s="307"/>
      <c r="AZ490" s="1"/>
      <c r="BA490" s="67"/>
      <c r="BB490" s="68"/>
      <c r="BC490" s="68"/>
      <c r="BD490" s="68"/>
      <c r="BE490" s="68"/>
      <c r="BF490" s="68"/>
      <c r="BG490" s="68"/>
      <c r="BH490" s="68"/>
      <c r="BI490" s="171"/>
      <c r="BJ490" s="68"/>
      <c r="BK490" s="68"/>
      <c r="BL490" s="68"/>
      <c r="BM490" s="68"/>
      <c r="BN490" s="67"/>
      <c r="BO490" s="68"/>
      <c r="BP490" s="68"/>
      <c r="BQ490" s="68"/>
      <c r="BR490" s="70"/>
      <c r="BS490" s="68"/>
      <c r="BT490" s="68"/>
      <c r="BU490" s="171"/>
      <c r="BV490" s="1"/>
      <c r="BW490" s="61">
        <f>+BW461+1</f>
        <v>453</v>
      </c>
    </row>
    <row r="491" spans="2:85" x14ac:dyDescent="0.3">
      <c r="B491" s="56"/>
      <c r="D491" s="1"/>
      <c r="E491" s="1"/>
      <c r="F491" s="1"/>
      <c r="G491" s="1"/>
      <c r="H491" s="59"/>
      <c r="I491" s="1"/>
      <c r="J491" s="5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59"/>
      <c r="X491" s="1"/>
      <c r="Y491" s="1"/>
      <c r="Z491" s="1"/>
      <c r="AA491" s="1"/>
      <c r="AB491" s="1"/>
      <c r="AC491" s="59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59"/>
      <c r="BD491" s="1"/>
      <c r="BE491" s="59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</row>
    <row r="492" spans="2:85" x14ac:dyDescent="0.3">
      <c r="B492" s="166" t="s">
        <v>74</v>
      </c>
      <c r="D492" s="56">
        <f>+D488</f>
        <v>6642</v>
      </c>
      <c r="E492" s="56">
        <f>+E238</f>
        <v>0</v>
      </c>
      <c r="F492" s="56">
        <f>+F238</f>
        <v>0</v>
      </c>
      <c r="G492" s="56">
        <f>+G238</f>
        <v>0</v>
      </c>
      <c r="H492" s="56">
        <f t="shared" ref="H492:BS492" si="1601">+H488</f>
        <v>34169893</v>
      </c>
      <c r="I492" s="56">
        <f t="shared" si="1601"/>
        <v>0</v>
      </c>
      <c r="J492" s="56">
        <f t="shared" si="1601"/>
        <v>1.9441943625330037E-4</v>
      </c>
      <c r="K492" s="56">
        <f t="shared" si="1601"/>
        <v>0</v>
      </c>
      <c r="L492" s="56">
        <f t="shared" si="1601"/>
        <v>0</v>
      </c>
      <c r="M492" s="56">
        <f t="shared" si="1601"/>
        <v>0</v>
      </c>
      <c r="N492" s="56">
        <f t="shared" si="1601"/>
        <v>101317</v>
      </c>
      <c r="O492" s="56">
        <f t="shared" si="1601"/>
        <v>71335.893528183718</v>
      </c>
      <c r="P492" s="56">
        <f t="shared" si="1601"/>
        <v>0</v>
      </c>
      <c r="Q492" s="56">
        <f t="shared" si="1601"/>
        <v>101317</v>
      </c>
      <c r="R492" s="56">
        <f t="shared" si="1601"/>
        <v>0</v>
      </c>
      <c r="S492" s="56">
        <f t="shared" si="1601"/>
        <v>0.16884899805032244</v>
      </c>
      <c r="T492" s="56">
        <f t="shared" si="1601"/>
        <v>0</v>
      </c>
      <c r="U492" s="56">
        <f t="shared" si="1601"/>
        <v>0</v>
      </c>
      <c r="V492" s="56">
        <f t="shared" si="1601"/>
        <v>380</v>
      </c>
      <c r="W492" s="56">
        <f t="shared" si="1601"/>
        <v>27</v>
      </c>
      <c r="X492" s="56">
        <f t="shared" si="1601"/>
        <v>4256</v>
      </c>
      <c r="Y492" s="56">
        <f t="shared" si="1601"/>
        <v>0</v>
      </c>
      <c r="Z492" s="56">
        <f t="shared" si="1601"/>
        <v>1225</v>
      </c>
      <c r="AA492" s="56">
        <f t="shared" si="1601"/>
        <v>607444</v>
      </c>
      <c r="AB492" s="56">
        <f t="shared" si="1601"/>
        <v>0</v>
      </c>
      <c r="AC492" s="56">
        <f t="shared" si="1601"/>
        <v>1.777717009532339E-2</v>
      </c>
      <c r="AD492" s="56">
        <f t="shared" si="1601"/>
        <v>0</v>
      </c>
      <c r="AE492" s="56">
        <f t="shared" si="1601"/>
        <v>1268.1503131524009</v>
      </c>
      <c r="AF492" s="56">
        <f t="shared" si="1601"/>
        <v>0</v>
      </c>
      <c r="AG492" s="56">
        <f t="shared" si="1601"/>
        <v>1261</v>
      </c>
      <c r="AH492" s="56">
        <f t="shared" si="1601"/>
        <v>1115179990.060914</v>
      </c>
      <c r="AI492" s="56">
        <f t="shared" si="1601"/>
        <v>-0.15652173913043479</v>
      </c>
      <c r="AJ492" s="56">
        <f t="shared" si="1601"/>
        <v>0</v>
      </c>
      <c r="AK492" s="56">
        <f t="shared" si="1601"/>
        <v>0</v>
      </c>
      <c r="AL492" s="56">
        <f t="shared" si="1601"/>
        <v>9173</v>
      </c>
      <c r="AM492" s="56">
        <f t="shared" si="1601"/>
        <v>0</v>
      </c>
      <c r="AN492" s="56">
        <f t="shared" si="1601"/>
        <v>0</v>
      </c>
      <c r="AO492" s="56">
        <f t="shared" si="1601"/>
        <v>178263</v>
      </c>
      <c r="AP492" s="56">
        <f t="shared" si="1601"/>
        <v>29244103</v>
      </c>
      <c r="AQ492" s="56">
        <f t="shared" si="1601"/>
        <v>20336656</v>
      </c>
      <c r="AR492" s="56">
        <f t="shared" si="1601"/>
        <v>3.1376849542653256E-4</v>
      </c>
      <c r="AS492" s="56">
        <f t="shared" si="1601"/>
        <v>0</v>
      </c>
      <c r="AT492" s="56">
        <f t="shared" si="1601"/>
        <v>0</v>
      </c>
      <c r="AU492" s="56">
        <f t="shared" si="1601"/>
        <v>0</v>
      </c>
      <c r="AV492" s="56">
        <f t="shared" si="1601"/>
        <v>0.85584414911688489</v>
      </c>
      <c r="AW492" s="56">
        <f t="shared" si="1601"/>
        <v>0</v>
      </c>
      <c r="AX492" s="56">
        <f t="shared" si="1601"/>
        <v>61052.407098121083</v>
      </c>
      <c r="AY492" s="56">
        <f t="shared" si="1601"/>
        <v>0</v>
      </c>
      <c r="AZ492" s="56">
        <f t="shared" si="1601"/>
        <v>0</v>
      </c>
      <c r="BA492" s="56">
        <f t="shared" si="1601"/>
        <v>134862</v>
      </c>
      <c r="BB492" s="56">
        <f t="shared" si="1601"/>
        <v>0</v>
      </c>
      <c r="BC492" s="56">
        <f t="shared" si="1601"/>
        <v>511805527</v>
      </c>
      <c r="BD492" s="56">
        <f t="shared" si="1601"/>
        <v>0</v>
      </c>
      <c r="BE492" s="56">
        <f t="shared" si="1601"/>
        <v>6642</v>
      </c>
      <c r="BF492" s="56">
        <f t="shared" si="1601"/>
        <v>0</v>
      </c>
      <c r="BG492" s="56">
        <f t="shared" si="1601"/>
        <v>4.9250344796903503E-2</v>
      </c>
      <c r="BH492" s="56">
        <f t="shared" si="1601"/>
        <v>0</v>
      </c>
      <c r="BI492" s="56">
        <f t="shared" si="1601"/>
        <v>0</v>
      </c>
      <c r="BJ492" s="56">
        <f t="shared" si="1601"/>
        <v>0</v>
      </c>
      <c r="BK492" s="56">
        <f t="shared" si="1601"/>
        <v>3720515</v>
      </c>
      <c r="BL492" s="56">
        <f t="shared" si="1601"/>
        <v>0</v>
      </c>
      <c r="BM492" s="56">
        <f t="shared" si="1601"/>
        <v>2.7231982669065975E-2</v>
      </c>
      <c r="BN492" s="56">
        <f t="shared" si="1601"/>
        <v>1068487.5302713988</v>
      </c>
      <c r="BO492" s="56">
        <f t="shared" si="1601"/>
        <v>0</v>
      </c>
      <c r="BP492" s="56">
        <f t="shared" si="1601"/>
        <v>33262915</v>
      </c>
      <c r="BQ492" s="56">
        <f t="shared" si="1601"/>
        <v>0</v>
      </c>
      <c r="BR492" s="56">
        <f t="shared" si="1601"/>
        <v>6.4991316516204795E-2</v>
      </c>
      <c r="BS492" s="56">
        <f t="shared" si="1601"/>
        <v>0</v>
      </c>
      <c r="BT492" s="56">
        <f t="shared" ref="BT492" si="1602">+BT488</f>
        <v>0</v>
      </c>
      <c r="BU492" s="56">
        <f t="shared" ref="BU492" si="1603">+BU449</f>
        <v>0</v>
      </c>
      <c r="BV492" s="56">
        <f>+BV350</f>
        <v>0</v>
      </c>
      <c r="BW492" s="56"/>
      <c r="BX492" s="56"/>
      <c r="BY492" s="56"/>
      <c r="BZ492" s="56"/>
      <c r="CA492" s="56"/>
      <c r="CB492" s="56"/>
      <c r="CC492" s="56"/>
      <c r="CD492" s="56"/>
      <c r="CE492" s="61"/>
      <c r="CF492" s="61"/>
      <c r="CG492" s="145"/>
    </row>
    <row r="493" spans="2:85" x14ac:dyDescent="0.3">
      <c r="B493" t="s">
        <v>105</v>
      </c>
      <c r="D493" s="56">
        <f>+D487-D492</f>
        <v>7893</v>
      </c>
      <c r="E493" s="56">
        <f>+E237-E492</f>
        <v>0</v>
      </c>
      <c r="F493" s="56">
        <f>+F237-F492</f>
        <v>0</v>
      </c>
      <c r="G493" s="56">
        <f>+G237-G492</f>
        <v>0</v>
      </c>
      <c r="H493" s="56">
        <f t="shared" ref="H493:BS493" si="1604">+H487-H492</f>
        <v>-6642</v>
      </c>
      <c r="I493" s="56">
        <f t="shared" si="1604"/>
        <v>0</v>
      </c>
      <c r="J493" s="56">
        <f t="shared" si="1604"/>
        <v>2.3121882200507747E-4</v>
      </c>
      <c r="K493" s="56">
        <f t="shared" si="1604"/>
        <v>0</v>
      </c>
      <c r="L493" s="56">
        <f t="shared" si="1604"/>
        <v>0</v>
      </c>
      <c r="M493" s="56">
        <f t="shared" si="1604"/>
        <v>0</v>
      </c>
      <c r="N493" s="56">
        <f t="shared" si="1604"/>
        <v>-893</v>
      </c>
      <c r="O493" s="56">
        <f t="shared" si="1604"/>
        <v>135.34287348992075</v>
      </c>
      <c r="P493" s="56">
        <f t="shared" si="1604"/>
        <v>0</v>
      </c>
      <c r="Q493" s="56">
        <f t="shared" si="1604"/>
        <v>-893</v>
      </c>
      <c r="R493" s="56">
        <f t="shared" si="1604"/>
        <v>0</v>
      </c>
      <c r="S493" s="56">
        <f t="shared" si="1604"/>
        <v>-3.074523323244352E-2</v>
      </c>
      <c r="T493" s="56">
        <f t="shared" si="1604"/>
        <v>0</v>
      </c>
      <c r="U493" s="56">
        <f t="shared" si="1604"/>
        <v>0</v>
      </c>
      <c r="V493" s="56">
        <f t="shared" si="1604"/>
        <v>-1</v>
      </c>
      <c r="W493" s="56">
        <f t="shared" si="1604"/>
        <v>91</v>
      </c>
      <c r="X493" s="56">
        <f t="shared" si="1604"/>
        <v>0</v>
      </c>
      <c r="Y493" s="56">
        <f t="shared" si="1604"/>
        <v>0</v>
      </c>
      <c r="Z493" s="56">
        <f t="shared" si="1604"/>
        <v>9</v>
      </c>
      <c r="AA493" s="56">
        <f t="shared" si="1604"/>
        <v>-27</v>
      </c>
      <c r="AB493" s="56">
        <f t="shared" si="1604"/>
        <v>0</v>
      </c>
      <c r="AC493" s="56">
        <f t="shared" si="1604"/>
        <v>2.6659044765134365E-6</v>
      </c>
      <c r="AD493" s="56">
        <f t="shared" si="1604"/>
        <v>0</v>
      </c>
      <c r="AE493" s="56">
        <f t="shared" si="1604"/>
        <v>2.5965487722853595</v>
      </c>
      <c r="AF493" s="56">
        <f t="shared" si="1604"/>
        <v>0</v>
      </c>
      <c r="AG493" s="56">
        <f t="shared" si="1604"/>
        <v>28</v>
      </c>
      <c r="AH493" s="56">
        <f t="shared" si="1604"/>
        <v>16145</v>
      </c>
      <c r="AI493" s="56">
        <f t="shared" si="1604"/>
        <v>-9.7137071826311761E-3</v>
      </c>
      <c r="AJ493" s="56">
        <f t="shared" si="1604"/>
        <v>0</v>
      </c>
      <c r="AK493" s="56">
        <f t="shared" si="1604"/>
        <v>0</v>
      </c>
      <c r="AL493" s="56">
        <f t="shared" si="1604"/>
        <v>2785</v>
      </c>
      <c r="AM493" s="56">
        <f t="shared" si="1604"/>
        <v>0</v>
      </c>
      <c r="AN493" s="56">
        <f t="shared" si="1604"/>
        <v>0</v>
      </c>
      <c r="AO493" s="56">
        <f t="shared" si="1604"/>
        <v>0</v>
      </c>
      <c r="AP493" s="56">
        <f t="shared" si="1604"/>
        <v>-9173</v>
      </c>
      <c r="AQ493" s="56">
        <f t="shared" si="1604"/>
        <v>0</v>
      </c>
      <c r="AR493" s="56">
        <f t="shared" si="1604"/>
        <v>9.5430130914415945E-5</v>
      </c>
      <c r="AS493" s="56">
        <f t="shared" si="1604"/>
        <v>0</v>
      </c>
      <c r="AT493" s="56">
        <f t="shared" si="1604"/>
        <v>0</v>
      </c>
      <c r="AU493" s="56">
        <f t="shared" si="1604"/>
        <v>0</v>
      </c>
      <c r="AV493" s="56">
        <f t="shared" si="1604"/>
        <v>-1.0211215441902066E-4</v>
      </c>
      <c r="AW493" s="56">
        <f t="shared" si="1604"/>
        <v>0</v>
      </c>
      <c r="AX493" s="56">
        <f t="shared" si="1604"/>
        <v>108.53432447306113</v>
      </c>
      <c r="AY493" s="56">
        <f t="shared" si="1604"/>
        <v>0</v>
      </c>
      <c r="AZ493" s="56">
        <f t="shared" si="1604"/>
        <v>0</v>
      </c>
      <c r="BA493" s="56">
        <f t="shared" si="1604"/>
        <v>107799</v>
      </c>
      <c r="BB493" s="56">
        <f t="shared" si="1604"/>
        <v>0</v>
      </c>
      <c r="BC493" s="56">
        <f t="shared" si="1604"/>
        <v>-134862</v>
      </c>
      <c r="BD493" s="56">
        <f t="shared" si="1604"/>
        <v>0</v>
      </c>
      <c r="BE493" s="56">
        <f t="shared" si="1604"/>
        <v>7893</v>
      </c>
      <c r="BF493" s="56">
        <f t="shared" si="1604"/>
        <v>0</v>
      </c>
      <c r="BG493" s="56">
        <f t="shared" si="1604"/>
        <v>1.0648031950905169E-2</v>
      </c>
      <c r="BH493" s="56">
        <f t="shared" si="1604"/>
        <v>0</v>
      </c>
      <c r="BI493" s="56">
        <f t="shared" si="1604"/>
        <v>0</v>
      </c>
      <c r="BJ493" s="56">
        <f t="shared" si="1604"/>
        <v>0</v>
      </c>
      <c r="BK493" s="56">
        <f t="shared" si="1604"/>
        <v>348274</v>
      </c>
      <c r="BL493" s="56">
        <f t="shared" si="1604"/>
        <v>0</v>
      </c>
      <c r="BM493" s="56">
        <f t="shared" si="1604"/>
        <v>-2.5504373738933807E-3</v>
      </c>
      <c r="BN493" s="56">
        <f t="shared" si="1604"/>
        <v>1953.1914859232493</v>
      </c>
      <c r="BO493" s="56">
        <f t="shared" si="1604"/>
        <v>0</v>
      </c>
      <c r="BP493" s="56">
        <f t="shared" si="1604"/>
        <v>-6642</v>
      </c>
      <c r="BQ493" s="56">
        <f t="shared" si="1604"/>
        <v>0</v>
      </c>
      <c r="BR493" s="56">
        <f t="shared" si="1604"/>
        <v>4.1488775363168751E-6</v>
      </c>
      <c r="BS493" s="56">
        <f t="shared" si="1604"/>
        <v>0</v>
      </c>
      <c r="BT493" s="56">
        <f t="shared" ref="BT493" si="1605">+BT487-BT492</f>
        <v>0</v>
      </c>
      <c r="BU493" s="56">
        <f t="shared" ref="BU493" si="1606">+BU448-BU492</f>
        <v>0</v>
      </c>
      <c r="BV493" s="56">
        <f>+BV349-BV492</f>
        <v>0</v>
      </c>
      <c r="BW493" s="56"/>
      <c r="BX493" s="56"/>
      <c r="BY493" s="56"/>
      <c r="BZ493" s="56"/>
      <c r="CA493" s="56"/>
      <c r="CB493" s="56"/>
      <c r="CC493" s="56"/>
      <c r="CD493" s="56"/>
      <c r="CE493" s="61"/>
      <c r="CF493" s="61"/>
      <c r="CG493" s="105"/>
    </row>
    <row r="494" spans="2:85" x14ac:dyDescent="0.3">
      <c r="B494" s="56"/>
      <c r="D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10"/>
      <c r="BT494" s="10"/>
      <c r="BU494" s="10"/>
      <c r="BV494" s="10"/>
      <c r="BW494" s="10"/>
      <c r="BX494" s="10"/>
      <c r="BY494" s="10"/>
      <c r="BZ494" s="10"/>
      <c r="CA494" s="10"/>
      <c r="CB494" s="61"/>
      <c r="CC494" s="105"/>
      <c r="CD494" s="105"/>
      <c r="CE494" s="105"/>
      <c r="CF494" s="105"/>
    </row>
    <row r="495" spans="2:85" x14ac:dyDescent="0.3">
      <c r="B495" s="56"/>
      <c r="D495" s="56"/>
      <c r="H495" s="1"/>
      <c r="N495" s="145"/>
      <c r="O495" s="1"/>
      <c r="W495" s="56"/>
      <c r="AA495" s="59"/>
      <c r="BA495" s="59"/>
      <c r="BC495" s="56"/>
      <c r="BE495" s="59"/>
      <c r="BJ495" s="61"/>
      <c r="BK495" s="10">
        <f>+BK187</f>
        <v>4928581</v>
      </c>
      <c r="BL495" s="61"/>
      <c r="BM495" s="61"/>
      <c r="BN495" s="61"/>
      <c r="BO495" s="61"/>
      <c r="BP495" s="61"/>
      <c r="BQ495" s="61"/>
      <c r="BR495" s="61"/>
      <c r="BS495" s="10"/>
      <c r="BT495" s="10"/>
    </row>
    <row r="496" spans="2:85" x14ac:dyDescent="0.3">
      <c r="B496" s="56"/>
      <c r="D496" s="56"/>
      <c r="H496" s="56"/>
      <c r="N496" s="231"/>
      <c r="W496" s="56"/>
      <c r="AA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56"/>
      <c r="AU496" t="s">
        <v>161</v>
      </c>
      <c r="BC496" s="1"/>
      <c r="BE496" s="59"/>
      <c r="BH496" s="96"/>
      <c r="BI496" s="96"/>
      <c r="BJ496" s="96"/>
      <c r="BK496" s="493"/>
      <c r="BL496" s="96"/>
      <c r="BM496" s="96"/>
      <c r="BN496" s="96"/>
      <c r="BO496" s="96"/>
      <c r="BP496" s="96"/>
      <c r="BQ496" s="96"/>
      <c r="BR496" s="78"/>
      <c r="BS496" s="1"/>
      <c r="BT496" s="1"/>
    </row>
    <row r="497" spans="2:72" x14ac:dyDescent="0.3">
      <c r="D497" s="1"/>
      <c r="E497" s="111" t="s">
        <v>26</v>
      </c>
      <c r="F497" s="112"/>
      <c r="H497" s="112" t="s">
        <v>59</v>
      </c>
      <c r="I497" s="104"/>
      <c r="J497" s="104"/>
      <c r="K497" s="61"/>
      <c r="L497" s="10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BC497" s="56"/>
      <c r="BE497" s="59"/>
      <c r="BH497" s="96"/>
      <c r="BI497" s="96"/>
      <c r="BJ497" s="96"/>
      <c r="BK497" s="493">
        <f>+BK194-BK492</f>
        <v>2042594</v>
      </c>
      <c r="BL497" s="96"/>
      <c r="BM497" s="96"/>
      <c r="BN497" s="96"/>
      <c r="BO497" s="96"/>
      <c r="BP497" s="96"/>
      <c r="BQ497" s="96"/>
      <c r="BR497" s="78"/>
      <c r="BS497" s="1"/>
      <c r="BT497" s="1"/>
    </row>
    <row r="498" spans="2:72" x14ac:dyDescent="0.3">
      <c r="B498" s="56"/>
      <c r="D498" s="1"/>
      <c r="E498" s="111" t="s">
        <v>38</v>
      </c>
      <c r="F498" s="112"/>
      <c r="H498" s="112" t="s">
        <v>40</v>
      </c>
      <c r="I498" s="10"/>
      <c r="J498" s="10"/>
      <c r="K498" s="61"/>
      <c r="L498" s="10"/>
      <c r="AD498" s="1"/>
      <c r="AE498" s="1"/>
      <c r="AF498" s="1"/>
      <c r="AG498" s="1"/>
      <c r="AH498" s="1"/>
      <c r="AI498" s="1">
        <f>SUM(W213:W243)</f>
        <v>25465</v>
      </c>
      <c r="AJ498" s="1"/>
      <c r="AK498" s="1"/>
      <c r="AL498" s="1" t="s">
        <v>17</v>
      </c>
      <c r="AM498" s="1"/>
      <c r="AN498" s="1"/>
      <c r="AO498" s="1"/>
      <c r="BC498" s="56"/>
      <c r="BE498" s="59"/>
      <c r="BH498" s="97"/>
      <c r="BI498" s="97"/>
      <c r="BJ498" s="97"/>
      <c r="BK498" s="493">
        <f>+BK187-BK492</f>
        <v>1208066</v>
      </c>
      <c r="BL498" s="97"/>
      <c r="BM498" s="97"/>
      <c r="BN498" s="97"/>
      <c r="BO498" s="97"/>
      <c r="BP498" s="97"/>
      <c r="BQ498" s="97"/>
      <c r="BR498" s="78"/>
      <c r="BS498" s="1"/>
      <c r="BT498" s="1"/>
    </row>
    <row r="499" spans="2:72" x14ac:dyDescent="0.3">
      <c r="B499" s="231"/>
      <c r="D499" s="1"/>
      <c r="E499" s="111" t="s">
        <v>45</v>
      </c>
      <c r="F499" s="112"/>
      <c r="H499" s="112" t="s">
        <v>55</v>
      </c>
      <c r="I499" s="10"/>
      <c r="J499" s="10"/>
      <c r="K499" s="61"/>
      <c r="L499" s="10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BC499" s="56"/>
      <c r="BE499" s="59"/>
      <c r="BH499" s="97"/>
      <c r="BI499" s="97"/>
      <c r="BJ499" s="97"/>
      <c r="BK499" s="493"/>
      <c r="BL499" s="97"/>
      <c r="BM499" s="97"/>
      <c r="BN499" s="97"/>
      <c r="BO499" s="97"/>
      <c r="BP499" s="97"/>
      <c r="BQ499" s="97"/>
      <c r="BR499" s="78"/>
      <c r="BS499" s="1"/>
      <c r="BT499" s="1"/>
    </row>
    <row r="500" spans="2:72" x14ac:dyDescent="0.3">
      <c r="D500" s="1"/>
      <c r="E500" s="111" t="s">
        <v>60</v>
      </c>
      <c r="F500" s="61"/>
      <c r="H500" s="81" t="s">
        <v>135</v>
      </c>
      <c r="I500" s="61"/>
      <c r="J500" s="61"/>
      <c r="K500" s="61"/>
      <c r="L500" s="6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BH500" s="97"/>
      <c r="BI500" s="97"/>
      <c r="BJ500" s="97"/>
      <c r="BK500" s="496"/>
      <c r="BL500" s="97"/>
      <c r="BM500" s="97"/>
      <c r="BN500" s="97"/>
      <c r="BO500" s="97"/>
      <c r="BP500" s="97"/>
      <c r="BQ500" s="97"/>
      <c r="BR500" s="78"/>
      <c r="BS500" s="1"/>
      <c r="BT500" s="1"/>
    </row>
    <row r="501" spans="2:72" x14ac:dyDescent="0.3">
      <c r="E501" s="111" t="s">
        <v>136</v>
      </c>
      <c r="H501" s="81" t="s">
        <v>137</v>
      </c>
      <c r="AD501" s="1"/>
      <c r="AE501" s="1"/>
      <c r="AF501" s="1"/>
      <c r="AG501" s="1"/>
      <c r="AH501" s="1"/>
      <c r="AI501" s="1"/>
      <c r="BD501" s="78"/>
      <c r="BE501" s="78"/>
      <c r="BF501" s="78"/>
      <c r="BG501" s="78"/>
      <c r="BH501" s="78"/>
      <c r="BI501" s="78"/>
      <c r="BJ501" s="78"/>
      <c r="BK501" s="494"/>
      <c r="BL501" s="78"/>
      <c r="BM501" s="78"/>
      <c r="BN501" s="78"/>
      <c r="BO501" s="78"/>
      <c r="BP501" s="78"/>
      <c r="BQ501" s="78"/>
      <c r="BR501" s="78"/>
      <c r="BS501" s="1"/>
      <c r="BT501" s="1"/>
    </row>
    <row r="502" spans="2:72" x14ac:dyDescent="0.3">
      <c r="B502" s="56"/>
      <c r="AD502" s="1"/>
      <c r="AE502" s="1"/>
      <c r="AF502" s="1"/>
      <c r="AG502" s="1"/>
      <c r="AH502" s="1"/>
      <c r="AI502" s="1"/>
      <c r="BA502" s="545">
        <v>157602857</v>
      </c>
      <c r="BK502" s="495"/>
    </row>
    <row r="503" spans="2:72" ht="15" thickBot="1" x14ac:dyDescent="0.35">
      <c r="D503" s="56">
        <f>SUM(D363:D369)</f>
        <v>378583</v>
      </c>
      <c r="AD503" s="1"/>
      <c r="AE503" s="507"/>
      <c r="AF503" s="547"/>
      <c r="AG503" s="507"/>
      <c r="AH503" s="507"/>
      <c r="AI503" s="507"/>
      <c r="AJ503" s="500"/>
      <c r="AK503" s="500"/>
      <c r="AL503" s="500"/>
      <c r="AM503" s="500"/>
      <c r="AN503" s="500"/>
      <c r="AO503" s="500"/>
      <c r="AP503" s="500"/>
      <c r="AQ503" s="500"/>
      <c r="AR503" s="500"/>
      <c r="AS503" s="500"/>
      <c r="AT503" s="500"/>
      <c r="AU503" s="500"/>
      <c r="AV503" s="500"/>
      <c r="AW503" s="500"/>
      <c r="AX503" s="500"/>
      <c r="AZ503" s="106"/>
      <c r="BA503" s="106"/>
      <c r="BB503" s="106"/>
      <c r="BC503" s="106"/>
      <c r="BK503" s="1"/>
    </row>
    <row r="504" spans="2:72" x14ac:dyDescent="0.3">
      <c r="D504" s="531">
        <f>SUM(D356:D362)</f>
        <v>417052</v>
      </c>
      <c r="J504" s="486"/>
      <c r="V504" s="106"/>
      <c r="AA504" s="56"/>
      <c r="AD504" s="1"/>
      <c r="AE504" s="507"/>
      <c r="AF504" s="546"/>
      <c r="AG504" s="1"/>
      <c r="AH504" s="1"/>
      <c r="AI504" s="485"/>
      <c r="AJ504" s="464"/>
      <c r="AK504" s="465"/>
      <c r="AL504" s="465"/>
      <c r="AM504" s="465"/>
      <c r="AN504" s="465"/>
      <c r="AO504" s="465"/>
      <c r="AP504" s="465"/>
      <c r="AQ504" s="465"/>
      <c r="AR504" s="465"/>
      <c r="AS504" s="465"/>
      <c r="AT504" s="465"/>
      <c r="AU504" s="465"/>
      <c r="AV504" s="465"/>
      <c r="AW504" s="466"/>
      <c r="AX504" s="500"/>
      <c r="AZ504" s="106"/>
      <c r="BA504" s="77"/>
      <c r="BB504" s="106"/>
      <c r="BC504" s="106"/>
      <c r="BK504" s="56"/>
    </row>
    <row r="505" spans="2:72" x14ac:dyDescent="0.3">
      <c r="D505" s="1"/>
      <c r="J505" s="214"/>
      <c r="AD505" s="1"/>
      <c r="AE505" s="507"/>
      <c r="AF505" s="546"/>
      <c r="AG505" s="1"/>
      <c r="AH505" s="1"/>
      <c r="AI505" s="485"/>
      <c r="AJ505" s="467"/>
      <c r="AK505" s="587" t="s">
        <v>142</v>
      </c>
      <c r="AL505" s="587"/>
      <c r="AM505" s="587"/>
      <c r="AN505" s="587"/>
      <c r="AO505" s="587"/>
      <c r="AP505" s="587"/>
      <c r="AQ505" s="587"/>
      <c r="AR505" s="587"/>
      <c r="AS505" s="587"/>
      <c r="AT505" s="587"/>
      <c r="AU505" s="587"/>
      <c r="AV505" s="587"/>
      <c r="AW505" s="468"/>
      <c r="AX505" s="500"/>
      <c r="AZ505" s="106"/>
      <c r="BA505" s="106"/>
      <c r="BB505" s="106"/>
      <c r="BC505" s="106"/>
    </row>
    <row r="506" spans="2:72" ht="15.6" x14ac:dyDescent="0.3">
      <c r="D506" s="1">
        <v>331000000</v>
      </c>
      <c r="H506" s="235">
        <f>+H269/D506</f>
        <v>4.5635842900302113E-2</v>
      </c>
      <c r="J506" s="57"/>
      <c r="AD506" s="1"/>
      <c r="AE506" s="507"/>
      <c r="AF506" s="546"/>
      <c r="AG506" s="1"/>
      <c r="AH506" s="1"/>
      <c r="AI506" s="485"/>
      <c r="AJ506" s="467"/>
      <c r="AK506" s="587" t="s">
        <v>141</v>
      </c>
      <c r="AL506" s="587"/>
      <c r="AM506" s="587"/>
      <c r="AN506" s="587"/>
      <c r="AO506" s="473"/>
      <c r="AP506" s="474" t="s">
        <v>20</v>
      </c>
      <c r="AQ506" s="473"/>
      <c r="AR506" s="474" t="s">
        <v>4</v>
      </c>
      <c r="AS506" s="475"/>
      <c r="AT506" s="475"/>
      <c r="AU506" s="475"/>
      <c r="AV506" s="479" t="s">
        <v>10</v>
      </c>
      <c r="AW506" s="468"/>
      <c r="AX506" s="500"/>
      <c r="AZ506" s="106"/>
      <c r="BA506" s="106"/>
      <c r="BB506" s="106"/>
      <c r="BC506" s="106"/>
    </row>
    <row r="507" spans="2:72" ht="15.6" x14ac:dyDescent="0.3">
      <c r="H507" s="235">
        <f>+AA269/H269</f>
        <v>1.9000541790705667E-2</v>
      </c>
      <c r="AD507" s="1"/>
      <c r="AE507" s="507"/>
      <c r="AF507" s="546"/>
      <c r="AG507" s="1"/>
      <c r="AH507" s="1"/>
      <c r="AI507" s="485"/>
      <c r="AJ507" s="467"/>
      <c r="AK507" s="586" t="s">
        <v>138</v>
      </c>
      <c r="AL507" s="586"/>
      <c r="AM507" s="586"/>
      <c r="AN507" s="586"/>
      <c r="AO507" s="473"/>
      <c r="AP507" s="476">
        <f>+AH50</f>
        <v>898992</v>
      </c>
      <c r="AQ507" s="477"/>
      <c r="AR507" s="476">
        <f>+AH51</f>
        <v>55687</v>
      </c>
      <c r="AS507" s="478"/>
      <c r="AT507" s="478"/>
      <c r="AU507" s="478"/>
      <c r="AV507" s="491">
        <f t="shared" ref="AV507:AV513" si="1607">+AR507/AP507</f>
        <v>6.194382152455194E-2</v>
      </c>
      <c r="AW507" s="468"/>
      <c r="AX507" s="500"/>
      <c r="AZ507" s="106"/>
      <c r="BA507" s="77"/>
      <c r="BB507" s="106"/>
      <c r="BC507" s="106"/>
    </row>
    <row r="508" spans="2:72" ht="15.6" x14ac:dyDescent="0.3">
      <c r="D508" s="235"/>
      <c r="AD508" s="1"/>
      <c r="AE508" s="507"/>
      <c r="AF508" s="546"/>
      <c r="AG508" s="1"/>
      <c r="AH508" s="1"/>
      <c r="AI508" s="485"/>
      <c r="AJ508" s="467"/>
      <c r="AK508" s="582" t="s">
        <v>139</v>
      </c>
      <c r="AL508" s="583"/>
      <c r="AM508" s="583"/>
      <c r="AN508" s="583"/>
      <c r="AO508" s="64"/>
      <c r="AP508" s="469">
        <f>+AG83</f>
        <v>742147</v>
      </c>
      <c r="AQ508" s="64"/>
      <c r="AR508" s="469">
        <f>+AG84</f>
        <v>42339</v>
      </c>
      <c r="AS508" s="64"/>
      <c r="AT508" s="64"/>
      <c r="AU508" s="64"/>
      <c r="AV508" s="489">
        <f t="shared" si="1607"/>
        <v>5.7049344671608188E-2</v>
      </c>
      <c r="AW508" s="468"/>
      <c r="AX508" s="500"/>
      <c r="AZ508" s="106"/>
      <c r="BA508" s="77"/>
      <c r="BB508" s="106"/>
      <c r="BC508" s="106"/>
    </row>
    <row r="509" spans="2:72" ht="15.6" x14ac:dyDescent="0.3">
      <c r="AD509" s="1"/>
      <c r="AE509" s="507"/>
      <c r="AF509" s="546"/>
      <c r="AG509" s="1"/>
      <c r="AH509" s="1"/>
      <c r="AI509" s="485"/>
      <c r="AJ509" s="467"/>
      <c r="AK509" s="583" t="s">
        <v>140</v>
      </c>
      <c r="AL509" s="583"/>
      <c r="AM509" s="583"/>
      <c r="AN509" s="583"/>
      <c r="AO509" s="64"/>
      <c r="AP509" s="469">
        <f>+AH113</f>
        <v>869627</v>
      </c>
      <c r="AQ509" s="64"/>
      <c r="AR509" s="469">
        <f>+AH114</f>
        <v>21252</v>
      </c>
      <c r="AS509" s="64"/>
      <c r="AT509" s="64"/>
      <c r="AU509" s="64"/>
      <c r="AV509" s="489">
        <f t="shared" si="1607"/>
        <v>2.4438063675575852E-2</v>
      </c>
      <c r="AW509" s="468"/>
      <c r="AX509" s="500"/>
      <c r="AZ509" s="106"/>
      <c r="BA509" s="106"/>
      <c r="BB509" s="106"/>
      <c r="BC509" s="106"/>
    </row>
    <row r="510" spans="2:72" ht="15.6" x14ac:dyDescent="0.3">
      <c r="D510" s="428"/>
      <c r="AD510" s="1"/>
      <c r="AE510" s="507"/>
      <c r="AF510" s="546"/>
      <c r="AG510" s="1"/>
      <c r="AH510" s="1"/>
      <c r="AI510" s="485"/>
      <c r="AJ510" s="467"/>
      <c r="AK510" s="583" t="s">
        <v>143</v>
      </c>
      <c r="AL510" s="583"/>
      <c r="AM510" s="583"/>
      <c r="AN510" s="583"/>
      <c r="AO510" s="64"/>
      <c r="AP510" s="469">
        <f>+AG516</f>
        <v>1970617</v>
      </c>
      <c r="AQ510" s="64"/>
      <c r="AR510" s="469">
        <f>+AG518</f>
        <v>25901</v>
      </c>
      <c r="AS510" s="64"/>
      <c r="AT510" s="64"/>
      <c r="AU510" s="64"/>
      <c r="AV510" s="489">
        <f t="shared" si="1607"/>
        <v>1.3143599187462607E-2</v>
      </c>
      <c r="AW510" s="468"/>
      <c r="AX510" s="500"/>
    </row>
    <row r="511" spans="2:72" ht="15.6" x14ac:dyDescent="0.3">
      <c r="D511" s="428"/>
      <c r="AD511" s="1"/>
      <c r="AE511" s="507"/>
      <c r="AF511" s="546"/>
      <c r="AG511" s="1"/>
      <c r="AH511" s="1"/>
      <c r="AI511" s="485"/>
      <c r="AJ511" s="467"/>
      <c r="AK511" s="543"/>
      <c r="AL511" s="543" t="s">
        <v>151</v>
      </c>
      <c r="AM511" s="543"/>
      <c r="AN511" s="543"/>
      <c r="AO511" s="64"/>
      <c r="AP511" s="469">
        <f>SUM(D144:D174)</f>
        <v>1493931</v>
      </c>
      <c r="AQ511" s="64"/>
      <c r="AR511" s="469">
        <f>SUM(W144:W174)</f>
        <v>30354</v>
      </c>
      <c r="AS511" s="64"/>
      <c r="AT511" s="64"/>
      <c r="AU511" s="64"/>
      <c r="AV511" s="489">
        <f t="shared" si="1607"/>
        <v>2.0318207467413155E-2</v>
      </c>
      <c r="AW511" s="468"/>
      <c r="AX511" s="500"/>
    </row>
    <row r="512" spans="2:72" ht="15.6" x14ac:dyDescent="0.3">
      <c r="D512" s="428"/>
      <c r="AD512" s="1"/>
      <c r="AE512" s="507"/>
      <c r="AF512" s="546"/>
      <c r="AG512" s="1"/>
      <c r="AH512" s="1"/>
      <c r="AI512" s="485"/>
      <c r="AJ512" s="467"/>
      <c r="AK512" s="543"/>
      <c r="AL512" s="543" t="s">
        <v>152</v>
      </c>
      <c r="AM512" s="543"/>
      <c r="AN512" s="543"/>
      <c r="AO512" s="64"/>
      <c r="AP512" s="469">
        <f>SUM(D175:D204)</f>
        <v>1202331</v>
      </c>
      <c r="AQ512" s="64"/>
      <c r="AR512" s="544">
        <f>SUM(W175:W204)</f>
        <v>24042</v>
      </c>
      <c r="AS512" s="64"/>
      <c r="AT512" s="64"/>
      <c r="AU512" s="64"/>
      <c r="AV512" s="489">
        <f t="shared" si="1607"/>
        <v>1.9996157464125936E-2</v>
      </c>
      <c r="AW512" s="468"/>
      <c r="AX512" s="500"/>
    </row>
    <row r="513" spans="2:87" ht="15.6" x14ac:dyDescent="0.3">
      <c r="D513" s="428"/>
      <c r="AD513" s="1"/>
      <c r="AE513" s="507"/>
      <c r="AF513" s="546"/>
      <c r="AG513" s="1"/>
      <c r="AH513" s="1"/>
      <c r="AI513" s="485"/>
      <c r="AJ513" s="467"/>
      <c r="AK513" s="543"/>
      <c r="AL513" s="543" t="s">
        <v>153</v>
      </c>
      <c r="AM513" s="543"/>
      <c r="AN513" s="543"/>
      <c r="AO513" s="64"/>
      <c r="AP513" s="469">
        <f>SUM(D205:D230)</f>
        <v>1470960</v>
      </c>
      <c r="AQ513" s="64"/>
      <c r="AR513" s="469">
        <f>SUM(W205:W235)</f>
        <v>24156</v>
      </c>
      <c r="AS513" s="64"/>
      <c r="AT513" s="64"/>
      <c r="AU513" s="64"/>
      <c r="AV513" s="489">
        <f t="shared" si="1607"/>
        <v>1.6421928536465982E-2</v>
      </c>
      <c r="AW513" s="468"/>
      <c r="AX513" s="500"/>
      <c r="BA513" s="486">
        <f>+AV507-AV513</f>
        <v>4.5521892988085955E-2</v>
      </c>
    </row>
    <row r="514" spans="2:87" ht="15" thickBot="1" x14ac:dyDescent="0.35">
      <c r="B514" s="427"/>
      <c r="D514" s="235"/>
      <c r="AD514" s="1"/>
      <c r="AE514" s="507"/>
      <c r="AF514" s="546"/>
      <c r="AG514" s="1"/>
      <c r="AH514" s="1"/>
      <c r="AI514" s="485"/>
      <c r="AJ514" s="467"/>
      <c r="AK514" s="480"/>
      <c r="AL514" s="480"/>
      <c r="AM514" s="480"/>
      <c r="AN514" s="480"/>
      <c r="AO514" s="481"/>
      <c r="AP514" s="482"/>
      <c r="AQ514" s="481"/>
      <c r="AR514" s="482"/>
      <c r="AS514" s="481"/>
      <c r="AT514" s="481"/>
      <c r="AU514" s="481"/>
      <c r="AV514" s="483"/>
      <c r="AW514" s="468"/>
      <c r="AX514" s="500"/>
      <c r="BA514">
        <f>+BA513/AV507</f>
        <v>0.73488996751747038</v>
      </c>
    </row>
    <row r="515" spans="2:87" ht="15.6" x14ac:dyDescent="0.3">
      <c r="B515" s="427"/>
      <c r="D515" s="235"/>
      <c r="AD515" s="1"/>
      <c r="AE515" s="507"/>
      <c r="AF515" s="546"/>
      <c r="AG515" s="1"/>
      <c r="AH515" s="1"/>
      <c r="AI515" s="485"/>
      <c r="AJ515" s="467"/>
      <c r="AK515" s="586" t="s">
        <v>138</v>
      </c>
      <c r="AL515" s="586"/>
      <c r="AM515" s="586"/>
      <c r="AN515" s="586"/>
      <c r="AO515" s="64"/>
      <c r="AP515" s="469"/>
      <c r="AQ515" s="64"/>
      <c r="AR515" s="469">
        <f>+AR507</f>
        <v>55687</v>
      </c>
      <c r="AS515" s="64"/>
      <c r="AT515" s="64"/>
      <c r="AU515" s="64"/>
      <c r="AV515" s="144"/>
      <c r="AW515" s="468"/>
      <c r="AX515" s="500"/>
    </row>
    <row r="516" spans="2:87" ht="15.6" x14ac:dyDescent="0.3">
      <c r="B516" s="427"/>
      <c r="D516" s="235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10"/>
      <c r="AE516" s="507"/>
      <c r="AF516" s="546"/>
      <c r="AG516" s="33">
        <f>SUM(D113:D143)</f>
        <v>1970617</v>
      </c>
      <c r="AH516" s="1"/>
      <c r="AI516" s="485"/>
      <c r="AJ516" s="467"/>
      <c r="AK516" s="588" t="s">
        <v>153</v>
      </c>
      <c r="AL516" s="588"/>
      <c r="AM516" s="588"/>
      <c r="AN516" s="588"/>
      <c r="AO516" s="64"/>
      <c r="AP516" s="469"/>
      <c r="AQ516" s="64"/>
      <c r="AR516" s="469">
        <f>+AR513</f>
        <v>24156</v>
      </c>
      <c r="AS516" s="64"/>
      <c r="AT516" s="64"/>
      <c r="AU516" s="64"/>
      <c r="AV516" s="144"/>
      <c r="AW516" s="468"/>
      <c r="AX516" s="500"/>
    </row>
    <row r="517" spans="2:87" ht="15.6" x14ac:dyDescent="0.3">
      <c r="B517" s="427"/>
      <c r="D517" s="235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10"/>
      <c r="AE517" s="507"/>
      <c r="AF517" s="546"/>
      <c r="AG517" s="33">
        <f>SUM(W125:W138)</f>
        <v>12117</v>
      </c>
      <c r="AH517" s="1"/>
      <c r="AI517" s="485"/>
      <c r="AJ517" s="467"/>
      <c r="AK517" s="63"/>
      <c r="AL517" s="497" t="s">
        <v>3</v>
      </c>
      <c r="AM517" s="63"/>
      <c r="AN517" s="63"/>
      <c r="AO517" s="64"/>
      <c r="AP517" s="469"/>
      <c r="AQ517" s="64"/>
      <c r="AR517" s="469">
        <f>+AR515-AR516</f>
        <v>31531</v>
      </c>
      <c r="AS517" s="64"/>
      <c r="AT517" s="64"/>
      <c r="AU517" s="64"/>
      <c r="AV517" s="484">
        <f>+AR517/AR515</f>
        <v>0.5662183274372834</v>
      </c>
      <c r="AW517" s="468"/>
      <c r="AX517" s="500"/>
    </row>
    <row r="518" spans="2:87" ht="15" thickBot="1" x14ac:dyDescent="0.35">
      <c r="D518" s="427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10"/>
      <c r="AE518" s="507"/>
      <c r="AF518" s="548"/>
      <c r="AG518" s="33">
        <f>SUM(W113:W143)</f>
        <v>25901</v>
      </c>
      <c r="AH518" s="1"/>
      <c r="AI518" s="485"/>
      <c r="AJ518" s="470"/>
      <c r="AK518" s="471"/>
      <c r="AL518" s="471"/>
      <c r="AM518" s="471"/>
      <c r="AN518" s="471"/>
      <c r="AO518" s="471"/>
      <c r="AP518" s="471"/>
      <c r="AQ518" s="471"/>
      <c r="AR518" s="471"/>
      <c r="AS518" s="471"/>
      <c r="AT518" s="471"/>
      <c r="AU518" s="471"/>
      <c r="AV518" s="471"/>
      <c r="AW518" s="472"/>
      <c r="AX518" s="500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1"/>
      <c r="BT518" s="1"/>
      <c r="BU518" s="1"/>
      <c r="BV518" s="1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</row>
    <row r="519" spans="2:87" x14ac:dyDescent="0.3"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10"/>
      <c r="AE519" s="507"/>
      <c r="AF519" s="507"/>
      <c r="AG519" s="507"/>
      <c r="AH519" s="507"/>
      <c r="AI519" s="507"/>
      <c r="AJ519" s="500"/>
      <c r="AK519" s="500"/>
      <c r="AL519" s="500"/>
      <c r="AM519" s="500"/>
      <c r="AN519" s="500"/>
      <c r="AO519" s="500"/>
      <c r="AP519" s="500"/>
      <c r="AQ519" s="500"/>
      <c r="AR519" s="500"/>
      <c r="AS519" s="500"/>
      <c r="AT519" s="500"/>
      <c r="AU519" s="500"/>
      <c r="AV519" s="500"/>
      <c r="AW519" s="500"/>
      <c r="AX519" s="500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77"/>
      <c r="BX519" s="77"/>
      <c r="BY519" s="77"/>
      <c r="BZ519" s="77"/>
      <c r="CA519" s="109"/>
      <c r="CB519" s="1"/>
      <c r="CC519" s="1"/>
      <c r="CD519" s="1"/>
      <c r="CE519" s="1"/>
      <c r="CF519" s="1"/>
      <c r="CG519" s="1"/>
      <c r="CH519" s="1"/>
      <c r="CI519" s="1"/>
    </row>
    <row r="520" spans="2:87" x14ac:dyDescent="0.3">
      <c r="D520">
        <v>10</v>
      </c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10"/>
      <c r="AE520" s="10"/>
      <c r="AF520" s="10"/>
      <c r="AG520" s="10"/>
      <c r="AH520" s="10"/>
      <c r="AI520" s="10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77"/>
      <c r="BX520" s="77"/>
      <c r="BY520" s="77"/>
      <c r="BZ520" s="77"/>
      <c r="CA520" s="77"/>
      <c r="CB520" s="1"/>
      <c r="CC520" s="1"/>
      <c r="CD520" s="1"/>
      <c r="CE520" s="1"/>
      <c r="CF520" s="1"/>
      <c r="CG520" s="1"/>
      <c r="CH520" s="1"/>
      <c r="CI520" s="1"/>
    </row>
    <row r="521" spans="2:87" x14ac:dyDescent="0.3">
      <c r="D521" s="1">
        <v>77000000</v>
      </c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10"/>
      <c r="AE521" s="10"/>
      <c r="AF521" s="10"/>
      <c r="AG521" s="10"/>
      <c r="AH521" s="10"/>
      <c r="AI521" s="10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77"/>
      <c r="BX521" s="77"/>
      <c r="BY521" s="77"/>
      <c r="BZ521" s="77"/>
      <c r="CA521" s="77"/>
      <c r="CB521" s="1"/>
      <c r="CC521" s="1"/>
      <c r="CD521" s="1"/>
      <c r="CE521" s="1"/>
      <c r="CF521" s="1"/>
      <c r="CG521" s="1"/>
    </row>
    <row r="522" spans="2:87" x14ac:dyDescent="0.3">
      <c r="D522" s="57">
        <f>+D521/D524</f>
        <v>0.23262839879154079</v>
      </c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10"/>
      <c r="AE522" s="10"/>
      <c r="AF522" s="10"/>
      <c r="AG522" s="501"/>
      <c r="AH522" s="10"/>
      <c r="AI522" s="10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77"/>
      <c r="BX522" s="77"/>
      <c r="BY522" s="77"/>
      <c r="BZ522" s="77"/>
      <c r="CA522" s="77"/>
      <c r="CB522" s="1"/>
      <c r="CC522" s="1"/>
      <c r="CD522" s="1"/>
      <c r="CE522" s="1"/>
      <c r="CF522" s="1"/>
      <c r="CG522" s="1"/>
    </row>
    <row r="523" spans="2:87" x14ac:dyDescent="0.3"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10"/>
      <c r="AE523" s="10"/>
      <c r="AF523" s="507"/>
      <c r="AG523" s="526"/>
      <c r="AH523" s="507"/>
      <c r="AI523" s="507"/>
      <c r="AJ523" s="500"/>
      <c r="AK523" s="500"/>
      <c r="AL523" s="500"/>
      <c r="AM523" s="500"/>
      <c r="AN523" s="500"/>
      <c r="AO523" s="500"/>
      <c r="AP523" s="500"/>
      <c r="AQ523" s="500"/>
      <c r="AR523" s="500"/>
      <c r="AS523" s="500"/>
      <c r="AT523" s="500"/>
      <c r="AU523" s="500"/>
      <c r="AV523" s="500"/>
      <c r="AW523" s="500"/>
      <c r="AX523" s="500"/>
      <c r="AY523" s="500"/>
      <c r="AZ523" s="500"/>
      <c r="BA523" s="500"/>
      <c r="BB523" s="500"/>
      <c r="BC523" s="500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77"/>
      <c r="BX523" s="77"/>
      <c r="BY523" s="110"/>
      <c r="BZ523" s="77"/>
      <c r="CA523" s="77"/>
    </row>
    <row r="524" spans="2:87" x14ac:dyDescent="0.3">
      <c r="D524" s="1">
        <v>331000000</v>
      </c>
      <c r="H524">
        <v>0.13400000000000001</v>
      </c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10"/>
      <c r="AE524" s="10"/>
      <c r="AF524" s="507"/>
      <c r="AG524" s="527"/>
      <c r="AH524" s="507"/>
      <c r="AI524" s="507"/>
      <c r="AJ524" s="524"/>
      <c r="AK524" s="524"/>
      <c r="AL524" s="525"/>
      <c r="AM524" s="525"/>
      <c r="AN524" s="525"/>
      <c r="AO524" s="525"/>
      <c r="AP524" s="525"/>
      <c r="AQ524" s="525"/>
      <c r="AR524" s="525"/>
      <c r="AS524" s="525"/>
      <c r="AT524" s="525"/>
      <c r="AU524" s="525"/>
      <c r="AV524" s="525"/>
      <c r="AW524" s="525"/>
      <c r="AX524" s="525"/>
      <c r="AY524" s="525"/>
      <c r="AZ524" s="525"/>
      <c r="BA524" s="525"/>
      <c r="BB524" s="524"/>
      <c r="BC524" s="524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77"/>
      <c r="BX524" s="77"/>
      <c r="BY524" s="77"/>
      <c r="BZ524" s="77"/>
      <c r="CA524" s="77"/>
    </row>
    <row r="525" spans="2:87" x14ac:dyDescent="0.3">
      <c r="D525" s="1">
        <f>+D524*H524</f>
        <v>44354000</v>
      </c>
      <c r="H525" s="1">
        <f>+D525*0.001</f>
        <v>44354</v>
      </c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10"/>
      <c r="AE525" s="10"/>
      <c r="AF525" s="507"/>
      <c r="AG525" s="526"/>
      <c r="AH525" s="507"/>
      <c r="AI525" s="507"/>
      <c r="AJ525" s="524"/>
      <c r="AK525" s="524"/>
      <c r="AL525" s="138"/>
      <c r="AM525" s="138"/>
      <c r="AN525" s="138"/>
      <c r="AO525" s="138"/>
      <c r="AP525" s="138"/>
      <c r="AQ525" s="138"/>
      <c r="AR525" s="138"/>
      <c r="AS525" s="78"/>
      <c r="AT525" s="78"/>
      <c r="AU525" s="78"/>
      <c r="AV525" s="98"/>
      <c r="AW525" s="98"/>
      <c r="AX525" s="98"/>
      <c r="AY525" s="98"/>
      <c r="AZ525" s="524"/>
      <c r="BA525" s="524"/>
      <c r="BB525" s="530"/>
      <c r="BC525" s="524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77"/>
      <c r="BX525" s="77"/>
      <c r="BY525" s="77"/>
      <c r="BZ525" s="77"/>
      <c r="CA525" s="77"/>
    </row>
    <row r="526" spans="2:87" x14ac:dyDescent="0.3">
      <c r="D526" s="425">
        <v>7.1999999999999995E-2</v>
      </c>
      <c r="H526" s="1">
        <f>+AA204*H524</f>
        <v>28746.886000000002</v>
      </c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10"/>
      <c r="AE526" s="10"/>
      <c r="AF526" s="507"/>
      <c r="AG526" s="526">
        <v>44031</v>
      </c>
      <c r="AH526" s="507"/>
      <c r="AI526" s="507"/>
      <c r="AJ526" s="524"/>
      <c r="AK526" s="524"/>
      <c r="AL526" s="138"/>
      <c r="AM526" s="138"/>
      <c r="AN526" s="138"/>
      <c r="AO526" s="138"/>
      <c r="AP526" s="138"/>
      <c r="AQ526" s="138"/>
      <c r="AR526" s="138"/>
      <c r="AS526" s="138"/>
      <c r="AT526" s="98"/>
      <c r="AU526" s="78"/>
      <c r="AV526" s="98"/>
      <c r="AW526" s="98"/>
      <c r="AX526" s="98"/>
      <c r="AY526" s="98"/>
      <c r="AZ526" s="524"/>
      <c r="BA526" s="524"/>
      <c r="BB526" s="530"/>
      <c r="BC526" s="524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77"/>
      <c r="BX526" s="77"/>
      <c r="BY526" s="77"/>
      <c r="BZ526" s="77"/>
      <c r="CA526" s="77"/>
    </row>
    <row r="527" spans="2:87" x14ac:dyDescent="0.3"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10"/>
      <c r="AE527" s="10"/>
      <c r="AF527" s="507"/>
      <c r="AG527" s="526">
        <v>44038</v>
      </c>
      <c r="AH527" s="507"/>
      <c r="AI527" s="507"/>
      <c r="AJ527" s="524"/>
      <c r="AK527" s="524"/>
      <c r="AL527" s="78"/>
      <c r="AM527" s="78"/>
      <c r="AN527" s="139"/>
      <c r="AO527" s="139"/>
      <c r="AP527" s="139"/>
      <c r="AQ527" s="139"/>
      <c r="AR527" s="139"/>
      <c r="AS527" s="78"/>
      <c r="AT527" s="78"/>
      <c r="AU527" s="78"/>
      <c r="AV527" s="98"/>
      <c r="AW527" s="98"/>
      <c r="AX527" s="98"/>
      <c r="AY527" s="98"/>
      <c r="AZ527" s="524"/>
      <c r="BA527" s="524"/>
      <c r="BB527" s="530"/>
      <c r="BC527" s="524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77"/>
      <c r="BX527" s="77"/>
      <c r="BY527" s="77"/>
      <c r="BZ527" s="77"/>
      <c r="CA527" s="77"/>
    </row>
    <row r="528" spans="2:87" x14ac:dyDescent="0.3">
      <c r="D528" s="235">
        <v>4.2000000000000003E-2</v>
      </c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10"/>
      <c r="AE528" s="10"/>
      <c r="AF528" s="507"/>
      <c r="AG528" s="526">
        <v>44045</v>
      </c>
      <c r="AH528" s="507"/>
      <c r="AI528" s="507"/>
      <c r="AJ528" s="524"/>
      <c r="AK528" s="524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98"/>
      <c r="AW528" s="98"/>
      <c r="AX528" s="98"/>
      <c r="AY528" s="98"/>
      <c r="AZ528" s="524"/>
      <c r="BA528" s="524"/>
      <c r="BB528" s="530"/>
      <c r="BC528" s="524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2:79" x14ac:dyDescent="0.3">
      <c r="D529" s="531">
        <f>+D524*D526*D528</f>
        <v>1000944.0000000001</v>
      </c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10"/>
      <c r="AE529" s="10"/>
      <c r="AF529" s="507"/>
      <c r="AG529" s="526">
        <v>44052</v>
      </c>
      <c r="AH529" s="507"/>
      <c r="AI529" s="507"/>
      <c r="AJ529" s="524"/>
      <c r="AK529" s="524"/>
      <c r="AL529" s="78"/>
      <c r="AM529" s="78"/>
      <c r="AN529" s="139"/>
      <c r="AO529" s="139"/>
      <c r="AP529" s="139"/>
      <c r="AQ529" s="139"/>
      <c r="AR529" s="139"/>
      <c r="AS529" s="139"/>
      <c r="AT529" s="139"/>
      <c r="AU529" s="78"/>
      <c r="AV529" s="98"/>
      <c r="AW529" s="98"/>
      <c r="AX529" s="98"/>
      <c r="AY529" s="98"/>
      <c r="AZ529" s="524"/>
      <c r="BA529" s="524"/>
      <c r="BB529" s="530"/>
      <c r="BC529" s="524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2:79" x14ac:dyDescent="0.3"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10"/>
      <c r="AE530" s="10"/>
      <c r="AF530" s="507"/>
      <c r="AG530" s="526"/>
      <c r="AH530" s="507"/>
      <c r="AI530" s="507"/>
      <c r="AJ530" s="524"/>
      <c r="AK530" s="524"/>
      <c r="AL530" s="78"/>
      <c r="AM530" s="78"/>
      <c r="AN530" s="139"/>
      <c r="AO530" s="139"/>
      <c r="AP530" s="139"/>
      <c r="AQ530" s="139"/>
      <c r="AR530" s="139"/>
      <c r="AS530" s="139"/>
      <c r="AT530" s="139"/>
      <c r="AU530" s="78"/>
      <c r="AV530" s="98"/>
      <c r="AW530" s="98"/>
      <c r="AX530" s="98"/>
      <c r="AY530" s="98"/>
      <c r="AZ530" s="524"/>
      <c r="BA530" s="524"/>
      <c r="BB530" s="530"/>
      <c r="BC530" s="524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2:79" x14ac:dyDescent="0.3"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10"/>
      <c r="AE531" s="10"/>
      <c r="AF531" s="507"/>
      <c r="AG531" s="526"/>
      <c r="AH531" s="507"/>
      <c r="AI531" s="507"/>
      <c r="AJ531" s="524"/>
      <c r="AK531" s="524"/>
      <c r="AL531" s="78"/>
      <c r="AM531" s="78"/>
      <c r="AN531" s="139"/>
      <c r="AO531" s="139"/>
      <c r="AP531" s="139"/>
      <c r="AQ531" s="139"/>
      <c r="AR531" s="139"/>
      <c r="AS531" s="139"/>
      <c r="AT531" s="139"/>
      <c r="AU531" s="78"/>
      <c r="AV531" s="98"/>
      <c r="AW531" s="98"/>
      <c r="AX531" s="98"/>
      <c r="AY531" s="98"/>
      <c r="AZ531" s="524"/>
      <c r="BA531" s="524"/>
      <c r="BB531" s="530"/>
      <c r="BC531" s="524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2:79" x14ac:dyDescent="0.3"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10"/>
      <c r="AE532" s="10"/>
      <c r="AF532" s="507"/>
      <c r="AG532" s="528"/>
      <c r="AH532" s="507"/>
      <c r="AI532" s="507"/>
      <c r="AJ532" s="524"/>
      <c r="AK532" s="524"/>
      <c r="AL532" s="78"/>
      <c r="AM532" s="78"/>
      <c r="AN532" s="139"/>
      <c r="AO532" s="139"/>
      <c r="AP532" s="139"/>
      <c r="AQ532" s="139"/>
      <c r="AR532" s="139"/>
      <c r="AS532" s="139"/>
      <c r="AT532" s="139"/>
      <c r="AU532" s="78"/>
      <c r="AV532" s="98"/>
      <c r="AW532" s="98"/>
      <c r="AX532" s="98"/>
      <c r="AY532" s="98"/>
      <c r="AZ532" s="524"/>
      <c r="BA532" s="524"/>
      <c r="BB532" s="530"/>
      <c r="BC532" s="524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2:79" x14ac:dyDescent="0.3"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10"/>
      <c r="AE533" s="10"/>
      <c r="AF533" s="507"/>
      <c r="AG533" s="507"/>
      <c r="AH533" s="507"/>
      <c r="AI533" s="507"/>
      <c r="AJ533" s="524"/>
      <c r="AK533" s="524"/>
      <c r="AL533" s="78"/>
      <c r="AM533" s="78"/>
      <c r="AN533" s="139"/>
      <c r="AO533" s="139"/>
      <c r="AP533" s="139"/>
      <c r="AQ533" s="139"/>
      <c r="AR533" s="139"/>
      <c r="AS533" s="139"/>
      <c r="AT533" s="139"/>
      <c r="AU533" s="78"/>
      <c r="AV533" s="98"/>
      <c r="AW533" s="98"/>
      <c r="AX533" s="98"/>
      <c r="AY533" s="98"/>
      <c r="AZ533" s="524"/>
      <c r="BA533" s="524"/>
      <c r="BB533" s="530"/>
      <c r="BC533" s="524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2:79" x14ac:dyDescent="0.3"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10"/>
      <c r="AE534" s="10"/>
      <c r="AF534" s="507"/>
      <c r="AG534" s="507"/>
      <c r="AH534" s="507"/>
      <c r="AI534" s="507"/>
      <c r="AJ534" s="524"/>
      <c r="AK534" s="524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78"/>
      <c r="AW534" s="78"/>
      <c r="AX534" s="78"/>
      <c r="AY534" s="78"/>
      <c r="AZ534" s="524"/>
      <c r="BA534" s="530"/>
      <c r="BB534" s="530"/>
      <c r="BC534" s="524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2:79" x14ac:dyDescent="0.3">
      <c r="AD535" s="10"/>
      <c r="AE535" s="10"/>
      <c r="AF535" s="507"/>
      <c r="AG535" s="507"/>
      <c r="AH535" s="507"/>
      <c r="AI535" s="507"/>
      <c r="AJ535" s="524"/>
      <c r="AK535" s="524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78"/>
      <c r="AW535" s="78"/>
      <c r="AX535" s="78"/>
      <c r="AY535" s="78"/>
      <c r="AZ535" s="524"/>
      <c r="BA535" s="530"/>
      <c r="BB535" s="530"/>
      <c r="BC535" s="524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2:79" ht="15" thickBot="1" x14ac:dyDescent="0.35">
      <c r="B536" s="500"/>
      <c r="C536" s="500"/>
      <c r="D536" s="500"/>
      <c r="E536" s="500"/>
      <c r="F536" s="500"/>
      <c r="G536" s="500"/>
      <c r="H536" s="500"/>
      <c r="I536" s="500"/>
      <c r="J536" s="500"/>
      <c r="K536" s="500"/>
      <c r="L536" s="500"/>
      <c r="M536" s="500"/>
      <c r="N536" s="500"/>
      <c r="O536" s="500"/>
      <c r="P536" s="500"/>
      <c r="Q536" s="500"/>
      <c r="R536" s="500"/>
      <c r="S536" s="500"/>
      <c r="T536" s="500"/>
      <c r="U536" s="500"/>
      <c r="V536" s="500"/>
      <c r="AD536" s="10"/>
      <c r="AE536" s="10"/>
      <c r="AF536" s="507"/>
      <c r="AG536" s="507"/>
      <c r="AH536" s="507"/>
      <c r="AI536" s="507"/>
      <c r="AJ536" s="524"/>
      <c r="AK536" s="524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78"/>
      <c r="AW536" s="78"/>
      <c r="AX536" s="78"/>
      <c r="AY536" s="78"/>
      <c r="AZ536" s="524"/>
      <c r="BA536" s="530"/>
      <c r="BB536" s="530"/>
      <c r="BC536" s="524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2:79" x14ac:dyDescent="0.3">
      <c r="B537" s="500"/>
      <c r="C537" s="510"/>
      <c r="D537" s="357"/>
      <c r="E537" s="357"/>
      <c r="F537" s="357"/>
      <c r="G537" s="357"/>
      <c r="H537" s="357"/>
      <c r="I537" s="357"/>
      <c r="J537" s="357"/>
      <c r="K537" s="357"/>
      <c r="L537" s="357"/>
      <c r="M537" s="357"/>
      <c r="N537" s="357"/>
      <c r="O537" s="357"/>
      <c r="P537" s="511"/>
      <c r="V537" s="500"/>
      <c r="AD537" s="10"/>
      <c r="AE537" s="10"/>
      <c r="AF537" s="507"/>
      <c r="AG537" s="507"/>
      <c r="AH537" s="507"/>
      <c r="AI537" s="507"/>
      <c r="AJ537" s="524"/>
      <c r="AK537" s="524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78"/>
      <c r="AW537" s="78"/>
      <c r="AX537" s="78"/>
      <c r="AY537" s="78"/>
      <c r="AZ537" s="524"/>
      <c r="BA537" s="530"/>
      <c r="BB537" s="530"/>
      <c r="BC537" s="524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2:79" x14ac:dyDescent="0.3">
      <c r="B538" s="500"/>
      <c r="C538" s="512"/>
      <c r="D538" s="502" t="s">
        <v>149</v>
      </c>
      <c r="E538" s="387"/>
      <c r="F538" s="387"/>
      <c r="G538" s="387"/>
      <c r="H538" s="585" t="s">
        <v>20</v>
      </c>
      <c r="I538" s="585"/>
      <c r="J538" s="585"/>
      <c r="K538" s="387"/>
      <c r="L538" s="387"/>
      <c r="M538" s="387"/>
      <c r="N538" s="387"/>
      <c r="O538" s="387"/>
      <c r="P538" s="513"/>
      <c r="V538" s="500"/>
      <c r="AD538" s="10"/>
      <c r="AE538" s="10"/>
      <c r="AF538" s="507"/>
      <c r="AG538" s="507"/>
      <c r="AH538" s="507"/>
      <c r="AI538" s="507"/>
      <c r="AJ538" s="524"/>
      <c r="AK538" s="524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78"/>
      <c r="AW538" s="78"/>
      <c r="AX538" s="78"/>
      <c r="AY538" s="78"/>
      <c r="AZ538" s="524"/>
      <c r="BA538" s="530"/>
      <c r="BB538" s="530"/>
      <c r="BC538" s="524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2:79" x14ac:dyDescent="0.3">
      <c r="B539" s="500"/>
      <c r="C539" s="512"/>
      <c r="D539" s="514" t="s">
        <v>150</v>
      </c>
      <c r="E539" s="387"/>
      <c r="F539" s="387"/>
      <c r="G539" s="387"/>
      <c r="H539" s="515" t="s">
        <v>147</v>
      </c>
      <c r="I539" s="502"/>
      <c r="J539" s="516" t="s">
        <v>148</v>
      </c>
      <c r="K539" s="502"/>
      <c r="L539" s="502"/>
      <c r="M539" s="502"/>
      <c r="N539" s="502"/>
      <c r="O539" s="517" t="s">
        <v>3</v>
      </c>
      <c r="P539" s="513"/>
      <c r="V539" s="500"/>
      <c r="AD539" s="10"/>
      <c r="AE539" s="10"/>
      <c r="AF539" s="507"/>
      <c r="AG539" s="507"/>
      <c r="AH539" s="507"/>
      <c r="AI539" s="507"/>
      <c r="AJ539" s="524"/>
      <c r="AK539" s="524"/>
      <c r="AL539" s="529"/>
      <c r="AM539" s="529"/>
      <c r="AN539" s="529"/>
      <c r="AO539" s="529"/>
      <c r="AP539" s="529"/>
      <c r="AQ539" s="529"/>
      <c r="AR539" s="529"/>
      <c r="AS539" s="529"/>
      <c r="AT539" s="529"/>
      <c r="AU539" s="529"/>
      <c r="AV539" s="524"/>
      <c r="AW539" s="524"/>
      <c r="AX539" s="524"/>
      <c r="AY539" s="524"/>
      <c r="AZ539" s="524"/>
      <c r="BA539" s="530"/>
      <c r="BB539" s="530"/>
      <c r="BC539" s="524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2:79" x14ac:dyDescent="0.3">
      <c r="B540" s="500"/>
      <c r="C540" s="512"/>
      <c r="D540" s="503" t="s">
        <v>146</v>
      </c>
      <c r="E540" s="15"/>
      <c r="F540" s="15"/>
      <c r="G540" s="15"/>
      <c r="H540" s="518">
        <f>SUM(D133:D139)</f>
        <v>471981</v>
      </c>
      <c r="I540" s="15"/>
      <c r="J540" s="16">
        <f>+H540/7</f>
        <v>67425.857142857145</v>
      </c>
      <c r="K540" s="15"/>
      <c r="L540" s="15"/>
      <c r="M540" s="15"/>
      <c r="N540" s="15"/>
      <c r="O540" s="15"/>
      <c r="P540" s="513"/>
      <c r="V540" s="500"/>
      <c r="AD540" s="10"/>
      <c r="AE540" s="10"/>
      <c r="AF540" s="507"/>
      <c r="AG540" s="507"/>
      <c r="AH540" s="507"/>
      <c r="AI540" s="507"/>
      <c r="AJ540" s="524"/>
      <c r="AK540" s="524"/>
      <c r="AL540" s="529"/>
      <c r="AM540" s="529"/>
      <c r="AN540" s="529"/>
      <c r="AO540" s="529"/>
      <c r="AP540" s="529"/>
      <c r="AQ540" s="529"/>
      <c r="AR540" s="529"/>
      <c r="AS540" s="529"/>
      <c r="AT540" s="529"/>
      <c r="AU540" s="529"/>
      <c r="AV540" s="529"/>
      <c r="AW540" s="529"/>
      <c r="AX540" s="529"/>
      <c r="AY540" s="529"/>
      <c r="AZ540" s="524"/>
      <c r="BA540" s="524"/>
      <c r="BB540" s="530"/>
      <c r="BC540" s="524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2:79" x14ac:dyDescent="0.3">
      <c r="B541" s="500"/>
      <c r="C541" s="512"/>
      <c r="D541" s="503" t="s">
        <v>145</v>
      </c>
      <c r="E541" s="15"/>
      <c r="F541" s="15"/>
      <c r="G541" s="15"/>
      <c r="H541" s="16">
        <f>SUM(D140:D146)</f>
        <v>427527</v>
      </c>
      <c r="I541" s="15"/>
      <c r="J541" s="16">
        <f>+H541/7</f>
        <v>61075.285714285717</v>
      </c>
      <c r="K541" s="15"/>
      <c r="L541" s="15"/>
      <c r="M541" s="15"/>
      <c r="N541" s="15"/>
      <c r="O541" s="15"/>
      <c r="P541" s="513"/>
      <c r="V541" s="500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78"/>
      <c r="AU541" s="98"/>
      <c r="AV541" s="140"/>
      <c r="AW541" s="140"/>
      <c r="AX541" s="140"/>
      <c r="AY541" s="140"/>
      <c r="AZ541" s="98"/>
      <c r="BA541" s="98"/>
      <c r="BB541" s="98"/>
      <c r="BC541" s="98"/>
    </row>
    <row r="542" spans="2:79" x14ac:dyDescent="0.3">
      <c r="B542" s="506"/>
      <c r="C542" s="512"/>
      <c r="D542" s="503" t="s">
        <v>144</v>
      </c>
      <c r="E542" s="15"/>
      <c r="F542" s="15"/>
      <c r="G542" s="15"/>
      <c r="H542" s="16">
        <f>SUM(D147:D153)</f>
        <v>383516</v>
      </c>
      <c r="I542" s="15"/>
      <c r="J542" s="16">
        <f>+H542/7</f>
        <v>54788</v>
      </c>
      <c r="K542" s="15"/>
      <c r="L542" s="15"/>
      <c r="M542" s="15"/>
      <c r="N542" s="15"/>
      <c r="O542" s="518">
        <f>+H540-H542</f>
        <v>88465</v>
      </c>
      <c r="P542" s="513"/>
      <c r="V542" s="500"/>
      <c r="AA542">
        <f>+O542/7</f>
        <v>12637.857142857143</v>
      </c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78"/>
      <c r="AW542" s="78"/>
      <c r="AX542" s="78"/>
      <c r="AY542" s="78"/>
      <c r="AZ542" s="98"/>
      <c r="BA542" s="141"/>
      <c r="BB542" s="98"/>
      <c r="BC542" s="98"/>
    </row>
    <row r="543" spans="2:79" x14ac:dyDescent="0.3">
      <c r="B543" s="507"/>
      <c r="C543" s="512"/>
      <c r="D543" s="519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60">
        <f>+O542/H540</f>
        <v>0.18743339244588236</v>
      </c>
      <c r="P543" s="513"/>
      <c r="V543" s="500"/>
      <c r="X543" s="61"/>
      <c r="Y543" s="61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78">
        <v>480454</v>
      </c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</row>
    <row r="544" spans="2:79" ht="15" thickBot="1" x14ac:dyDescent="0.35">
      <c r="B544" s="507"/>
      <c r="C544" s="520"/>
      <c r="D544" s="521"/>
      <c r="E544" s="521"/>
      <c r="F544" s="521"/>
      <c r="G544" s="521"/>
      <c r="H544" s="521"/>
      <c r="I544" s="521"/>
      <c r="J544" s="522"/>
      <c r="K544" s="521"/>
      <c r="L544" s="521"/>
      <c r="M544" s="521"/>
      <c r="N544" s="521"/>
      <c r="O544" s="521"/>
      <c r="P544" s="523"/>
      <c r="V544" s="500"/>
      <c r="X544" s="61"/>
      <c r="Y544" s="61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140">
        <f>+N201</f>
        <v>290088</v>
      </c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</row>
    <row r="545" spans="2:61" x14ac:dyDescent="0.3">
      <c r="B545" s="507"/>
      <c r="C545" s="500"/>
      <c r="D545" s="508"/>
      <c r="E545" s="500"/>
      <c r="F545" s="500"/>
      <c r="G545" s="500"/>
      <c r="H545" s="509"/>
      <c r="I545" s="500"/>
      <c r="J545" s="500"/>
      <c r="K545" s="500"/>
      <c r="L545" s="500"/>
      <c r="M545" s="500"/>
      <c r="N545" s="500"/>
      <c r="O545" s="500"/>
      <c r="P545" s="500"/>
      <c r="Q545" s="500"/>
      <c r="R545" s="500"/>
      <c r="S545" s="500"/>
      <c r="T545" s="500"/>
      <c r="U545" s="500"/>
      <c r="V545" s="500"/>
      <c r="X545" s="61"/>
      <c r="Y545" s="61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140">
        <f>+AP543-AP544</f>
        <v>190366</v>
      </c>
      <c r="AQ545" s="98"/>
      <c r="AR545" s="98"/>
    </row>
    <row r="546" spans="2:61" x14ac:dyDescent="0.3">
      <c r="B546" s="1"/>
      <c r="D546" s="55"/>
      <c r="X546" s="61"/>
      <c r="Y546" s="61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84">
        <f>+AP545/AP543</f>
        <v>0.3962210742339537</v>
      </c>
      <c r="AQ546" s="98"/>
      <c r="AR546" s="98"/>
    </row>
    <row r="547" spans="2:61" x14ac:dyDescent="0.3">
      <c r="B547" s="55"/>
      <c r="D547" s="55"/>
      <c r="J547" s="56">
        <f>+J540-J542</f>
        <v>12637.857142857145</v>
      </c>
      <c r="X547" s="61"/>
      <c r="Y547" s="61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  <c r="AN547" s="98"/>
      <c r="AO547" s="98"/>
      <c r="AP547" s="98"/>
      <c r="AQ547" s="98"/>
      <c r="AR547" s="98"/>
    </row>
    <row r="548" spans="2:61" x14ac:dyDescent="0.3">
      <c r="B548" s="57"/>
      <c r="D548" s="55"/>
      <c r="X548" s="61"/>
      <c r="Y548" s="61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  <c r="AN548" s="98"/>
      <c r="AO548" s="98"/>
      <c r="AP548" s="98"/>
      <c r="AQ548" s="98"/>
      <c r="AR548" s="98"/>
    </row>
    <row r="549" spans="2:61" x14ac:dyDescent="0.3">
      <c r="B549" s="1"/>
      <c r="D549" s="55"/>
      <c r="X549" s="61"/>
      <c r="Y549" s="61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  <c r="AN549" s="98"/>
      <c r="AO549" s="98"/>
      <c r="AP549" s="98"/>
      <c r="AQ549" s="98"/>
      <c r="AR549" s="98"/>
    </row>
    <row r="550" spans="2:61" x14ac:dyDescent="0.3">
      <c r="B550" s="1"/>
      <c r="D550" s="55"/>
      <c r="Z550" s="106"/>
      <c r="AA550" s="106"/>
      <c r="AB550" s="106"/>
      <c r="AC550" s="106"/>
      <c r="AD550" s="106"/>
      <c r="AE550" s="106"/>
      <c r="AF550" s="106"/>
      <c r="AG550" s="106"/>
      <c r="AH550" s="106"/>
      <c r="AI550" s="106"/>
      <c r="AJ550" s="106"/>
      <c r="AK550" s="106"/>
      <c r="AL550" s="106"/>
      <c r="AM550" s="106"/>
      <c r="AN550" s="106"/>
      <c r="AO550" s="106"/>
      <c r="AP550" s="106"/>
      <c r="AQ550" s="106"/>
      <c r="AR550" s="106"/>
    </row>
    <row r="551" spans="2:61" x14ac:dyDescent="0.3">
      <c r="B551" s="1"/>
      <c r="D551" s="55"/>
      <c r="AT551" s="500"/>
      <c r="AU551" s="500"/>
      <c r="AV551" s="500"/>
      <c r="AW551" s="500"/>
      <c r="AX551" s="500"/>
      <c r="AY551" s="500"/>
      <c r="AZ551" s="500"/>
      <c r="BA551" s="500"/>
      <c r="BB551" s="500"/>
      <c r="BC551" s="500"/>
      <c r="BD551" s="500"/>
      <c r="BE551" s="500"/>
      <c r="BF551" s="500"/>
      <c r="BG551" s="500"/>
      <c r="BH551" s="500"/>
      <c r="BI551" s="500"/>
    </row>
    <row r="552" spans="2:61" ht="15.6" x14ac:dyDescent="0.3">
      <c r="B552" s="1"/>
      <c r="D552" s="55"/>
      <c r="AT552" s="500"/>
      <c r="AU552" s="533"/>
      <c r="AV552" s="534"/>
      <c r="AW552" s="534"/>
      <c r="AX552" s="534"/>
      <c r="AY552" s="534"/>
      <c r="AZ552" s="534"/>
      <c r="BA552" s="534"/>
      <c r="BB552" s="534"/>
      <c r="BC552" s="534"/>
      <c r="BD552" s="534"/>
      <c r="BE552" s="534" t="s">
        <v>156</v>
      </c>
      <c r="BF552" s="534"/>
      <c r="BG552" s="534" t="s">
        <v>2</v>
      </c>
      <c r="BH552" s="533"/>
      <c r="BI552" s="500"/>
    </row>
    <row r="553" spans="2:61" ht="16.2" thickBot="1" x14ac:dyDescent="0.35">
      <c r="B553" s="57" t="e">
        <f>+B552/B551</f>
        <v>#DIV/0!</v>
      </c>
      <c r="D553" s="55"/>
      <c r="AT553" s="500"/>
      <c r="AU553" s="533"/>
      <c r="AV553" s="581" t="s">
        <v>155</v>
      </c>
      <c r="AW553" s="581"/>
      <c r="AX553" s="581"/>
      <c r="AY553" s="534"/>
      <c r="AZ553" s="534"/>
      <c r="BA553" s="535" t="s">
        <v>20</v>
      </c>
      <c r="BB553" s="534"/>
      <c r="BC553" s="535" t="s">
        <v>3</v>
      </c>
      <c r="BD553" s="534"/>
      <c r="BE553" s="535" t="s">
        <v>65</v>
      </c>
      <c r="BF553" s="534"/>
      <c r="BG553" s="535" t="s">
        <v>65</v>
      </c>
      <c r="BH553" s="533"/>
      <c r="BI553" s="500"/>
    </row>
    <row r="554" spans="2:61" ht="21" x14ac:dyDescent="0.4">
      <c r="B554" s="1"/>
      <c r="D554" s="55"/>
      <c r="AT554" s="500"/>
      <c r="AU554" s="533"/>
      <c r="AV554" s="536" t="s">
        <v>143</v>
      </c>
      <c r="AW554" s="533"/>
      <c r="AX554" s="537"/>
      <c r="AY554" s="533"/>
      <c r="AZ554" s="533"/>
      <c r="BA554" s="538">
        <f>+N143</f>
        <v>1970617</v>
      </c>
      <c r="BB554" s="537"/>
      <c r="BC554" s="537"/>
      <c r="BD554" s="537"/>
      <c r="BE554" s="537"/>
      <c r="BF554" s="537"/>
      <c r="BG554" s="537"/>
      <c r="BH554" s="533"/>
      <c r="BI554" s="500"/>
    </row>
    <row r="555" spans="2:61" ht="21" x14ac:dyDescent="0.4">
      <c r="B555" s="1"/>
      <c r="D555" s="55"/>
      <c r="AT555" s="500"/>
      <c r="AU555" s="533"/>
      <c r="AV555" s="536" t="s">
        <v>151</v>
      </c>
      <c r="AW555" s="533"/>
      <c r="AX555" s="537"/>
      <c r="AY555" s="533"/>
      <c r="AZ555" s="533"/>
      <c r="BA555" s="538">
        <f>+N174</f>
        <v>1493931</v>
      </c>
      <c r="BB555" s="537"/>
      <c r="BC555" s="538">
        <f>+BA555-BA554</f>
        <v>-476686</v>
      </c>
      <c r="BD555" s="537"/>
      <c r="BE555" s="539">
        <f>+BC555/BA554</f>
        <v>-0.24189682723735764</v>
      </c>
      <c r="BF555" s="537"/>
      <c r="BG555" s="537"/>
      <c r="BH555" s="533"/>
      <c r="BI555" s="500"/>
    </row>
    <row r="556" spans="2:61" ht="21" x14ac:dyDescent="0.4">
      <c r="B556" s="1">
        <f>+B552*50</f>
        <v>0</v>
      </c>
      <c r="D556" s="55"/>
      <c r="AT556" s="500"/>
      <c r="AU556" s="533"/>
      <c r="AV556" s="536" t="s">
        <v>152</v>
      </c>
      <c r="AW556" s="533"/>
      <c r="AX556" s="537"/>
      <c r="AY556" s="533"/>
      <c r="AZ556" s="533"/>
      <c r="BA556" s="538">
        <f>+N204</f>
        <v>1202331</v>
      </c>
      <c r="BB556" s="537"/>
      <c r="BC556" s="538">
        <f>+BA556-BA555</f>
        <v>-291600</v>
      </c>
      <c r="BD556" s="537"/>
      <c r="BE556" s="539">
        <f>+BC556/BA555</f>
        <v>-0.19518973767864781</v>
      </c>
      <c r="BF556" s="537"/>
      <c r="BG556" s="537"/>
      <c r="BH556" s="533"/>
      <c r="BI556" s="500"/>
    </row>
    <row r="557" spans="2:61" ht="21" x14ac:dyDescent="0.4">
      <c r="B557" s="1"/>
      <c r="D557" s="55"/>
      <c r="AT557" s="500"/>
      <c r="AU557" s="533"/>
      <c r="AV557" s="536" t="s">
        <v>153</v>
      </c>
      <c r="AW557" s="533"/>
      <c r="AX557" s="537"/>
      <c r="AY557" s="533"/>
      <c r="AZ557" s="540" t="s">
        <v>26</v>
      </c>
      <c r="BA557" s="538">
        <f>+N218</f>
        <v>371489</v>
      </c>
      <c r="BB557" s="537"/>
      <c r="BC557" s="538">
        <f>+BA557-BA556</f>
        <v>-830842</v>
      </c>
      <c r="BD557" s="537"/>
      <c r="BE557" s="539">
        <f>+BC557/BA556</f>
        <v>-0.69102601529861574</v>
      </c>
      <c r="BF557" s="537"/>
      <c r="BG557" s="539">
        <f>+(BA557-BA554)/BA554</f>
        <v>-0.81148594577231392</v>
      </c>
      <c r="BH557" s="533"/>
      <c r="BI557" s="500"/>
    </row>
    <row r="558" spans="2:61" x14ac:dyDescent="0.3">
      <c r="B558" s="1"/>
      <c r="D558" s="55"/>
      <c r="AT558" s="500"/>
      <c r="AU558" s="533"/>
      <c r="AV558" s="533"/>
      <c r="AW558" s="533"/>
      <c r="AX558" s="533"/>
      <c r="AY558" s="533"/>
      <c r="AZ558" s="533"/>
      <c r="BA558" s="533"/>
      <c r="BB558" s="533"/>
      <c r="BC558" s="533"/>
      <c r="BD558" s="533"/>
      <c r="BE558" s="533"/>
      <c r="BF558" s="533"/>
      <c r="BG558" s="533"/>
      <c r="BH558" s="533"/>
      <c r="BI558" s="500"/>
    </row>
    <row r="559" spans="2:61" ht="16.2" x14ac:dyDescent="0.3">
      <c r="B559" s="1"/>
      <c r="D559" s="55"/>
      <c r="AT559" s="500"/>
      <c r="AU559" s="533"/>
      <c r="AV559" s="533"/>
      <c r="AW559" s="533"/>
      <c r="AX559" s="541" t="s">
        <v>26</v>
      </c>
      <c r="AY559" s="533"/>
      <c r="AZ559" s="542" t="s">
        <v>154</v>
      </c>
      <c r="BA559" s="533"/>
      <c r="BB559" s="533"/>
      <c r="BC559" s="533"/>
      <c r="BD559" s="533"/>
      <c r="BE559" s="533"/>
      <c r="BF559" s="533"/>
      <c r="BG559" s="533"/>
      <c r="BH559" s="533"/>
      <c r="BI559" s="500"/>
    </row>
    <row r="560" spans="2:61" x14ac:dyDescent="0.3">
      <c r="B560" s="1"/>
      <c r="D560" s="55"/>
      <c r="AT560" s="500"/>
      <c r="AU560" s="533"/>
      <c r="AV560" s="533"/>
      <c r="AW560" s="533"/>
      <c r="AX560" s="533"/>
      <c r="AY560" s="533"/>
      <c r="AZ560" s="533"/>
      <c r="BA560" s="533"/>
      <c r="BB560" s="533"/>
      <c r="BC560" s="533"/>
      <c r="BD560" s="533"/>
      <c r="BE560" s="533"/>
      <c r="BF560" s="533"/>
      <c r="BG560" s="533"/>
      <c r="BH560" s="533"/>
      <c r="BI560" s="500"/>
    </row>
    <row r="561" spans="2:61" x14ac:dyDescent="0.3">
      <c r="B561" s="1"/>
      <c r="D561" s="55"/>
      <c r="AT561" s="532"/>
      <c r="AU561" s="532"/>
      <c r="AV561" s="532"/>
      <c r="AW561" s="532"/>
      <c r="AX561" s="532"/>
      <c r="AY561" s="532"/>
      <c r="AZ561" s="532"/>
      <c r="BA561" s="532"/>
      <c r="BB561" s="532"/>
      <c r="BC561" s="532"/>
      <c r="BD561" s="532"/>
      <c r="BE561" s="532"/>
      <c r="BF561" s="532"/>
      <c r="BG561" s="532"/>
      <c r="BH561" s="532"/>
      <c r="BI561" s="532"/>
    </row>
    <row r="562" spans="2:61" x14ac:dyDescent="0.3">
      <c r="B562" s="1"/>
      <c r="D562" s="55"/>
    </row>
    <row r="563" spans="2:61" x14ac:dyDescent="0.3">
      <c r="B563" s="1"/>
      <c r="D563" s="55"/>
      <c r="AS563" s="61"/>
      <c r="AT563" s="500"/>
      <c r="AU563" s="500"/>
      <c r="AV563" s="500"/>
      <c r="AW563" s="500"/>
      <c r="AX563" s="500"/>
      <c r="AY563" s="500"/>
      <c r="AZ563" s="500"/>
      <c r="BA563" s="500"/>
      <c r="BB563" s="500"/>
      <c r="BC563" s="500"/>
      <c r="BD563" s="500"/>
      <c r="BE563" s="500"/>
      <c r="BF563" s="500"/>
      <c r="BG563" s="500"/>
      <c r="BH563" s="500"/>
      <c r="BI563" s="500"/>
    </row>
    <row r="564" spans="2:61" x14ac:dyDescent="0.3">
      <c r="B564" s="1"/>
      <c r="D564" s="55"/>
      <c r="AT564" s="500"/>
      <c r="AU564" s="550"/>
      <c r="AV564" s="550"/>
      <c r="AW564" s="550"/>
      <c r="AX564" s="550"/>
      <c r="AY564" s="550"/>
      <c r="AZ564" s="550"/>
      <c r="BA564" s="550"/>
      <c r="BB564" s="550"/>
      <c r="BC564" s="550"/>
      <c r="BD564" s="550"/>
      <c r="BE564" s="550"/>
      <c r="BF564" s="550"/>
      <c r="BG564" s="550"/>
      <c r="BH564" s="550"/>
      <c r="BI564" s="500"/>
    </row>
    <row r="565" spans="2:61" ht="15" thickBot="1" x14ac:dyDescent="0.35">
      <c r="B565" s="1"/>
      <c r="D565" s="55"/>
      <c r="AT565" s="500"/>
      <c r="AU565" s="550"/>
      <c r="AV565" s="589" t="s">
        <v>160</v>
      </c>
      <c r="AW565" s="589"/>
      <c r="AX565" s="589"/>
      <c r="AY565" s="551"/>
      <c r="AZ565" s="551"/>
      <c r="BA565" s="552" t="s">
        <v>23</v>
      </c>
      <c r="BB565" s="553"/>
      <c r="BC565" s="552" t="s">
        <v>3</v>
      </c>
      <c r="BD565" s="553"/>
      <c r="BE565" s="552" t="s">
        <v>20</v>
      </c>
      <c r="BF565" s="553"/>
      <c r="BG565" s="552" t="s">
        <v>21</v>
      </c>
      <c r="BH565" s="550"/>
      <c r="BI565" s="500"/>
    </row>
    <row r="566" spans="2:61" x14ac:dyDescent="0.3">
      <c r="B566" s="1"/>
      <c r="AT566" s="500"/>
      <c r="AU566" s="550"/>
      <c r="AV566" s="551" t="s">
        <v>143</v>
      </c>
      <c r="AW566" s="551"/>
      <c r="AX566" s="551"/>
      <c r="AY566" s="551"/>
      <c r="AZ566" s="551"/>
      <c r="BA566" s="554">
        <f>+BK275</f>
        <v>13351981</v>
      </c>
      <c r="BB566" s="551"/>
      <c r="BC566" s="551"/>
      <c r="BD566" s="551"/>
      <c r="BE566" s="555">
        <f>+N143</f>
        <v>1970617</v>
      </c>
      <c r="BF566" s="551"/>
      <c r="BG566" s="556">
        <f>+BE566/BA566</f>
        <v>0.14758985951223269</v>
      </c>
      <c r="BH566" s="550"/>
      <c r="BI566" s="500"/>
    </row>
    <row r="567" spans="2:61" x14ac:dyDescent="0.3">
      <c r="B567" s="1"/>
      <c r="AT567" s="500"/>
      <c r="AU567" s="550"/>
      <c r="AV567" s="551"/>
      <c r="AW567" s="551"/>
      <c r="AX567" s="551"/>
      <c r="AY567" s="551"/>
      <c r="AZ567" s="551"/>
      <c r="BA567" s="554"/>
      <c r="BB567" s="551"/>
      <c r="BC567" s="551"/>
      <c r="BD567" s="551"/>
      <c r="BE567" s="551"/>
      <c r="BF567" s="551"/>
      <c r="BG567" s="556"/>
      <c r="BH567" s="550"/>
      <c r="BI567" s="500"/>
    </row>
    <row r="568" spans="2:61" x14ac:dyDescent="0.3">
      <c r="B568" s="1"/>
      <c r="AT568" s="500"/>
      <c r="AU568" s="550"/>
      <c r="AV568" s="551" t="s">
        <v>159</v>
      </c>
      <c r="AW568" s="551"/>
      <c r="AX568" s="551"/>
      <c r="AY568" s="551"/>
      <c r="AZ568" s="551"/>
      <c r="BA568" s="554">
        <v>52440389</v>
      </c>
      <c r="BB568" s="551"/>
      <c r="BC568" s="556">
        <f>+(BA568-BA566)/BA566</f>
        <v>2.9275362210296736</v>
      </c>
      <c r="BD568" s="551"/>
      <c r="BE568" s="555">
        <f>+N273</f>
        <v>1462688</v>
      </c>
      <c r="BF568" s="551"/>
      <c r="BG568" s="556">
        <f>+BE568/BA568</f>
        <v>2.7892394162064665E-2</v>
      </c>
      <c r="BH568" s="550"/>
      <c r="BI568" s="500"/>
    </row>
    <row r="569" spans="2:61" x14ac:dyDescent="0.3">
      <c r="B569" s="1"/>
      <c r="AT569" s="500"/>
      <c r="AU569" s="550"/>
      <c r="AV569" s="551"/>
      <c r="AW569" s="551"/>
      <c r="AX569" s="551"/>
      <c r="AY569" s="551"/>
      <c r="AZ569" s="551"/>
      <c r="BA569" s="554"/>
      <c r="BB569" s="551"/>
      <c r="BC569" s="551"/>
      <c r="BD569" s="551"/>
      <c r="BE569" s="551"/>
      <c r="BF569" s="551"/>
      <c r="BG569" s="551"/>
      <c r="BH569" s="550"/>
      <c r="BI569" s="500"/>
    </row>
    <row r="570" spans="2:61" x14ac:dyDescent="0.3">
      <c r="B570" s="1"/>
      <c r="AT570" s="500"/>
      <c r="AU570" s="550"/>
      <c r="AV570" s="578" t="s">
        <v>105</v>
      </c>
      <c r="AW570" s="578"/>
      <c r="AX570" s="578"/>
      <c r="AY570" s="578"/>
      <c r="AZ570" s="551"/>
      <c r="BA570" s="555">
        <f>+BA568-BA566</f>
        <v>39088408</v>
      </c>
      <c r="BB570" s="551"/>
      <c r="BC570" s="551"/>
      <c r="BD570" s="551"/>
      <c r="BE570" s="555">
        <f>+BE568-BE566</f>
        <v>-507929</v>
      </c>
      <c r="BF570" s="551"/>
      <c r="BG570" s="558"/>
      <c r="BH570" s="550"/>
      <c r="BI570" s="500"/>
    </row>
    <row r="571" spans="2:61" x14ac:dyDescent="0.3">
      <c r="B571" s="1"/>
      <c r="AT571" s="500"/>
      <c r="AU571" s="550"/>
      <c r="AV571" s="550"/>
      <c r="AW571" s="550"/>
      <c r="AX571" s="550"/>
      <c r="AY571" s="550"/>
      <c r="AZ571" s="550"/>
      <c r="BA571" s="550"/>
      <c r="BB571" s="550"/>
      <c r="BC571" s="550"/>
      <c r="BD571" s="550"/>
      <c r="BE571" s="550"/>
      <c r="BF571" s="550"/>
      <c r="BG571" s="550"/>
      <c r="BH571" s="550"/>
      <c r="BI571" s="500"/>
    </row>
    <row r="572" spans="2:61" x14ac:dyDescent="0.3">
      <c r="B572" s="1"/>
      <c r="AT572" s="500"/>
      <c r="AU572" s="500"/>
      <c r="AV572" s="500"/>
      <c r="AW572" s="500"/>
      <c r="AX572" s="500"/>
      <c r="AY572" s="500"/>
      <c r="AZ572" s="500"/>
      <c r="BA572" s="500"/>
      <c r="BB572" s="500"/>
      <c r="BC572" s="500"/>
      <c r="BD572" s="500"/>
      <c r="BE572" s="557"/>
      <c r="BF572" s="500"/>
      <c r="BG572" s="507"/>
      <c r="BH572" s="500"/>
      <c r="BI572" s="500"/>
    </row>
    <row r="573" spans="2:61" x14ac:dyDescent="0.3">
      <c r="B573" s="1"/>
    </row>
    <row r="574" spans="2:61" x14ac:dyDescent="0.3">
      <c r="B574" s="1"/>
    </row>
    <row r="575" spans="2:61" x14ac:dyDescent="0.3">
      <c r="B575" s="1"/>
      <c r="H575" s="1">
        <v>4000000</v>
      </c>
      <c r="AR575" s="500"/>
      <c r="AS575" s="500"/>
      <c r="AT575" s="500"/>
      <c r="AU575" s="500"/>
      <c r="AV575" s="500"/>
      <c r="AW575" s="500"/>
      <c r="AX575" s="500"/>
      <c r="AY575" s="500"/>
      <c r="AZ575" s="500"/>
      <c r="BA575" s="500"/>
      <c r="BB575" s="500"/>
      <c r="BC575" s="500"/>
      <c r="BD575" s="500"/>
      <c r="BE575" s="500"/>
      <c r="BF575" s="500"/>
      <c r="BG575" s="500"/>
      <c r="BH575" s="500"/>
      <c r="BI575" s="500"/>
    </row>
    <row r="576" spans="2:61" ht="15.6" x14ac:dyDescent="0.3">
      <c r="B576" s="1"/>
      <c r="H576" s="1"/>
      <c r="AR576" s="500"/>
      <c r="AS576" s="584" t="s">
        <v>171</v>
      </c>
      <c r="AT576" s="584"/>
      <c r="AU576" s="584"/>
      <c r="AV576" s="584"/>
      <c r="AW576" s="584"/>
      <c r="AX576" s="584"/>
      <c r="AY576" s="584"/>
      <c r="AZ576" s="584"/>
      <c r="BA576" s="584"/>
      <c r="BB576" s="584"/>
      <c r="BC576" s="584"/>
      <c r="BD576" s="584"/>
      <c r="BE576" s="584"/>
      <c r="BF576" s="584"/>
      <c r="BG576" s="584"/>
      <c r="BH576" s="584"/>
      <c r="BI576" s="500"/>
    </row>
    <row r="577" spans="4:68" x14ac:dyDescent="0.3">
      <c r="H577" s="1">
        <f>+H575/7</f>
        <v>571428.57142857148</v>
      </c>
      <c r="AR577" s="500"/>
      <c r="AS577" s="533"/>
      <c r="AT577" s="561"/>
      <c r="AU577" s="561"/>
      <c r="AV577" s="561"/>
      <c r="AW577" s="561"/>
      <c r="AX577" s="561"/>
      <c r="AY577" s="561"/>
      <c r="AZ577" s="561"/>
      <c r="BA577" s="561"/>
      <c r="BB577" s="561"/>
      <c r="BC577" s="561"/>
      <c r="BD577" s="561"/>
      <c r="BE577" s="579" t="s">
        <v>167</v>
      </c>
      <c r="BF577" s="561"/>
      <c r="BG577" s="626" t="s">
        <v>168</v>
      </c>
      <c r="BH577" s="533"/>
      <c r="BI577" s="500"/>
    </row>
    <row r="578" spans="4:68" x14ac:dyDescent="0.3">
      <c r="AR578" s="500"/>
      <c r="AS578" s="533"/>
      <c r="AT578" s="587" t="s">
        <v>19</v>
      </c>
      <c r="AU578" s="587"/>
      <c r="AV578" s="587"/>
      <c r="AW578" s="587"/>
      <c r="AX578" s="587"/>
      <c r="AY578" s="587"/>
      <c r="AZ578" s="561"/>
      <c r="BA578" s="560" t="s">
        <v>20</v>
      </c>
      <c r="BB578" s="561"/>
      <c r="BC578" s="560" t="s">
        <v>166</v>
      </c>
      <c r="BD578" s="561"/>
      <c r="BE578" s="580"/>
      <c r="BF578" s="561"/>
      <c r="BG578" s="622"/>
      <c r="BH578" s="533"/>
      <c r="BI578" s="500"/>
    </row>
    <row r="579" spans="4:68" x14ac:dyDescent="0.3">
      <c r="H579" t="s">
        <v>169</v>
      </c>
      <c r="J579">
        <v>28</v>
      </c>
      <c r="N579" s="1">
        <f>+H577*J579</f>
        <v>16000000.000000002</v>
      </c>
      <c r="AR579" s="500"/>
      <c r="AS579" s="533"/>
      <c r="AT579" s="624" t="s">
        <v>162</v>
      </c>
      <c r="AU579" s="624"/>
      <c r="AV579" s="624"/>
      <c r="AW579" s="624"/>
      <c r="AX579" s="624"/>
      <c r="AY579" s="561"/>
      <c r="AZ579" s="561"/>
      <c r="BA579" s="562">
        <f>+H174</f>
        <v>6826001</v>
      </c>
      <c r="BB579" s="561"/>
      <c r="BC579" s="561">
        <v>10</v>
      </c>
      <c r="BD579" s="561"/>
      <c r="BE579" s="563">
        <f>+BA579*BC579</f>
        <v>68260010</v>
      </c>
      <c r="BF579" s="561"/>
      <c r="BG579" s="561"/>
      <c r="BH579" s="533"/>
      <c r="BI579" s="500"/>
      <c r="BP579" s="56">
        <f>+BE579-BA579</f>
        <v>61434009</v>
      </c>
    </row>
    <row r="580" spans="4:68" x14ac:dyDescent="0.3">
      <c r="D580" s="56">
        <f>+N579+N580</f>
        <v>33714285.714285716</v>
      </c>
      <c r="H580" t="s">
        <v>170</v>
      </c>
      <c r="J580">
        <v>31</v>
      </c>
      <c r="N580" s="1">
        <f>+J580*H$577</f>
        <v>17714285.714285716</v>
      </c>
      <c r="AR580" s="500"/>
      <c r="AS580" s="533"/>
      <c r="AT580" s="624" t="s">
        <v>172</v>
      </c>
      <c r="AU580" s="624"/>
      <c r="AV580" s="624"/>
      <c r="AW580" s="624"/>
      <c r="AX580" s="624"/>
      <c r="AY580" s="561"/>
      <c r="AZ580" s="561"/>
      <c r="BA580" s="562">
        <f>+BA592-BA579</f>
        <v>3109228</v>
      </c>
      <c r="BB580" s="561"/>
      <c r="BC580" s="561">
        <v>5</v>
      </c>
      <c r="BD580" s="561"/>
      <c r="BE580" s="563">
        <f>+BA580*BC580</f>
        <v>15546140</v>
      </c>
      <c r="BF580" s="561"/>
      <c r="BG580" s="561"/>
      <c r="BH580" s="533"/>
      <c r="BI580" s="500"/>
      <c r="BP580" s="56">
        <f>+BE580-BA580</f>
        <v>12436912</v>
      </c>
    </row>
    <row r="581" spans="4:68" x14ac:dyDescent="0.3">
      <c r="D581" s="56">
        <f>+D580+N581</f>
        <v>50857142.857142866</v>
      </c>
      <c r="H581" t="s">
        <v>138</v>
      </c>
      <c r="J581">
        <v>30</v>
      </c>
      <c r="N581" s="1">
        <f>+J581*H$577</f>
        <v>17142857.142857146</v>
      </c>
      <c r="AR581" s="500"/>
      <c r="AS581" s="533"/>
      <c r="AT581" s="624" t="s">
        <v>163</v>
      </c>
      <c r="AU581" s="624"/>
      <c r="AV581" s="624"/>
      <c r="AW581" s="624"/>
      <c r="AX581" s="624"/>
      <c r="AY581" s="624"/>
      <c r="AZ581" s="624"/>
      <c r="BA581" s="562">
        <f>+BA594-BA592</f>
        <v>16784558</v>
      </c>
      <c r="BB581" s="561"/>
      <c r="BC581" s="561">
        <v>1</v>
      </c>
      <c r="BD581" s="561"/>
      <c r="BE581" s="563">
        <f>+BC581*BA581</f>
        <v>16784558</v>
      </c>
      <c r="BF581" s="561"/>
      <c r="BG581" s="561"/>
      <c r="BH581" s="533"/>
      <c r="BI581" s="500"/>
      <c r="BP581" s="56">
        <f>+BE581-BA581</f>
        <v>0</v>
      </c>
    </row>
    <row r="582" spans="4:68" x14ac:dyDescent="0.3">
      <c r="D582" s="56">
        <f>+D581+N582</f>
        <v>68571428.571428582</v>
      </c>
      <c r="H582" t="s">
        <v>139</v>
      </c>
      <c r="J582">
        <v>31</v>
      </c>
      <c r="N582" s="1">
        <f>+J582*H$577</f>
        <v>17714285.714285716</v>
      </c>
      <c r="AR582" s="500"/>
      <c r="AS582" s="533"/>
      <c r="AT582" s="569" t="s">
        <v>184</v>
      </c>
      <c r="AU582" s="561"/>
      <c r="AV582" s="561"/>
      <c r="AW582" s="561"/>
      <c r="AX582" s="561"/>
      <c r="AY582" s="561"/>
      <c r="AZ582" s="561"/>
      <c r="BA582" s="562">
        <f>SUM(D328:D386)</f>
        <v>4197929</v>
      </c>
      <c r="BB582" s="561"/>
      <c r="BC582" s="561">
        <v>1</v>
      </c>
      <c r="BD582" s="561"/>
      <c r="BE582" s="563">
        <f>+BC582*BA582</f>
        <v>4197929</v>
      </c>
      <c r="BF582" s="561"/>
      <c r="BG582" s="561"/>
      <c r="BH582" s="533"/>
      <c r="BI582" s="500"/>
      <c r="BP582" s="56">
        <f>+BE582-BA582</f>
        <v>0</v>
      </c>
    </row>
    <row r="583" spans="4:68" x14ac:dyDescent="0.3">
      <c r="D583" s="56"/>
      <c r="N583" s="1"/>
      <c r="AR583" s="500"/>
      <c r="AS583" s="533"/>
      <c r="AT583" s="569" t="s">
        <v>189</v>
      </c>
      <c r="AU583" s="561"/>
      <c r="AV583" s="561"/>
      <c r="AW583" s="561"/>
      <c r="AX583" s="561"/>
      <c r="AY583" s="561"/>
      <c r="AZ583" s="561"/>
      <c r="BA583" s="562">
        <f>SUM(D387:D481)</f>
        <v>3150860</v>
      </c>
      <c r="BB583" s="561"/>
      <c r="BC583" s="561">
        <v>1</v>
      </c>
      <c r="BD583" s="561"/>
      <c r="BE583" s="563">
        <f>+BC583*BA583</f>
        <v>3150860</v>
      </c>
      <c r="BF583" s="561"/>
      <c r="BG583" s="561"/>
      <c r="BH583" s="533"/>
      <c r="BI583" s="500"/>
      <c r="BP583" s="56"/>
    </row>
    <row r="584" spans="4:68" x14ac:dyDescent="0.3">
      <c r="AR584" s="500"/>
      <c r="AS584" s="533"/>
      <c r="AT584" s="625" t="s">
        <v>165</v>
      </c>
      <c r="AU584" s="625"/>
      <c r="AV584" s="625"/>
      <c r="AW584" s="625"/>
      <c r="AX584" s="625"/>
      <c r="AY584" s="625"/>
      <c r="AZ584" s="625"/>
      <c r="BA584" s="561"/>
      <c r="BB584" s="561"/>
      <c r="BC584" s="561"/>
      <c r="BD584" s="561"/>
      <c r="BE584" s="563"/>
      <c r="BF584" s="561"/>
      <c r="BG584" s="561"/>
      <c r="BH584" s="533"/>
      <c r="BI584" s="500"/>
      <c r="BP584" s="56">
        <f>+BA582-BA583</f>
        <v>1047069</v>
      </c>
    </row>
    <row r="585" spans="4:68" ht="15" thickBot="1" x14ac:dyDescent="0.35">
      <c r="D585" s="56">
        <f>+BE585+D582</f>
        <v>176510925.5714286</v>
      </c>
      <c r="H585" s="59">
        <f>+D585/320000000</f>
        <v>0.55159664241071438</v>
      </c>
      <c r="AR585" s="500"/>
      <c r="AS585" s="533"/>
      <c r="AT585" s="561"/>
      <c r="AU585" s="561"/>
      <c r="AV585" s="561"/>
      <c r="AW585" s="561"/>
      <c r="AX585" s="561"/>
      <c r="AY585" s="561"/>
      <c r="AZ585" s="561"/>
      <c r="BA585" s="564">
        <f>SUM(BA579:BA583)</f>
        <v>34068576</v>
      </c>
      <c r="BB585" s="561"/>
      <c r="BC585" s="561"/>
      <c r="BD585" s="561"/>
      <c r="BE585" s="564">
        <f>SUM(BE579:BE584)</f>
        <v>107939497</v>
      </c>
      <c r="BF585" s="561"/>
      <c r="BG585" s="565">
        <f>+BE585/320000000</f>
        <v>0.33731092812500002</v>
      </c>
      <c r="BH585" s="533"/>
      <c r="BI585" s="500"/>
      <c r="BP585" s="59">
        <f>+BP584/BA582</f>
        <v>0.24942513320258633</v>
      </c>
    </row>
    <row r="586" spans="4:68" ht="15" thickTop="1" x14ac:dyDescent="0.3">
      <c r="D586" s="56"/>
      <c r="H586" s="59"/>
      <c r="AR586" s="500"/>
      <c r="AS586" s="533"/>
      <c r="AT586" s="575" t="s">
        <v>186</v>
      </c>
      <c r="AU586" s="561"/>
      <c r="AV586" s="561"/>
      <c r="AW586" s="561"/>
      <c r="AX586" s="561"/>
      <c r="AY586" s="561"/>
      <c r="AZ586" s="561"/>
      <c r="BA586" s="484">
        <f>+BY605</f>
        <v>0.47972891566265058</v>
      </c>
      <c r="BB586" s="561"/>
      <c r="BC586" s="561"/>
      <c r="BD586" s="561"/>
      <c r="BE586" s="574"/>
      <c r="BF586" s="561"/>
      <c r="BG586" s="484"/>
      <c r="BH586" s="533"/>
      <c r="BI586" s="500"/>
      <c r="BP586" s="59"/>
    </row>
    <row r="587" spans="4:68" x14ac:dyDescent="0.3">
      <c r="D587" s="56"/>
      <c r="H587" s="59"/>
      <c r="AR587" s="500"/>
      <c r="AS587" s="533"/>
      <c r="AT587" s="575" t="s">
        <v>188</v>
      </c>
      <c r="AU587" s="561"/>
      <c r="AV587" s="561"/>
      <c r="AW587" s="561"/>
      <c r="AX587" s="561"/>
      <c r="AY587" s="561"/>
      <c r="AZ587" s="561"/>
      <c r="BA587" s="576">
        <f>+BA585*BA586</f>
        <v>16343681.022650601</v>
      </c>
      <c r="BB587" s="561"/>
      <c r="BC587" s="561"/>
      <c r="BD587" s="561"/>
      <c r="BE587" s="574"/>
      <c r="BF587" s="561"/>
      <c r="BG587" s="484"/>
      <c r="BH587" s="533"/>
      <c r="BI587" s="500"/>
      <c r="BP587" s="59"/>
    </row>
    <row r="588" spans="4:68" ht="15" thickBot="1" x14ac:dyDescent="0.35">
      <c r="D588" s="56"/>
      <c r="H588" s="59"/>
      <c r="AR588" s="500"/>
      <c r="AS588" s="533"/>
      <c r="AT588" s="575" t="s">
        <v>187</v>
      </c>
      <c r="AU588" s="561"/>
      <c r="AV588" s="561"/>
      <c r="AW588" s="561"/>
      <c r="AX588" s="561"/>
      <c r="AY588" s="561"/>
      <c r="AZ588" s="561"/>
      <c r="BA588" s="564">
        <f>+BA585-BA587</f>
        <v>17724894.977349401</v>
      </c>
      <c r="BB588" s="561"/>
      <c r="BC588" s="561"/>
      <c r="BD588" s="561"/>
      <c r="BE588" s="574"/>
      <c r="BF588" s="561"/>
      <c r="BG588" s="484"/>
      <c r="BH588" s="533"/>
      <c r="BI588" s="500"/>
      <c r="BP588" s="59"/>
    </row>
    <row r="589" spans="4:68" ht="15" thickTop="1" x14ac:dyDescent="0.3">
      <c r="AR589" s="500"/>
      <c r="AS589" s="533"/>
      <c r="AT589" s="561"/>
      <c r="AU589" s="561"/>
      <c r="AV589" s="561"/>
      <c r="AW589" s="561"/>
      <c r="AX589" s="561"/>
      <c r="AY589" s="561"/>
      <c r="AZ589" s="561"/>
      <c r="BA589" s="561"/>
      <c r="BB589" s="561"/>
      <c r="BC589" s="561"/>
      <c r="BD589" s="561"/>
      <c r="BE589" s="561"/>
      <c r="BF589" s="561"/>
      <c r="BG589" s="561"/>
      <c r="BH589" s="533"/>
      <c r="BI589" s="500"/>
    </row>
    <row r="590" spans="4:68" x14ac:dyDescent="0.3">
      <c r="AR590" s="500"/>
      <c r="AS590" s="500"/>
      <c r="AT590" s="500"/>
      <c r="AU590" s="500"/>
      <c r="AV590" s="500"/>
      <c r="AW590" s="500"/>
      <c r="AX590" s="500"/>
      <c r="AY590" s="500"/>
      <c r="AZ590" s="500"/>
      <c r="BA590" s="500"/>
      <c r="BB590" s="500"/>
      <c r="BC590" s="500"/>
      <c r="BD590" s="500"/>
      <c r="BE590" s="500"/>
      <c r="BF590" s="500"/>
      <c r="BG590" s="500"/>
      <c r="BH590" s="500"/>
      <c r="BI590" s="500"/>
    </row>
    <row r="592" spans="4:68" x14ac:dyDescent="0.3">
      <c r="AV592" t="s">
        <v>153</v>
      </c>
      <c r="BA592" s="56">
        <f>+H235</f>
        <v>9935229</v>
      </c>
    </row>
    <row r="594" spans="44:90" x14ac:dyDescent="0.3">
      <c r="AV594" t="s">
        <v>164</v>
      </c>
      <c r="BA594" s="56">
        <f>+H327</f>
        <v>26719787</v>
      </c>
    </row>
    <row r="595" spans="44:90" x14ac:dyDescent="0.3">
      <c r="BA595" s="56"/>
    </row>
    <row r="596" spans="44:90" x14ac:dyDescent="0.3">
      <c r="AR596" s="500"/>
      <c r="AS596" s="500"/>
      <c r="AT596" s="500"/>
      <c r="AU596" s="500"/>
      <c r="AV596" s="500"/>
      <c r="AW596" s="500"/>
      <c r="AX596" s="500"/>
      <c r="AY596" s="500"/>
      <c r="AZ596" s="500"/>
      <c r="BA596" s="557"/>
      <c r="BB596" s="500"/>
      <c r="BC596" s="500"/>
      <c r="BD596" s="500"/>
      <c r="BE596" s="500"/>
      <c r="BF596" s="500"/>
      <c r="BG596" s="500"/>
      <c r="BH596" s="500"/>
      <c r="BI596" s="500"/>
      <c r="BJ596" s="500"/>
      <c r="BK596" s="500"/>
      <c r="BL596" s="500"/>
      <c r="BM596" s="500"/>
      <c r="BN596" s="500"/>
      <c r="BO596" s="500"/>
      <c r="BP596" s="500"/>
      <c r="BQ596" s="500"/>
      <c r="BR596" s="500"/>
      <c r="BS596" s="500"/>
      <c r="BT596" s="500"/>
      <c r="BU596" s="500"/>
      <c r="BV596" s="500"/>
      <c r="BW596" s="500"/>
    </row>
    <row r="597" spans="44:90" ht="14.4" customHeight="1" x14ac:dyDescent="0.3">
      <c r="AR597" s="500"/>
      <c r="AS597" s="533"/>
      <c r="AT597" s="587" t="s">
        <v>177</v>
      </c>
      <c r="AU597" s="587"/>
      <c r="AV597" s="587"/>
      <c r="AW597" s="587"/>
      <c r="AX597" s="587"/>
      <c r="AY597" s="587"/>
      <c r="AZ597" s="587"/>
      <c r="BA597" s="587"/>
      <c r="BB597" s="587"/>
      <c r="BC597" s="587"/>
      <c r="BD597" s="587"/>
      <c r="BE597" s="587"/>
      <c r="BF597" s="587"/>
      <c r="BG597" s="587"/>
      <c r="BH597" s="587"/>
      <c r="BI597" s="587"/>
      <c r="BJ597" s="587"/>
      <c r="BK597" s="587"/>
      <c r="BL597" s="587"/>
      <c r="BM597" s="587"/>
      <c r="BN597" s="587"/>
      <c r="BO597" s="587"/>
      <c r="BP597" s="587"/>
      <c r="BQ597" s="587"/>
      <c r="BR597" s="587"/>
      <c r="BS597" s="587"/>
      <c r="BT597" s="587"/>
      <c r="BU597" s="587"/>
      <c r="BV597" s="587"/>
      <c r="BW597" s="500"/>
    </row>
    <row r="598" spans="44:90" ht="14.4" customHeight="1" x14ac:dyDescent="0.3">
      <c r="AR598" s="500"/>
      <c r="AS598" s="533"/>
      <c r="AT598" s="533"/>
      <c r="AU598" s="533"/>
      <c r="AV598" s="533"/>
      <c r="AW598" s="533"/>
      <c r="AX598" s="533"/>
      <c r="AY598" s="533"/>
      <c r="AZ598" s="533"/>
      <c r="BA598" s="629" t="s">
        <v>173</v>
      </c>
      <c r="BB598" s="629"/>
      <c r="BC598" s="629"/>
      <c r="BD598" s="629"/>
      <c r="BE598" s="629"/>
      <c r="BF598" s="561"/>
      <c r="BG598" s="587" t="s">
        <v>181</v>
      </c>
      <c r="BH598" s="587"/>
      <c r="BI598" s="587"/>
      <c r="BJ598" s="587"/>
      <c r="BK598" s="587"/>
      <c r="BL598" s="587"/>
      <c r="BM598" s="587"/>
      <c r="BN598" s="587"/>
      <c r="BO598" s="587"/>
      <c r="BP598" s="587"/>
      <c r="BQ598" s="533"/>
      <c r="BR598" s="621" t="s">
        <v>177</v>
      </c>
      <c r="BS598" s="621"/>
      <c r="BT598" s="621"/>
      <c r="BU598" s="621"/>
      <c r="BV598" s="621"/>
      <c r="BW598" s="500"/>
    </row>
    <row r="599" spans="44:90" x14ac:dyDescent="0.3">
      <c r="AR599" s="500"/>
      <c r="AS599" s="533"/>
      <c r="AT599" s="533"/>
      <c r="AU599" s="533"/>
      <c r="AV599" s="533"/>
      <c r="AW599" s="533"/>
      <c r="AX599" s="533"/>
      <c r="AY599" s="533"/>
      <c r="AZ599" s="533"/>
      <c r="BA599" s="570" t="s">
        <v>178</v>
      </c>
      <c r="BB599" s="571"/>
      <c r="BC599" s="572" t="s">
        <v>183</v>
      </c>
      <c r="BD599" s="571"/>
      <c r="BE599" s="572" t="s">
        <v>179</v>
      </c>
      <c r="BF599" s="561"/>
      <c r="BG599" s="570"/>
      <c r="BH599" s="571"/>
      <c r="BI599" s="630"/>
      <c r="BJ599" s="630"/>
      <c r="BK599" s="630"/>
      <c r="BL599" s="630"/>
      <c r="BM599" s="630"/>
      <c r="BN599" s="630"/>
      <c r="BO599" s="473"/>
      <c r="BP599" s="572"/>
      <c r="BQ599" s="533"/>
      <c r="BR599" s="622"/>
      <c r="BS599" s="622"/>
      <c r="BT599" s="622"/>
      <c r="BU599" s="622"/>
      <c r="BV599" s="622"/>
      <c r="BW599" s="500"/>
    </row>
    <row r="600" spans="44:90" x14ac:dyDescent="0.3">
      <c r="AR600" s="500"/>
      <c r="AS600" s="533"/>
      <c r="AT600" s="533"/>
      <c r="AU600" s="533"/>
      <c r="AV600" s="533"/>
      <c r="AW600" s="533"/>
      <c r="AX600" s="533"/>
      <c r="AY600" s="533"/>
      <c r="AZ600" s="533"/>
      <c r="BA600" s="568" t="s">
        <v>174</v>
      </c>
      <c r="BB600" s="566"/>
      <c r="BC600" s="568" t="s">
        <v>176</v>
      </c>
      <c r="BD600" s="566"/>
      <c r="BE600" s="568" t="s">
        <v>175</v>
      </c>
      <c r="BF600" s="561"/>
      <c r="BG600" s="567" t="s">
        <v>181</v>
      </c>
      <c r="BH600" s="561"/>
      <c r="BI600" s="610" t="s">
        <v>185</v>
      </c>
      <c r="BJ600" s="610"/>
      <c r="BK600" s="610"/>
      <c r="BL600" s="610"/>
      <c r="BM600" s="610"/>
      <c r="BN600" s="610"/>
      <c r="BO600" s="561"/>
      <c r="BP600" s="568" t="s">
        <v>182</v>
      </c>
      <c r="BQ600" s="533"/>
      <c r="BR600" s="623" t="s">
        <v>180</v>
      </c>
      <c r="BS600" s="623"/>
      <c r="BT600" s="623"/>
      <c r="BU600" s="623"/>
      <c r="BV600" s="623"/>
      <c r="BW600" s="500"/>
    </row>
    <row r="601" spans="44:90" x14ac:dyDescent="0.3">
      <c r="AR601" s="500"/>
      <c r="AS601" s="533"/>
      <c r="AT601" s="624" t="s">
        <v>162</v>
      </c>
      <c r="AU601" s="624"/>
      <c r="AV601" s="624"/>
      <c r="AW601" s="624"/>
      <c r="AX601" s="624"/>
      <c r="AY601" s="561"/>
      <c r="AZ601" s="561"/>
      <c r="BA601" s="562">
        <f>+BA579</f>
        <v>6826001</v>
      </c>
      <c r="BB601" s="561"/>
      <c r="BC601" s="562">
        <f>+BE601-BA601</f>
        <v>61434009</v>
      </c>
      <c r="BD601" s="561"/>
      <c r="BE601" s="562">
        <f>+BE579</f>
        <v>68260010</v>
      </c>
      <c r="BF601" s="533"/>
      <c r="BG601" s="563">
        <v>0</v>
      </c>
      <c r="BH601" s="563"/>
      <c r="BI601" s="563"/>
      <c r="BJ601" s="563"/>
      <c r="BK601" s="563"/>
      <c r="BL601" s="563"/>
      <c r="BM601" s="563"/>
      <c r="BN601" s="563">
        <f>+BG601</f>
        <v>0</v>
      </c>
      <c r="BO601" s="563"/>
      <c r="BP601" s="563">
        <f>+BN601*0.5</f>
        <v>0</v>
      </c>
      <c r="BQ601" s="561"/>
      <c r="BR601" s="628">
        <f>+BE601+BP601</f>
        <v>68260010</v>
      </c>
      <c r="BS601" s="625"/>
      <c r="BT601" s="625"/>
      <c r="BU601" s="625"/>
      <c r="BV601" s="625"/>
      <c r="BW601" s="500"/>
    </row>
    <row r="602" spans="44:90" x14ac:dyDescent="0.3">
      <c r="AR602" s="500"/>
      <c r="AS602" s="533"/>
      <c r="AT602" s="624" t="s">
        <v>172</v>
      </c>
      <c r="AU602" s="624"/>
      <c r="AV602" s="624"/>
      <c r="AW602" s="624"/>
      <c r="AX602" s="624"/>
      <c r="AY602" s="561"/>
      <c r="AZ602" s="561"/>
      <c r="BA602" s="562">
        <f>+BA601+BA580</f>
        <v>9935229</v>
      </c>
      <c r="BB602" s="561"/>
      <c r="BC602" s="562">
        <f>+BE602-BA602</f>
        <v>73870921</v>
      </c>
      <c r="BD602" s="561"/>
      <c r="BE602" s="562">
        <f>+BE601+BE580</f>
        <v>83806150</v>
      </c>
      <c r="BF602" s="533"/>
      <c r="BG602" s="563">
        <v>0</v>
      </c>
      <c r="BH602" s="563"/>
      <c r="BI602" s="563"/>
      <c r="BJ602" s="563"/>
      <c r="BK602" s="563"/>
      <c r="BL602" s="563"/>
      <c r="BM602" s="563"/>
      <c r="BN602" s="563">
        <f>+BN601+BG602</f>
        <v>0</v>
      </c>
      <c r="BO602" s="563"/>
      <c r="BP602" s="563">
        <f>+BN602*0.5</f>
        <v>0</v>
      </c>
      <c r="BQ602" s="561"/>
      <c r="BR602" s="628">
        <f>+BE602+BP602</f>
        <v>83806150</v>
      </c>
      <c r="BS602" s="625"/>
      <c r="BT602" s="625"/>
      <c r="BU602" s="625"/>
      <c r="BV602" s="625"/>
      <c r="BW602" s="500"/>
    </row>
    <row r="603" spans="44:90" x14ac:dyDescent="0.3">
      <c r="AR603" s="500"/>
      <c r="AS603" s="533"/>
      <c r="AT603" s="624" t="s">
        <v>163</v>
      </c>
      <c r="AU603" s="624"/>
      <c r="AV603" s="624"/>
      <c r="AW603" s="624"/>
      <c r="AX603" s="624"/>
      <c r="AY603" s="624"/>
      <c r="AZ603" s="624"/>
      <c r="BA603" s="562">
        <f>+BA602+BA581</f>
        <v>26719787</v>
      </c>
      <c r="BB603" s="561"/>
      <c r="BC603" s="562">
        <f>+BE603-BA603</f>
        <v>73870921</v>
      </c>
      <c r="BD603" s="561"/>
      <c r="BE603" s="562">
        <f>+BE602+BE581</f>
        <v>100590708</v>
      </c>
      <c r="BF603" s="533"/>
      <c r="BG603" s="563">
        <f>13400000+5660000</f>
        <v>19060000</v>
      </c>
      <c r="BH603" s="563"/>
      <c r="BI603" s="627"/>
      <c r="BJ603" s="627"/>
      <c r="BK603" s="627"/>
      <c r="BL603" s="627"/>
      <c r="BM603" s="627"/>
      <c r="BN603" s="627"/>
      <c r="BO603" s="563"/>
      <c r="BP603" s="563">
        <f>+BG603</f>
        <v>19060000</v>
      </c>
      <c r="BQ603" s="561"/>
      <c r="BR603" s="628">
        <f>+BE603+BP603</f>
        <v>119650708</v>
      </c>
      <c r="BS603" s="625"/>
      <c r="BT603" s="625"/>
      <c r="BU603" s="625"/>
      <c r="BV603" s="625"/>
      <c r="BW603" s="500"/>
    </row>
    <row r="604" spans="44:90" x14ac:dyDescent="0.3">
      <c r="AR604" s="500"/>
      <c r="AS604" s="533"/>
      <c r="AT604" s="569" t="s">
        <v>184</v>
      </c>
      <c r="AU604" s="561"/>
      <c r="AV604" s="561"/>
      <c r="AW604" s="561"/>
      <c r="AX604" s="561"/>
      <c r="AY604" s="561"/>
      <c r="AZ604" s="561"/>
      <c r="BA604" s="562">
        <f>+BA603+BA582</f>
        <v>30917716</v>
      </c>
      <c r="BB604" s="561"/>
      <c r="BC604" s="562">
        <f>+BE604-BA604</f>
        <v>73870921</v>
      </c>
      <c r="BD604" s="561"/>
      <c r="BE604" s="562">
        <f>+BE603+BE582</f>
        <v>104788637</v>
      </c>
      <c r="BF604" s="533"/>
      <c r="BG604" s="563">
        <f>53420000-BG603</f>
        <v>34360000</v>
      </c>
      <c r="BH604" s="563"/>
      <c r="BI604" s="627"/>
      <c r="BJ604" s="627"/>
      <c r="BK604" s="627"/>
      <c r="BL604" s="627"/>
      <c r="BM604" s="627"/>
      <c r="BN604" s="627"/>
      <c r="BO604" s="563"/>
      <c r="BP604" s="563">
        <f>+BP603+BG604</f>
        <v>53420000</v>
      </c>
      <c r="BQ604" s="561"/>
      <c r="BR604" s="628">
        <f>+BE604+BP604</f>
        <v>158208637</v>
      </c>
      <c r="BS604" s="625"/>
      <c r="BT604" s="625"/>
      <c r="BU604" s="625"/>
      <c r="BV604" s="625"/>
      <c r="BW604" s="500"/>
    </row>
    <row r="605" spans="44:90" x14ac:dyDescent="0.3">
      <c r="AR605" s="500"/>
      <c r="AS605" s="533"/>
      <c r="AT605" s="569" t="s">
        <v>189</v>
      </c>
      <c r="AU605" s="561"/>
      <c r="AV605" s="561"/>
      <c r="AW605" s="561"/>
      <c r="AX605" s="561"/>
      <c r="AY605" s="561"/>
      <c r="AZ605" s="561"/>
      <c r="BA605" s="562">
        <f>+BA588</f>
        <v>17724894.977349401</v>
      </c>
      <c r="BB605" s="561"/>
      <c r="BC605" s="562">
        <f>+BE605-BA605</f>
        <v>73870921</v>
      </c>
      <c r="BD605" s="561"/>
      <c r="BE605" s="562">
        <f>+BE604+BE583-BA587</f>
        <v>91595815.977349401</v>
      </c>
      <c r="BF605" s="533"/>
      <c r="BG605" s="563">
        <f>159270000-BP604</f>
        <v>105850000</v>
      </c>
      <c r="BH605" s="563"/>
      <c r="BI605" s="627"/>
      <c r="BJ605" s="627"/>
      <c r="BK605" s="627"/>
      <c r="BL605" s="627"/>
      <c r="BM605" s="627"/>
      <c r="BN605" s="627"/>
      <c r="BO605" s="563"/>
      <c r="BP605" s="563">
        <f>+BP604+BG605</f>
        <v>159270000</v>
      </c>
      <c r="BQ605" s="561"/>
      <c r="BR605" s="628">
        <f>+BE605+BP605</f>
        <v>250865815.9773494</v>
      </c>
      <c r="BS605" s="625"/>
      <c r="BT605" s="625"/>
      <c r="BU605" s="625"/>
      <c r="BV605" s="625"/>
      <c r="BW605" s="500"/>
      <c r="BY605" s="59">
        <f>+BP605/CL605</f>
        <v>0.47972891566265058</v>
      </c>
      <c r="CL605" s="1">
        <v>332000000</v>
      </c>
    </row>
    <row r="606" spans="44:90" x14ac:dyDescent="0.3">
      <c r="AR606" s="500"/>
      <c r="AS606" s="500"/>
      <c r="AT606" s="500"/>
      <c r="AU606" s="500"/>
      <c r="AV606" s="500"/>
      <c r="AW606" s="500"/>
      <c r="AX606" s="500"/>
      <c r="AY606" s="500"/>
      <c r="AZ606" s="500"/>
      <c r="BA606" s="500"/>
      <c r="BB606" s="500"/>
      <c r="BC606" s="500"/>
      <c r="BD606" s="500"/>
      <c r="BE606" s="500"/>
      <c r="BF606" s="500"/>
      <c r="BG606" s="500"/>
      <c r="BH606" s="500"/>
      <c r="BI606" s="500"/>
      <c r="BJ606" s="500"/>
      <c r="BK606" s="500"/>
      <c r="BL606" s="500"/>
      <c r="BM606" s="500"/>
      <c r="BN606" s="500"/>
      <c r="BO606" s="500"/>
      <c r="BP606" s="500"/>
      <c r="BQ606" s="500"/>
      <c r="BR606" s="500"/>
      <c r="BS606" s="500"/>
      <c r="BT606" s="500"/>
      <c r="BU606" s="500"/>
      <c r="BV606" s="500"/>
      <c r="BW606" s="500"/>
      <c r="CL606" s="59">
        <f>+BR605/CL605</f>
        <v>0.75561992764261865</v>
      </c>
    </row>
    <row r="608" spans="44:90" x14ac:dyDescent="0.3">
      <c r="BA608" s="56">
        <f>+BR605+BA587</f>
        <v>267209497</v>
      </c>
      <c r="BC608" s="59">
        <f>+BA608/CL605</f>
        <v>0.80484788253012052</v>
      </c>
      <c r="BE608" s="56"/>
      <c r="CL608" s="56">
        <f>+CL605-BR605</f>
        <v>81134184.022650599</v>
      </c>
    </row>
    <row r="611" spans="42:90" x14ac:dyDescent="0.3">
      <c r="CL611" s="59">
        <f>+BP605/CL605</f>
        <v>0.47972891566265058</v>
      </c>
    </row>
    <row r="613" spans="42:90" x14ac:dyDescent="0.3">
      <c r="BE613" s="500"/>
      <c r="BF613" s="500"/>
      <c r="BG613" s="500"/>
      <c r="BH613" s="500"/>
      <c r="BI613" s="500"/>
      <c r="BJ613" s="500"/>
      <c r="BK613" s="500"/>
      <c r="BL613" s="500"/>
      <c r="BM613" s="500"/>
      <c r="BN613" s="500"/>
      <c r="BO613" s="500"/>
      <c r="BP613" s="500"/>
      <c r="BQ613" s="500"/>
      <c r="BR613" s="500"/>
      <c r="BS613" s="500"/>
      <c r="BT613" s="500"/>
      <c r="BU613" s="500"/>
      <c r="BV613" s="500"/>
      <c r="BW613" s="500"/>
      <c r="BX613" s="500"/>
      <c r="BY613" s="500"/>
    </row>
    <row r="614" spans="42:90" x14ac:dyDescent="0.3">
      <c r="BE614" s="500"/>
      <c r="BF614" s="500"/>
      <c r="BG614" s="500"/>
      <c r="BH614" s="500"/>
      <c r="BI614" s="500"/>
      <c r="BJ614" s="500"/>
      <c r="BK614" s="500"/>
      <c r="BL614" s="500"/>
      <c r="BM614" s="500"/>
      <c r="BN614" s="500"/>
      <c r="BO614" s="500"/>
      <c r="BP614" s="500"/>
      <c r="BQ614" s="500"/>
      <c r="BR614" s="500"/>
      <c r="BS614" s="500"/>
      <c r="BT614" s="500"/>
      <c r="BU614" s="500"/>
      <c r="BV614" s="500"/>
      <c r="BW614" s="500"/>
      <c r="BX614" s="500"/>
      <c r="BY614" s="500"/>
    </row>
    <row r="615" spans="42:90" x14ac:dyDescent="0.3">
      <c r="AP615" s="1">
        <v>1500000</v>
      </c>
      <c r="BE615" s="500"/>
      <c r="BF615" s="500"/>
      <c r="BG615" s="500"/>
      <c r="BH615" s="500"/>
      <c r="BI615" s="500"/>
      <c r="BJ615" s="500"/>
      <c r="BK615" s="500"/>
      <c r="BL615" s="500"/>
      <c r="BM615" s="500"/>
      <c r="BN615" s="500"/>
      <c r="BO615" s="500"/>
      <c r="BP615" s="500"/>
      <c r="BQ615" s="500"/>
      <c r="BR615" s="500"/>
      <c r="BS615" s="500"/>
      <c r="BT615" s="500"/>
      <c r="BU615" s="500"/>
      <c r="BV615" s="500"/>
      <c r="BW615" s="500"/>
      <c r="BX615" s="500"/>
      <c r="BY615" s="500"/>
    </row>
    <row r="616" spans="42:90" x14ac:dyDescent="0.3">
      <c r="AP616">
        <v>7</v>
      </c>
      <c r="BE616" s="500"/>
      <c r="BY616" s="500"/>
      <c r="CL616">
        <v>177090000</v>
      </c>
    </row>
    <row r="617" spans="42:90" x14ac:dyDescent="0.3">
      <c r="AP617" s="1">
        <f>+AP615*AP616</f>
        <v>10500000</v>
      </c>
      <c r="BE617" s="500"/>
      <c r="BY617" s="500"/>
      <c r="CL617" s="231">
        <f>+CL616/CL605</f>
        <v>0.53340361445783135</v>
      </c>
    </row>
    <row r="618" spans="42:90" x14ac:dyDescent="0.3">
      <c r="BE618" s="500"/>
      <c r="BY618" s="500"/>
    </row>
    <row r="619" spans="42:90" x14ac:dyDescent="0.3">
      <c r="BE619" s="500"/>
      <c r="BY619" s="500"/>
    </row>
    <row r="620" spans="42:90" x14ac:dyDescent="0.3">
      <c r="BE620" s="500"/>
      <c r="BY620" s="500"/>
      <c r="CL620" s="56">
        <f>+BR605+27420000</f>
        <v>278285815.9773494</v>
      </c>
    </row>
    <row r="621" spans="42:90" x14ac:dyDescent="0.3">
      <c r="BE621" s="500"/>
      <c r="BY621" s="500"/>
    </row>
    <row r="622" spans="42:90" x14ac:dyDescent="0.3">
      <c r="BE622" s="500"/>
      <c r="BY622" s="500"/>
      <c r="CL622" s="59">
        <f>+CL620/CL605</f>
        <v>0.83821028908840178</v>
      </c>
    </row>
    <row r="623" spans="42:90" x14ac:dyDescent="0.3">
      <c r="BE623" s="500"/>
      <c r="BY623" s="500"/>
    </row>
    <row r="624" spans="42:90" x14ac:dyDescent="0.3">
      <c r="BE624" s="500"/>
      <c r="BY624" s="500"/>
    </row>
    <row r="625" spans="57:77" x14ac:dyDescent="0.3">
      <c r="BE625" s="500"/>
      <c r="BY625" s="500"/>
    </row>
    <row r="626" spans="57:77" x14ac:dyDescent="0.3">
      <c r="BE626" s="500"/>
      <c r="BY626" s="500"/>
    </row>
    <row r="627" spans="57:77" x14ac:dyDescent="0.3">
      <c r="BE627" s="500"/>
      <c r="BY627" s="500"/>
    </row>
    <row r="628" spans="57:77" x14ac:dyDescent="0.3">
      <c r="BE628" s="500"/>
      <c r="BY628" s="500"/>
    </row>
    <row r="629" spans="57:77" x14ac:dyDescent="0.3">
      <c r="BE629" s="500"/>
      <c r="BF629" s="500"/>
      <c r="BG629" s="500"/>
      <c r="BH629" s="500"/>
      <c r="BI629" s="500"/>
      <c r="BJ629" s="500"/>
      <c r="BK629" s="500"/>
      <c r="BL629" s="500"/>
      <c r="BM629" s="500"/>
      <c r="BN629" s="500"/>
      <c r="BO629" s="500"/>
      <c r="BP629" s="500"/>
      <c r="BQ629" s="500"/>
      <c r="BR629" s="500"/>
      <c r="BS629" s="500"/>
      <c r="BT629" s="500"/>
      <c r="BU629" s="500"/>
      <c r="BV629" s="500"/>
      <c r="BW629" s="500"/>
      <c r="BX629" s="500"/>
      <c r="BY629" s="500"/>
    </row>
    <row r="630" spans="57:77" x14ac:dyDescent="0.3">
      <c r="BE630" s="500"/>
      <c r="BF630" s="500"/>
      <c r="BG630" s="500"/>
      <c r="BH630" s="500"/>
      <c r="BI630" s="500"/>
      <c r="BJ630" s="500"/>
      <c r="BK630" s="500"/>
      <c r="BL630" s="500"/>
      <c r="BM630" s="500"/>
      <c r="BN630" s="500"/>
      <c r="BO630" s="500"/>
      <c r="BP630" s="500"/>
      <c r="BQ630" s="500"/>
      <c r="BR630" s="500"/>
      <c r="BS630" s="500"/>
      <c r="BT630" s="500"/>
      <c r="BU630" s="500"/>
      <c r="BV630" s="500"/>
      <c r="BW630" s="500"/>
      <c r="BX630" s="500"/>
      <c r="BY630" s="500"/>
    </row>
    <row r="631" spans="57:77" x14ac:dyDescent="0.3">
      <c r="BE631" s="500"/>
      <c r="BF631" s="500"/>
      <c r="BG631" s="500"/>
      <c r="BH631" s="500"/>
      <c r="BI631" s="500"/>
      <c r="BJ631" s="500"/>
      <c r="BK631" s="500"/>
      <c r="BL631" s="500"/>
      <c r="BM631" s="500"/>
      <c r="BN631" s="500"/>
      <c r="BO631" s="500"/>
      <c r="BP631" s="500"/>
      <c r="BQ631" s="500"/>
      <c r="BR631" s="500"/>
      <c r="BS631" s="500"/>
      <c r="BT631" s="500"/>
      <c r="BU631" s="500"/>
      <c r="BV631" s="500"/>
      <c r="BW631" s="500"/>
      <c r="BX631" s="500"/>
      <c r="BY631" s="500"/>
    </row>
    <row r="632" spans="57:77" x14ac:dyDescent="0.3">
      <c r="BE632" s="500"/>
      <c r="BF632" s="500"/>
      <c r="BG632" s="500"/>
      <c r="BH632" s="500"/>
      <c r="BI632" s="500"/>
      <c r="BJ632" s="500"/>
      <c r="BK632" s="500"/>
      <c r="BL632" s="500"/>
      <c r="BM632" s="500"/>
      <c r="BN632" s="500"/>
      <c r="BO632" s="500"/>
      <c r="BP632" s="500"/>
      <c r="BQ632" s="500"/>
      <c r="BR632" s="500"/>
      <c r="BS632" s="500"/>
      <c r="BT632" s="500"/>
      <c r="BU632" s="500"/>
      <c r="BV632" s="500"/>
      <c r="BW632" s="500"/>
      <c r="BX632" s="500"/>
      <c r="BY632" s="500"/>
    </row>
    <row r="633" spans="57:77" x14ac:dyDescent="0.3">
      <c r="BE633" s="500"/>
      <c r="BF633" s="500"/>
      <c r="BG633" s="500"/>
      <c r="BH633" s="500"/>
      <c r="BI633" s="500"/>
      <c r="BJ633" s="500"/>
      <c r="BK633" s="500"/>
      <c r="BL633" s="500"/>
      <c r="BM633" s="500"/>
      <c r="BN633" s="500"/>
      <c r="BO633" s="500"/>
      <c r="BP633" s="500"/>
      <c r="BQ633" s="500"/>
      <c r="BR633" s="500"/>
      <c r="BS633" s="500"/>
      <c r="BT633" s="500"/>
      <c r="BU633" s="500"/>
      <c r="BV633" s="500"/>
      <c r="BW633" s="500"/>
      <c r="BX633" s="500"/>
      <c r="BY633" s="500"/>
    </row>
    <row r="634" spans="57:77" x14ac:dyDescent="0.3">
      <c r="BE634" s="500"/>
      <c r="BF634" s="500"/>
      <c r="BG634" s="500"/>
      <c r="BH634" s="500"/>
      <c r="BI634" s="500"/>
      <c r="BJ634" s="500"/>
      <c r="BK634" s="500"/>
      <c r="BL634" s="500"/>
      <c r="BM634" s="500"/>
      <c r="BN634" s="500"/>
      <c r="BO634" s="500"/>
      <c r="BP634" s="500"/>
      <c r="BQ634" s="500"/>
      <c r="BR634" s="500"/>
      <c r="BS634" s="500"/>
      <c r="BT634" s="500"/>
      <c r="BU634" s="500"/>
      <c r="BV634" s="500"/>
      <c r="BW634" s="500"/>
      <c r="BX634" s="500"/>
      <c r="BY634" s="500"/>
    </row>
    <row r="635" spans="57:77" x14ac:dyDescent="0.3">
      <c r="BE635" s="500"/>
      <c r="BF635" s="500"/>
      <c r="BG635" s="500"/>
      <c r="BH635" s="500"/>
      <c r="BI635" s="500"/>
      <c r="BJ635" s="500"/>
      <c r="BK635" s="500"/>
      <c r="BL635" s="500"/>
      <c r="BM635" s="500"/>
      <c r="BN635" s="500"/>
      <c r="BO635" s="500"/>
      <c r="BP635" s="500"/>
      <c r="BQ635" s="500"/>
      <c r="BR635" s="500"/>
      <c r="BS635" s="500"/>
      <c r="BT635" s="500"/>
      <c r="BU635" s="500"/>
      <c r="BV635" s="500"/>
      <c r="BW635" s="500"/>
      <c r="BX635" s="500"/>
      <c r="BY635" s="500"/>
    </row>
    <row r="636" spans="57:77" x14ac:dyDescent="0.3">
      <c r="BE636" s="500"/>
      <c r="BF636" s="500"/>
      <c r="BG636" s="500"/>
      <c r="BH636" s="500"/>
      <c r="BI636" s="500"/>
      <c r="BJ636" s="500"/>
      <c r="BK636" s="500"/>
      <c r="BL636" s="500"/>
      <c r="BM636" s="500"/>
      <c r="BN636" s="500"/>
      <c r="BO636" s="500"/>
      <c r="BP636" s="500"/>
      <c r="BQ636" s="500"/>
      <c r="BR636" s="500"/>
      <c r="BS636" s="500"/>
      <c r="BT636" s="500"/>
      <c r="BU636" s="500"/>
      <c r="BV636" s="500"/>
      <c r="BW636" s="500"/>
      <c r="BX636" s="500"/>
      <c r="BY636" s="500"/>
    </row>
  </sheetData>
  <mergeCells count="57">
    <mergeCell ref="AT601:AX601"/>
    <mergeCell ref="AT602:AX602"/>
    <mergeCell ref="AT603:AZ603"/>
    <mergeCell ref="BA598:BE598"/>
    <mergeCell ref="BG598:BP598"/>
    <mergeCell ref="BI600:BN600"/>
    <mergeCell ref="BI603:BN603"/>
    <mergeCell ref="BI599:BN599"/>
    <mergeCell ref="BI605:BN605"/>
    <mergeCell ref="BR601:BV601"/>
    <mergeCell ref="BR602:BV602"/>
    <mergeCell ref="BR603:BV603"/>
    <mergeCell ref="BR605:BV605"/>
    <mergeCell ref="BI604:BN604"/>
    <mergeCell ref="BR604:BV604"/>
    <mergeCell ref="BR598:BV599"/>
    <mergeCell ref="BR600:BV600"/>
    <mergeCell ref="AT580:AX580"/>
    <mergeCell ref="AT584:AZ584"/>
    <mergeCell ref="AT578:AY578"/>
    <mergeCell ref="AT581:AZ581"/>
    <mergeCell ref="AT597:BV597"/>
    <mergeCell ref="BG577:BG578"/>
    <mergeCell ref="AT579:AX579"/>
    <mergeCell ref="AK505:AV505"/>
    <mergeCell ref="AK507:AN507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538:J538"/>
    <mergeCell ref="AK515:AN515"/>
    <mergeCell ref="AK506:AN506"/>
    <mergeCell ref="AK516:AN516"/>
    <mergeCell ref="AV565:AX565"/>
    <mergeCell ref="AV570:AY570"/>
    <mergeCell ref="BE577:BE578"/>
    <mergeCell ref="AV553:AX553"/>
    <mergeCell ref="AK508:AN508"/>
    <mergeCell ref="AK509:AN509"/>
    <mergeCell ref="AK510:AN510"/>
    <mergeCell ref="AS576:BH576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11:AP513 AR511:AR5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06"/>
  <sheetViews>
    <sheetView topLeftCell="A463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+K494</f>
        <v>3496526</v>
      </c>
      <c r="AG16" s="187"/>
      <c r="AH16" s="201">
        <f>+AJ31</f>
        <v>10869.666148051176</v>
      </c>
      <c r="AI16" s="201"/>
      <c r="AJ16" s="202">
        <f>+S494</f>
        <v>88519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710830</v>
      </c>
      <c r="AG17" s="188"/>
      <c r="AH17" s="149">
        <v>10313</v>
      </c>
      <c r="AI17" s="201"/>
      <c r="AJ17" s="148">
        <v>18011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1218631</v>
      </c>
      <c r="AG18" s="188"/>
      <c r="AH18" s="149">
        <v>9519</v>
      </c>
      <c r="AI18" s="201"/>
      <c r="AJ18" s="148">
        <v>27746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5425987</v>
      </c>
      <c r="AG19" s="188"/>
      <c r="AH19" s="188"/>
      <c r="AI19" s="188"/>
      <c r="AJ19" s="206">
        <f>SUM(AJ16:AJ18)</f>
        <v>134276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Table'!H492</f>
        <v>0.15879438077257074</v>
      </c>
      <c r="AG21" s="188"/>
      <c r="AH21" s="188"/>
      <c r="AI21" s="188"/>
      <c r="AJ21" s="208">
        <f>+AJ19/'Main Table'!AA492</f>
        <v>0.22105082937686438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+E494</f>
        <v>2120486</v>
      </c>
      <c r="AE27" s="155"/>
      <c r="AF27" s="186">
        <v>10900</v>
      </c>
      <c r="AG27" s="155"/>
      <c r="AH27" s="177">
        <f>+AD27/AD$31</f>
        <v>0.50399490796595292</v>
      </c>
      <c r="AI27" s="177"/>
      <c r="AJ27" s="155">
        <f>+AF27*AH27</f>
        <v>5493.5444968288866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+G494</f>
        <v>1026071</v>
      </c>
      <c r="AE28" s="155"/>
      <c r="AF28" s="186">
        <v>11552</v>
      </c>
      <c r="AG28" s="155"/>
      <c r="AH28" s="177">
        <f>+AD28/AD$31</f>
        <v>0.24387548854910304</v>
      </c>
      <c r="AI28" s="177"/>
      <c r="AJ28" s="155">
        <f>+AF28*AH28</f>
        <v>2817.2496437192385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+I494</f>
        <v>349969</v>
      </c>
      <c r="AE29" s="155"/>
      <c r="AF29" s="186">
        <v>9816</v>
      </c>
      <c r="AG29" s="155"/>
      <c r="AH29" s="177">
        <f>+AD29/AD$31</f>
        <v>8.318026808285299E-2</v>
      </c>
      <c r="AI29" s="177"/>
      <c r="AJ29" s="155">
        <f>+AF29*AH29</f>
        <v>816.49751150128498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710830</v>
      </c>
      <c r="AE30" s="237"/>
      <c r="AF30" s="155">
        <f>+AH17</f>
        <v>10313</v>
      </c>
      <c r="AG30" s="237"/>
      <c r="AH30" s="177">
        <f>+AD30/AD$31</f>
        <v>0.16894933540209101</v>
      </c>
      <c r="AI30" s="237"/>
      <c r="AJ30" s="155">
        <f>+AF30*AH30</f>
        <v>1742.3744960017646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4207356</v>
      </c>
      <c r="AE31" s="155"/>
      <c r="AF31" s="155"/>
      <c r="AG31" s="155"/>
      <c r="AH31" s="180">
        <f>SUM(AH27:AH30)</f>
        <v>0.99999999999999989</v>
      </c>
      <c r="AI31" s="177"/>
      <c r="AJ31" s="179">
        <f>SUM(AJ27:AJ30)</f>
        <v>10869.666148051176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Table'!AA492</f>
        <v>607444</v>
      </c>
      <c r="AJ49" s="56">
        <f>+AJ19</f>
        <v>134276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134276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473168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198730.56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274437.44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0.4517905189614187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92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ref="K476:K477" si="210">SUM(E476:I476)</f>
        <v>3486523</v>
      </c>
      <c r="L476" s="6"/>
      <c r="M476" s="438">
        <f t="shared" ref="M476:M477" si="211">+(K476-K475)/K475</f>
        <v>1.2908507653167331E-4</v>
      </c>
      <c r="N476" s="29"/>
      <c r="O476" s="29"/>
      <c r="P476" s="29"/>
      <c r="Q476" s="332">
        <f t="shared" ref="Q476:Q477" si="212">+K476-K475</f>
        <v>450</v>
      </c>
      <c r="R476" s="6"/>
      <c r="S476" s="7">
        <f t="shared" ref="S476" si="213">53664+26437+8275</f>
        <v>88376</v>
      </c>
      <c r="T476" s="6"/>
      <c r="U476" s="243">
        <f t="shared" ref="U476:U477" si="214">+S476/K476</f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210"/>
        <v>3487187</v>
      </c>
      <c r="L477" s="6"/>
      <c r="M477" s="438">
        <f t="shared" si="211"/>
        <v>1.9044761787029657E-4</v>
      </c>
      <c r="N477" s="29"/>
      <c r="O477" s="29"/>
      <c r="P477" s="29"/>
      <c r="Q477" s="332">
        <f t="shared" si="212"/>
        <v>664</v>
      </c>
      <c r="R477" s="6"/>
      <c r="S477" s="7">
        <f>53676+26444+8276</f>
        <v>88396</v>
      </c>
      <c r="T477" s="6"/>
      <c r="U477" s="243">
        <f t="shared" si="214"/>
        <v>2.534879832942713E-2</v>
      </c>
      <c r="W477">
        <f t="shared" ref="W477:W489" si="215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ref="K478" si="216">SUM(E478:I478)</f>
        <v>3487733</v>
      </c>
      <c r="L478" s="6"/>
      <c r="M478" s="438">
        <f t="shared" ref="M478" si="217">+(K478-K477)/K477</f>
        <v>1.5657319208863763E-4</v>
      </c>
      <c r="N478" s="29"/>
      <c r="O478" s="29"/>
      <c r="P478" s="29"/>
      <c r="Q478" s="332">
        <f t="shared" ref="Q478" si="218">+K478-K477</f>
        <v>546</v>
      </c>
      <c r="R478" s="6"/>
      <c r="S478" s="7">
        <f>53679+26457+8278</f>
        <v>88414</v>
      </c>
      <c r="T478" s="6"/>
      <c r="U478" s="243">
        <f t="shared" ref="U478" si="219">+S478/K478</f>
        <v>2.5349990954009381E-2</v>
      </c>
      <c r="W478">
        <f t="shared" si="215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ref="K479" si="220">SUM(E479:I479)</f>
        <v>3488377</v>
      </c>
      <c r="L479" s="6"/>
      <c r="M479" s="438">
        <f t="shared" ref="M479" si="221">+(K479-K478)/K478</f>
        <v>1.8464716192437896E-4</v>
      </c>
      <c r="N479" s="29"/>
      <c r="O479" s="29"/>
      <c r="P479" s="29"/>
      <c r="Q479" s="332">
        <f t="shared" ref="Q479" si="222">+K479-K478</f>
        <v>644</v>
      </c>
      <c r="R479" s="6"/>
      <c r="S479" s="7">
        <f>53690+26462+8279</f>
        <v>88431</v>
      </c>
      <c r="T479" s="6"/>
      <c r="U479" s="243">
        <f t="shared" ref="U479" si="223">+S479/K479</f>
        <v>2.5350184340740694E-2</v>
      </c>
      <c r="W479">
        <f t="shared" si="215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ref="K480" si="224">SUM(E480:I480)</f>
        <v>3489279</v>
      </c>
      <c r="L480" s="6"/>
      <c r="M480" s="438">
        <f t="shared" ref="M480" si="225">+(K480-K479)/K479</f>
        <v>2.5857296960735609E-4</v>
      </c>
      <c r="N480" s="29"/>
      <c r="O480" s="29"/>
      <c r="P480" s="29"/>
      <c r="Q480" s="332">
        <f t="shared" ref="Q480" si="226">+K480-K479</f>
        <v>902</v>
      </c>
      <c r="R480" s="6"/>
      <c r="S480" s="7">
        <f>53692+26467+8279</f>
        <v>88438</v>
      </c>
      <c r="T480" s="6"/>
      <c r="U480" s="243">
        <f t="shared" ref="U480" si="227">+S480/K480</f>
        <v>2.5345637307879365E-2</v>
      </c>
      <c r="W480">
        <f t="shared" si="215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ref="K481" si="228">SUM(E481:I481)</f>
        <v>3489755</v>
      </c>
      <c r="L481" s="6"/>
      <c r="M481" s="438">
        <f t="shared" ref="M481" si="229">+(K481-K480)/K480</f>
        <v>1.3641786741616248E-4</v>
      </c>
      <c r="N481" s="29"/>
      <c r="O481" s="29"/>
      <c r="P481" s="29"/>
      <c r="Q481" s="332">
        <f t="shared" ref="Q481" si="230">+K481-K480</f>
        <v>476</v>
      </c>
      <c r="R481" s="6"/>
      <c r="S481" s="7">
        <f>53692+26472+8279</f>
        <v>88443</v>
      </c>
      <c r="T481" s="6"/>
      <c r="U481" s="243">
        <f t="shared" ref="U481" si="231">+S481/K481</f>
        <v>2.5343612947040694E-2</v>
      </c>
      <c r="W481">
        <f t="shared" si="215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ref="K482" si="232">SUM(E482:I482)</f>
        <v>3490217</v>
      </c>
      <c r="L482" s="6"/>
      <c r="M482" s="438">
        <f t="shared" ref="M482" si="233">+(K482-K481)/K481</f>
        <v>1.3238751717527448E-4</v>
      </c>
      <c r="N482" s="29"/>
      <c r="O482" s="29"/>
      <c r="P482" s="29"/>
      <c r="Q482" s="332">
        <f t="shared" ref="Q482" si="234">+K482-K481</f>
        <v>462</v>
      </c>
      <c r="R482" s="6"/>
      <c r="S482" s="7">
        <f>53701+26473+8279</f>
        <v>88453</v>
      </c>
      <c r="T482" s="6"/>
      <c r="U482" s="243">
        <f t="shared" ref="U482" si="235">+S482/K482</f>
        <v>2.5343123364535786E-2</v>
      </c>
      <c r="W482">
        <f t="shared" si="215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ref="K483" si="236">SUM(E483:I483)</f>
        <v>3490675</v>
      </c>
      <c r="L483" s="6"/>
      <c r="M483" s="438">
        <f t="shared" ref="M483" si="237">+(K483-K482)/K482</f>
        <v>1.3122393249474174E-4</v>
      </c>
      <c r="N483" s="29"/>
      <c r="O483" s="29"/>
      <c r="P483" s="29"/>
      <c r="Q483" s="332">
        <f t="shared" ref="Q483" si="238">+K483-K482</f>
        <v>458</v>
      </c>
      <c r="R483" s="6"/>
      <c r="S483" s="7">
        <f>53705+26477+8279</f>
        <v>88461</v>
      </c>
      <c r="T483" s="6"/>
      <c r="U483" s="243">
        <f t="shared" ref="U483" si="239">+S483/K483</f>
        <v>2.5342089996920367E-2</v>
      </c>
      <c r="W483">
        <f t="shared" si="215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ref="K484" si="240">SUM(E484:I484)</f>
        <v>3491302</v>
      </c>
      <c r="L484" s="6"/>
      <c r="M484" s="438">
        <f t="shared" ref="M484" si="241">+(K484-K483)/K483</f>
        <v>1.7962141992594556E-4</v>
      </c>
      <c r="N484" s="29"/>
      <c r="O484" s="29"/>
      <c r="P484" s="29"/>
      <c r="Q484" s="332">
        <f t="shared" ref="Q484" si="242">+K484-K483</f>
        <v>627</v>
      </c>
      <c r="R484" s="6"/>
      <c r="S484" s="7">
        <f>53711+26477+8279</f>
        <v>88467</v>
      </c>
      <c r="T484" s="6"/>
      <c r="U484" s="243">
        <f t="shared" ref="U484" si="243">+S484/K484</f>
        <v>2.5339257388790771E-2</v>
      </c>
      <c r="W484">
        <f t="shared" si="215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ref="K485" si="244">SUM(E485:I485)</f>
        <v>3492040</v>
      </c>
      <c r="L485" s="6"/>
      <c r="M485" s="438">
        <f t="shared" ref="M485" si="245">+(K485-K484)/K484</f>
        <v>2.1138245846391977E-4</v>
      </c>
      <c r="N485" s="29"/>
      <c r="O485" s="29"/>
      <c r="P485" s="29"/>
      <c r="Q485" s="332">
        <f t="shared" ref="Q485" si="246">+K485-K484</f>
        <v>738</v>
      </c>
      <c r="R485" s="6"/>
      <c r="S485" s="7">
        <f>53717+26490+8278</f>
        <v>88485</v>
      </c>
      <c r="T485" s="6"/>
      <c r="U485" s="243">
        <f t="shared" ref="U485" si="247">+S485/K485</f>
        <v>2.5339056826382288E-2</v>
      </c>
      <c r="W485">
        <f t="shared" si="215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ref="K486" si="248">SUM(E486:I486)</f>
        <v>3493093</v>
      </c>
      <c r="L486" s="6"/>
      <c r="M486" s="438">
        <f t="shared" ref="M486" si="249">+(K486-K485)/K485</f>
        <v>3.0154293765248964E-4</v>
      </c>
      <c r="N486" s="29"/>
      <c r="O486" s="29"/>
      <c r="P486" s="29"/>
      <c r="Q486" s="332">
        <f t="shared" ref="Q486" si="250">+K486-K485</f>
        <v>1053</v>
      </c>
      <c r="R486" s="6"/>
      <c r="S486" s="7">
        <f>53721+26493+8279</f>
        <v>88493</v>
      </c>
      <c r="T486" s="6"/>
      <c r="U486" s="243">
        <f t="shared" ref="U486" si="251">+S486/K486</f>
        <v>2.5333708549987073E-2</v>
      </c>
      <c r="W486">
        <f t="shared" si="215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ref="K487" si="252">SUM(E487:I487)</f>
        <v>3494406</v>
      </c>
      <c r="L487" s="6"/>
      <c r="M487" s="438">
        <f t="shared" ref="M487" si="253">+(K487-K486)/K486</f>
        <v>3.7588463862828729E-4</v>
      </c>
      <c r="N487" s="29"/>
      <c r="O487" s="29"/>
      <c r="P487" s="29"/>
      <c r="Q487" s="332">
        <f t="shared" ref="Q487" si="254">+K487-K486</f>
        <v>1313</v>
      </c>
      <c r="R487" s="6"/>
      <c r="S487" s="7">
        <f>53726+26496+8279</f>
        <v>88501</v>
      </c>
      <c r="T487" s="6"/>
      <c r="U487" s="243">
        <f t="shared" ref="U487" si="255">+S487/K487</f>
        <v>2.5326478949498139E-2</v>
      </c>
      <c r="W487">
        <f t="shared" si="215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ref="K488" si="256">SUM(E488:I488)</f>
        <v>3495549</v>
      </c>
      <c r="L488" s="6"/>
      <c r="M488" s="438">
        <f t="shared" ref="M488" si="257">+(K488-K487)/K487</f>
        <v>3.2709421858822358E-4</v>
      </c>
      <c r="N488" s="29"/>
      <c r="O488" s="29"/>
      <c r="P488" s="29"/>
      <c r="Q488" s="332">
        <f t="shared" ref="Q488" si="258">+K488-K487</f>
        <v>1143</v>
      </c>
      <c r="R488" s="6"/>
      <c r="S488" s="7">
        <f>53733+26501+8279</f>
        <v>88513</v>
      </c>
      <c r="T488" s="6"/>
      <c r="U488" s="243">
        <f t="shared" ref="U488" si="259">+S488/K488</f>
        <v>2.5321630450610189E-2</v>
      </c>
      <c r="W488">
        <f t="shared" si="215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ref="K489" si="260">SUM(E489:I489)</f>
        <v>3496526</v>
      </c>
      <c r="L489" s="6"/>
      <c r="M489" s="438">
        <f t="shared" ref="M489" si="261">+(K489-K488)/K488</f>
        <v>2.7949829912268429E-4</v>
      </c>
      <c r="N489" s="29"/>
      <c r="O489" s="29"/>
      <c r="P489" s="29"/>
      <c r="Q489" s="332">
        <f t="shared" ref="Q489" si="262">+K489-K488</f>
        <v>977</v>
      </c>
      <c r="R489" s="6"/>
      <c r="S489" s="7">
        <f>53735+26505+8279</f>
        <v>88519</v>
      </c>
      <c r="T489" s="6"/>
      <c r="U489" s="243">
        <f t="shared" ref="U489" si="263">+S489/K489</f>
        <v>2.531627106447943E-2</v>
      </c>
      <c r="W489">
        <f t="shared" si="215"/>
        <v>479</v>
      </c>
      <c r="Y489" s="56"/>
    </row>
    <row r="490" spans="3:25" x14ac:dyDescent="0.3">
      <c r="C490" s="157">
        <f t="shared" si="75"/>
        <v>44389</v>
      </c>
      <c r="E490" s="241"/>
      <c r="F490" s="7"/>
      <c r="G490" s="7"/>
      <c r="H490" s="7"/>
      <c r="I490" s="7"/>
      <c r="J490" s="244"/>
      <c r="K490" s="7"/>
      <c r="L490" s="6"/>
      <c r="M490" s="438"/>
      <c r="N490" s="29"/>
      <c r="O490" s="29"/>
      <c r="P490" s="29"/>
      <c r="Q490" s="332"/>
      <c r="R490" s="6"/>
      <c r="S490" s="7"/>
      <c r="T490" s="6"/>
      <c r="U490" s="243"/>
      <c r="Y490" s="56"/>
    </row>
    <row r="491" spans="3:25" x14ac:dyDescent="0.3">
      <c r="C491" s="157">
        <f t="shared" si="75"/>
        <v>44390</v>
      </c>
      <c r="E491" s="241"/>
      <c r="F491" s="7"/>
      <c r="G491" s="7"/>
      <c r="H491" s="7"/>
      <c r="I491" s="7"/>
      <c r="J491" s="244"/>
      <c r="K491" s="7"/>
      <c r="L491" s="6"/>
      <c r="M491" s="438"/>
      <c r="N491" s="29"/>
      <c r="O491" s="29"/>
      <c r="P491" s="29"/>
      <c r="Q491" s="332"/>
      <c r="R491" s="6"/>
      <c r="S491" s="7"/>
      <c r="T491" s="6"/>
      <c r="U491" s="243"/>
      <c r="Y491" s="56"/>
    </row>
    <row r="492" spans="3:25" ht="15" thickBot="1" x14ac:dyDescent="0.35">
      <c r="C492" s="157">
        <f t="shared" si="75"/>
        <v>44391</v>
      </c>
      <c r="E492" s="245"/>
      <c r="F492" s="246"/>
      <c r="G492" s="246"/>
      <c r="H492" s="246"/>
      <c r="I492" s="246"/>
      <c r="J492" s="246"/>
      <c r="K492" s="246"/>
      <c r="L492" s="247"/>
      <c r="M492" s="248"/>
      <c r="N492" s="248"/>
      <c r="O492" s="248"/>
      <c r="P492" s="248"/>
      <c r="Q492" s="331"/>
      <c r="R492" s="247"/>
      <c r="S492" s="247"/>
      <c r="T492" s="247"/>
      <c r="U492" s="249"/>
      <c r="W492">
        <f>+W405+1</f>
        <v>396</v>
      </c>
      <c r="Y492" s="59"/>
    </row>
    <row r="493" spans="3:25" x14ac:dyDescent="0.3">
      <c r="E493" s="56"/>
      <c r="F493" s="1"/>
      <c r="G493" s="56"/>
      <c r="H493" s="56"/>
      <c r="I493" s="56"/>
      <c r="J493" s="1"/>
      <c r="K493" s="56"/>
      <c r="S493" s="56"/>
    </row>
    <row r="494" spans="3:25" x14ac:dyDescent="0.3">
      <c r="C494" s="166" t="s">
        <v>73</v>
      </c>
      <c r="E494" s="56">
        <f>+E489</f>
        <v>2120486</v>
      </c>
      <c r="F494" s="56"/>
      <c r="G494" s="56">
        <f t="shared" ref="G494:U494" si="264">+G489</f>
        <v>1026071</v>
      </c>
      <c r="H494" s="56">
        <f t="shared" si="264"/>
        <v>0</v>
      </c>
      <c r="I494" s="56">
        <f t="shared" si="264"/>
        <v>349969</v>
      </c>
      <c r="J494" s="56">
        <f t="shared" si="264"/>
        <v>0</v>
      </c>
      <c r="K494" s="56">
        <f t="shared" si="264"/>
        <v>3496526</v>
      </c>
      <c r="L494" s="56">
        <f t="shared" si="264"/>
        <v>0</v>
      </c>
      <c r="M494" s="56">
        <f t="shared" si="264"/>
        <v>2.7949829912268429E-4</v>
      </c>
      <c r="N494" s="56">
        <f t="shared" si="264"/>
        <v>0</v>
      </c>
      <c r="O494" s="56">
        <f t="shared" si="264"/>
        <v>0</v>
      </c>
      <c r="P494" s="56">
        <f t="shared" si="264"/>
        <v>0</v>
      </c>
      <c r="Q494" s="56">
        <f t="shared" si="264"/>
        <v>977</v>
      </c>
      <c r="R494" s="56">
        <f t="shared" si="264"/>
        <v>0</v>
      </c>
      <c r="S494" s="56">
        <f t="shared" si="264"/>
        <v>88519</v>
      </c>
      <c r="T494" s="56">
        <f t="shared" si="264"/>
        <v>0</v>
      </c>
      <c r="U494" s="56">
        <f t="shared" si="264"/>
        <v>2.531627106447943E-2</v>
      </c>
      <c r="V494" s="56">
        <f>+V259</f>
        <v>0</v>
      </c>
    </row>
    <row r="495" spans="3:25" x14ac:dyDescent="0.3">
      <c r="E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</row>
    <row r="496" spans="3:25" x14ac:dyDescent="0.3">
      <c r="E496" s="59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</row>
    <row r="497" spans="3:41" x14ac:dyDescent="0.3">
      <c r="C497" s="111"/>
      <c r="D497" s="112"/>
      <c r="E497" s="349"/>
      <c r="F497" s="10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</row>
    <row r="498" spans="3:41" x14ac:dyDescent="0.3">
      <c r="E498" s="56"/>
      <c r="K498" s="56"/>
      <c r="Q498" s="56"/>
    </row>
    <row r="499" spans="3:41" x14ac:dyDescent="0.3">
      <c r="D499" s="549" t="s">
        <v>26</v>
      </c>
      <c r="E499" t="s">
        <v>158</v>
      </c>
      <c r="K499" s="549"/>
      <c r="Q499" s="56"/>
      <c r="S499" s="59"/>
    </row>
    <row r="501" spans="3:41" x14ac:dyDescent="0.3">
      <c r="U501" s="549"/>
    </row>
    <row r="502" spans="3:41" x14ac:dyDescent="0.3">
      <c r="AO502" s="1">
        <v>3797000</v>
      </c>
    </row>
    <row r="503" spans="3:41" x14ac:dyDescent="0.3">
      <c r="C503" s="1"/>
    </row>
    <row r="504" spans="3:41" x14ac:dyDescent="0.3">
      <c r="C504" s="1"/>
      <c r="AO504" s="1">
        <v>30000</v>
      </c>
    </row>
    <row r="505" spans="3:41" x14ac:dyDescent="0.3">
      <c r="C505" s="59"/>
    </row>
    <row r="506" spans="3:41" x14ac:dyDescent="0.3">
      <c r="AO506" s="235">
        <f>+AO504/AO502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85"/>
  <sheetViews>
    <sheetView topLeftCell="A415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59" t="s">
        <v>101</v>
      </c>
      <c r="U3" s="660"/>
      <c r="V3" s="660"/>
      <c r="W3" s="660"/>
      <c r="X3" s="660"/>
      <c r="Y3" s="660"/>
      <c r="Z3" s="660"/>
      <c r="AA3" s="660"/>
      <c r="AB3" s="660"/>
      <c r="AC3" s="660"/>
      <c r="AD3" s="661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3.0925469974401147E-3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2" t="s">
        <v>91</v>
      </c>
      <c r="F15" s="662"/>
      <c r="G15" s="662"/>
      <c r="H15" s="662"/>
      <c r="I15" s="662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68" t="s">
        <v>44</v>
      </c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70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1" t="s">
        <v>67</v>
      </c>
      <c r="F19" s="671"/>
      <c r="G19" s="671"/>
      <c r="H19" s="671"/>
      <c r="I19" s="134" t="s">
        <v>66</v>
      </c>
      <c r="J19" s="135"/>
      <c r="K19" s="676" t="s">
        <v>64</v>
      </c>
      <c r="L19" s="676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Table'!$H$481</f>
        <v>34068576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Table'!AA492</f>
        <v>607444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4355</v>
      </c>
      <c r="J22" s="116"/>
      <c r="K22" s="127"/>
      <c r="L22" s="238">
        <v>4340</v>
      </c>
      <c r="M22" s="127"/>
      <c r="N22" s="147">
        <f>+(I22-L22)/I22</f>
        <v>3.4443168771526979E-3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33456777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Table'!AP492</f>
        <v>29244103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2" t="s">
        <v>47</v>
      </c>
      <c r="E25" s="673"/>
      <c r="F25" s="673"/>
      <c r="G25" s="673"/>
      <c r="H25" s="673"/>
      <c r="I25" s="119">
        <f>+I23-I24</f>
        <v>4212674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29244103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2" t="s">
        <v>44</v>
      </c>
      <c r="E27" s="673"/>
      <c r="F27" s="673"/>
      <c r="G27" s="673"/>
      <c r="H27" s="673"/>
      <c r="I27" s="136">
        <f>+I25+I26</f>
        <v>33456777</v>
      </c>
      <c r="J27" s="116"/>
      <c r="K27" s="677">
        <v>33451070</v>
      </c>
      <c r="L27" s="677"/>
      <c r="M27" s="127"/>
      <c r="N27" s="137">
        <f>+I27-K27</f>
        <v>5707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74" t="s">
        <v>61</v>
      </c>
      <c r="F28" s="674"/>
      <c r="G28" s="674"/>
      <c r="H28" s="124"/>
      <c r="I28" s="232">
        <f>+I27/I32</f>
        <v>0.97913028290723647</v>
      </c>
      <c r="J28" s="127"/>
      <c r="K28" s="127"/>
      <c r="L28" s="127"/>
      <c r="M28" s="98"/>
      <c r="N28" s="463">
        <f>+N27/K27</f>
        <v>1.7060739761089855E-4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83" t="s">
        <v>101</v>
      </c>
      <c r="F31" s="684"/>
      <c r="G31" s="684"/>
      <c r="H31" s="684"/>
      <c r="I31" s="684"/>
      <c r="J31" s="685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78">
        <f>+'Main Table'!H492</f>
        <v>34169893</v>
      </c>
      <c r="J32" s="678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79">
        <f>+I27</f>
        <v>33456777</v>
      </c>
      <c r="J34" s="680"/>
      <c r="K34" s="22"/>
      <c r="L34" s="25">
        <f>+I34/$I$32</f>
        <v>0.97913028290723647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86">
        <f>+I21</f>
        <v>607444</v>
      </c>
      <c r="J35" s="687"/>
      <c r="K35" s="22"/>
      <c r="L35" s="25">
        <f>+I35/$I$32</f>
        <v>1.777717009532339E-2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75" t="s">
        <v>101</v>
      </c>
      <c r="F36" s="675"/>
      <c r="G36" s="675"/>
      <c r="H36" s="233"/>
      <c r="I36" s="681">
        <f>+I32-I34-I35</f>
        <v>105672</v>
      </c>
      <c r="J36" s="682"/>
      <c r="K36" s="259"/>
      <c r="L36" s="234">
        <f>+I36/$I$32</f>
        <v>3.0925469974401147E-3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63" t="s">
        <v>114</v>
      </c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66" t="s">
        <v>67</v>
      </c>
      <c r="F42" s="666"/>
      <c r="G42" s="666"/>
      <c r="H42" s="666"/>
      <c r="I42" s="260" t="s">
        <v>66</v>
      </c>
      <c r="J42" s="261"/>
      <c r="K42" s="667" t="s">
        <v>35</v>
      </c>
      <c r="L42" s="667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Table'!AP510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55" t="s">
        <v>115</v>
      </c>
      <c r="F54" s="656"/>
      <c r="G54" s="656"/>
      <c r="H54" s="656"/>
      <c r="I54" s="656"/>
      <c r="J54" s="657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3">
        <f>+K50</f>
        <v>30167</v>
      </c>
      <c r="J55" s="693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4">
        <f>+I50</f>
        <v>22172</v>
      </c>
      <c r="J57" s="695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6">
        <f>+I44</f>
        <v>1836</v>
      </c>
      <c r="J58" s="697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8" t="s">
        <v>101</v>
      </c>
      <c r="F59" s="698"/>
      <c r="G59" s="698"/>
      <c r="H59" s="267"/>
      <c r="I59" s="658">
        <f>+I55-I57-I58</f>
        <v>6159</v>
      </c>
      <c r="J59" s="699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0">
        <f>+I45</f>
        <v>1397</v>
      </c>
      <c r="J60" s="700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58">
        <f>+I59-I60</f>
        <v>4762</v>
      </c>
      <c r="J61" s="658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55" t="s">
        <v>104</v>
      </c>
      <c r="F64" s="656"/>
      <c r="G64" s="656"/>
      <c r="H64" s="656"/>
      <c r="I64" s="656"/>
      <c r="J64" s="656"/>
      <c r="K64" s="656"/>
      <c r="L64" s="656"/>
      <c r="M64" s="657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54" t="s">
        <v>95</v>
      </c>
      <c r="G67" s="65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17" t="s">
        <v>118</v>
      </c>
      <c r="E72" s="718"/>
      <c r="F72" s="718"/>
      <c r="G72" s="718"/>
      <c r="H72" s="718"/>
      <c r="I72" s="718"/>
      <c r="J72" s="718"/>
      <c r="K72" s="718"/>
      <c r="L72" s="718"/>
      <c r="M72" s="718"/>
      <c r="N72" s="718"/>
      <c r="O72" s="719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0" t="s">
        <v>67</v>
      </c>
      <c r="F73" s="720"/>
      <c r="G73" s="720"/>
      <c r="H73" s="720"/>
      <c r="I73" s="355" t="s">
        <v>66</v>
      </c>
      <c r="J73" s="356"/>
      <c r="K73" s="721" t="s">
        <v>35</v>
      </c>
      <c r="L73" s="721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Table'!AP551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2" t="s">
        <v>47</v>
      </c>
      <c r="E79" s="723"/>
      <c r="F79" s="723"/>
      <c r="G79" s="723"/>
      <c r="H79" s="723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2" t="s">
        <v>44</v>
      </c>
      <c r="E81" s="723"/>
      <c r="F81" s="723"/>
      <c r="G81" s="723"/>
      <c r="H81" s="723"/>
      <c r="I81" s="370">
        <f>+I79+I80</f>
        <v>36684</v>
      </c>
      <c r="J81" s="363"/>
      <c r="K81" s="725">
        <v>48675</v>
      </c>
      <c r="L81" s="725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24" t="s">
        <v>61</v>
      </c>
      <c r="F82" s="724"/>
      <c r="G82" s="724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3.0925469974401147E-3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3.0925469974401147E-3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3.0925469974401147E-3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3.0925469974401147E-3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49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ref="AA429" si="56">+W428-W429</f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ref="AA430" si="57">+W429-W430</f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ref="AA431" si="58">+W430-W431</f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ref="AA432" si="59">+W431-W432</f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ref="AA433" si="60">+W432-W433</f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ref="AA434" si="61">+W433-W434</f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ref="AA435" si="62">+W434-W435</f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ref="AA436" si="63">+W435-W436</f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ref="AA437" si="64">+W436-W437</f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ref="AA438" si="65">+W437-W438</f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ref="AA439" si="66">+W438-W439</f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ref="AA440" si="67">+W439-W440</f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ref="AA441" si="68">+W440-W441</f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ref="AA442" si="69">+W441-W442</f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f>+I$36</f>
        <v>105672</v>
      </c>
      <c r="X443" s="6"/>
      <c r="Y443" s="44">
        <v>3.0000000000000001E-3</v>
      </c>
      <c r="Z443" s="6"/>
      <c r="AA443" s="254">
        <f t="shared" ref="AA443" si="70">+W442-W443</f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/>
      <c r="X444" s="6"/>
      <c r="Y444" s="44"/>
      <c r="Z444" s="6"/>
      <c r="AA444" s="254"/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/>
      <c r="X445" s="6"/>
      <c r="Y445" s="44"/>
      <c r="Z445" s="6"/>
      <c r="AA445" s="254"/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/>
      <c r="X446" s="6"/>
      <c r="Y446" s="44"/>
      <c r="Z446" s="6"/>
      <c r="AA446" s="254"/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/>
      <c r="X447" s="6"/>
      <c r="Y447" s="44"/>
      <c r="Z447" s="6"/>
      <c r="AA447" s="254"/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/>
      <c r="X448" s="6"/>
      <c r="Y448" s="44"/>
      <c r="Z448" s="6"/>
      <c r="AA448" s="254"/>
      <c r="AB448" s="6"/>
      <c r="AC448" s="258"/>
      <c r="AD448" s="251"/>
    </row>
    <row r="449" spans="4:36" ht="15" thickBot="1" x14ac:dyDescent="0.35">
      <c r="O449" s="98"/>
      <c r="T449" s="255"/>
      <c r="U449" s="350">
        <f t="shared" si="21"/>
        <v>44394</v>
      </c>
      <c r="V449" s="247"/>
      <c r="W449" s="351"/>
      <c r="X449" s="247"/>
      <c r="Y449" s="256"/>
      <c r="Z449" s="247"/>
      <c r="AA449" s="352"/>
      <c r="AB449" s="247"/>
      <c r="AC449" s="353"/>
      <c r="AD449" s="257"/>
    </row>
    <row r="450" spans="4:36" x14ac:dyDescent="0.3">
      <c r="O450" s="98"/>
    </row>
    <row r="451" spans="4:36" x14ac:dyDescent="0.3">
      <c r="O451" s="98"/>
      <c r="P451" s="57"/>
      <c r="Q451" s="57"/>
      <c r="R451" s="57"/>
    </row>
    <row r="452" spans="4:36" x14ac:dyDescent="0.3">
      <c r="O452" s="98"/>
    </row>
    <row r="453" spans="4:36" ht="15" thickBot="1" x14ac:dyDescent="0.35">
      <c r="O453" s="98"/>
    </row>
    <row r="454" spans="4:36" ht="15.6" thickTop="1" thickBot="1" x14ac:dyDescent="0.35">
      <c r="Q454" s="441"/>
      <c r="R454" s="442"/>
      <c r="S454" s="442"/>
      <c r="T454" s="442"/>
      <c r="U454" s="442"/>
      <c r="V454" s="442"/>
      <c r="W454" s="442"/>
      <c r="X454" s="442"/>
      <c r="Y454" s="442"/>
      <c r="Z454" s="442"/>
      <c r="AA454" s="442"/>
      <c r="AB454" s="443"/>
    </row>
    <row r="455" spans="4:36" ht="15" thickBot="1" x14ac:dyDescent="0.35">
      <c r="E455" s="704" t="s">
        <v>106</v>
      </c>
      <c r="F455" s="705"/>
      <c r="G455" s="705"/>
      <c r="H455" s="705"/>
      <c r="I455" s="705"/>
      <c r="J455" s="705"/>
      <c r="K455" s="705"/>
      <c r="L455" s="705"/>
      <c r="M455" s="706"/>
      <c r="Q455" s="444"/>
      <c r="R455" s="6"/>
      <c r="S455" s="6"/>
      <c r="T455" s="6"/>
      <c r="U455" s="5" t="s">
        <v>132</v>
      </c>
      <c r="V455" s="5"/>
      <c r="W455" s="5"/>
      <c r="X455" s="5"/>
      <c r="Y455" s="5"/>
      <c r="Z455" s="5"/>
      <c r="AA455" s="5" t="s">
        <v>28</v>
      </c>
      <c r="AB455" s="445"/>
    </row>
    <row r="456" spans="4:36" x14ac:dyDescent="0.3">
      <c r="E456" s="395"/>
      <c r="F456" s="396" t="s">
        <v>107</v>
      </c>
      <c r="G456" s="396"/>
      <c r="H456" s="396"/>
      <c r="I456" s="707">
        <v>21477737</v>
      </c>
      <c r="J456" s="707"/>
      <c r="K456" s="707"/>
      <c r="L456" s="707"/>
      <c r="M456" s="397"/>
      <c r="Q456" s="444"/>
      <c r="R456" s="437" t="s">
        <v>134</v>
      </c>
      <c r="S456" s="6"/>
      <c r="T456" s="6"/>
      <c r="U456" s="437" t="s">
        <v>133</v>
      </c>
      <c r="V456" s="5"/>
      <c r="W456" s="437" t="s">
        <v>20</v>
      </c>
      <c r="X456" s="5"/>
      <c r="Y456" s="437" t="s">
        <v>4</v>
      </c>
      <c r="Z456" s="5"/>
      <c r="AA456" s="446" t="s">
        <v>131</v>
      </c>
      <c r="AB456" s="445"/>
    </row>
    <row r="457" spans="4:36" x14ac:dyDescent="0.3">
      <c r="E457" s="395"/>
      <c r="F457" s="396" t="s">
        <v>97</v>
      </c>
      <c r="G457" s="396"/>
      <c r="H457" s="396"/>
      <c r="I457" s="396"/>
      <c r="J457" s="396"/>
      <c r="K457" s="396"/>
      <c r="L457" s="398">
        <f>+I469/I456</f>
        <v>4.5847474526762295E-4</v>
      </c>
      <c r="M457" s="397"/>
      <c r="Q457" s="444"/>
      <c r="R457" s="6" t="s">
        <v>121</v>
      </c>
      <c r="S457" s="6"/>
      <c r="T457" s="6"/>
      <c r="U457" s="7">
        <v>2003</v>
      </c>
      <c r="V457" s="6"/>
      <c r="W457" s="7">
        <v>389666</v>
      </c>
      <c r="X457" s="6"/>
      <c r="Y457" s="7">
        <v>31257</v>
      </c>
      <c r="Z457" s="6"/>
      <c r="AA457" s="253">
        <f>+AJ457</f>
        <v>19500</v>
      </c>
      <c r="AB457" s="445"/>
      <c r="AJ457" s="1">
        <v>19500</v>
      </c>
    </row>
    <row r="458" spans="4:36" x14ac:dyDescent="0.3">
      <c r="E458" s="395"/>
      <c r="F458" s="708" t="s">
        <v>95</v>
      </c>
      <c r="G458" s="708"/>
      <c r="H458" s="396"/>
      <c r="I458" s="396"/>
      <c r="J458" s="396"/>
      <c r="K458" s="396"/>
      <c r="L458" s="399">
        <f>+I469/(I456/100000)</f>
        <v>45.847474526762298</v>
      </c>
      <c r="M458" s="397"/>
      <c r="Q458" s="444"/>
      <c r="R458" s="6" t="s">
        <v>122</v>
      </c>
      <c r="S458" s="6"/>
      <c r="T458" s="6"/>
      <c r="U458" s="7">
        <v>1913</v>
      </c>
      <c r="V458" s="6"/>
      <c r="W458" s="7">
        <v>169892</v>
      </c>
      <c r="X458" s="6"/>
      <c r="Y458" s="7">
        <v>13076</v>
      </c>
      <c r="Z458" s="6"/>
      <c r="AA458" s="253">
        <f t="shared" ref="AA458:AA466" si="71">+AJ458</f>
        <v>8900</v>
      </c>
      <c r="AB458" s="445"/>
      <c r="AJ458" s="1">
        <v>8900</v>
      </c>
    </row>
    <row r="459" spans="4:36" x14ac:dyDescent="0.3">
      <c r="E459" s="395"/>
      <c r="F459" s="400"/>
      <c r="G459" s="400"/>
      <c r="H459" s="396"/>
      <c r="I459" s="396"/>
      <c r="J459" s="396"/>
      <c r="K459" s="396"/>
      <c r="L459" s="399"/>
      <c r="M459" s="397"/>
      <c r="Q459" s="444"/>
      <c r="R459" s="6" t="s">
        <v>123</v>
      </c>
      <c r="S459" s="6"/>
      <c r="T459" s="6"/>
      <c r="U459" s="7">
        <v>1568</v>
      </c>
      <c r="V459" s="6"/>
      <c r="W459" s="7">
        <v>16606</v>
      </c>
      <c r="X459" s="6"/>
      <c r="Y459" s="7">
        <v>912</v>
      </c>
      <c r="Z459" s="6"/>
      <c r="AA459" s="253">
        <f t="shared" si="71"/>
        <v>1100</v>
      </c>
      <c r="AB459" s="445"/>
      <c r="AJ459" s="1">
        <v>1100</v>
      </c>
    </row>
    <row r="460" spans="4:36" x14ac:dyDescent="0.3">
      <c r="E460" s="395"/>
      <c r="F460" s="400" t="s">
        <v>108</v>
      </c>
      <c r="G460" s="400"/>
      <c r="H460" s="708" t="s">
        <v>109</v>
      </c>
      <c r="I460" s="708"/>
      <c r="J460" s="396"/>
      <c r="K460" s="396"/>
      <c r="L460" s="399"/>
      <c r="M460" s="397"/>
      <c r="Q460" s="444"/>
      <c r="R460" s="6" t="s">
        <v>56</v>
      </c>
      <c r="S460" s="6"/>
      <c r="T460" s="6"/>
      <c r="U460" s="7">
        <v>1561</v>
      </c>
      <c r="V460" s="6"/>
      <c r="W460" s="7">
        <v>107611</v>
      </c>
      <c r="X460" s="6"/>
      <c r="Y460" s="7">
        <v>7937</v>
      </c>
      <c r="Z460" s="6"/>
      <c r="AA460" s="253">
        <f t="shared" si="71"/>
        <v>7000</v>
      </c>
      <c r="AB460" s="445"/>
      <c r="AJ460" s="1">
        <v>7000</v>
      </c>
    </row>
    <row r="461" spans="4:36" ht="15" thickBot="1" x14ac:dyDescent="0.35">
      <c r="E461" s="401"/>
      <c r="F461" s="402"/>
      <c r="G461" s="402"/>
      <c r="H461" s="402"/>
      <c r="I461" s="402"/>
      <c r="J461" s="402"/>
      <c r="K461" s="402"/>
      <c r="L461" s="402"/>
      <c r="M461" s="403"/>
      <c r="Q461" s="444"/>
      <c r="R461" s="6" t="s">
        <v>128</v>
      </c>
      <c r="S461" s="6"/>
      <c r="T461" s="6"/>
      <c r="U461" s="7">
        <v>1435</v>
      </c>
      <c r="V461" s="6"/>
      <c r="W461" s="7">
        <v>10128</v>
      </c>
      <c r="X461" s="6"/>
      <c r="Y461" s="7">
        <v>541</v>
      </c>
      <c r="Z461" s="6"/>
      <c r="AA461" s="253">
        <f t="shared" si="71"/>
        <v>700</v>
      </c>
      <c r="AB461" s="445"/>
      <c r="AJ461" s="1">
        <v>700</v>
      </c>
    </row>
    <row r="462" spans="4:36" x14ac:dyDescent="0.3">
      <c r="Q462" s="444"/>
      <c r="R462" s="6" t="s">
        <v>124</v>
      </c>
      <c r="S462" s="6"/>
      <c r="T462" s="6"/>
      <c r="U462" s="7">
        <v>1288</v>
      </c>
      <c r="V462" s="6"/>
      <c r="W462" s="7">
        <v>45913</v>
      </c>
      <c r="X462" s="6"/>
      <c r="Y462" s="7">
        <v>4287</v>
      </c>
      <c r="Z462" s="6"/>
      <c r="AA462" s="253">
        <f t="shared" si="71"/>
        <v>3600</v>
      </c>
      <c r="AB462" s="445"/>
      <c r="AJ462" s="1">
        <v>3600</v>
      </c>
    </row>
    <row r="463" spans="4:36" ht="15" thickBot="1" x14ac:dyDescent="0.35">
      <c r="D463" s="78"/>
      <c r="E463" s="139"/>
      <c r="F463" s="139"/>
      <c r="G463" s="139"/>
      <c r="H463" s="139"/>
      <c r="I463" s="310"/>
      <c r="J463" s="78"/>
      <c r="K463" s="98"/>
      <c r="L463" s="98"/>
      <c r="M463" s="98"/>
      <c r="N463" s="98"/>
      <c r="Q463" s="444"/>
      <c r="R463" s="6" t="s">
        <v>129</v>
      </c>
      <c r="S463" s="6"/>
      <c r="T463" s="6"/>
      <c r="U463" s="7">
        <v>1129</v>
      </c>
      <c r="V463" s="6"/>
      <c r="W463" s="7">
        <v>52477</v>
      </c>
      <c r="X463" s="6"/>
      <c r="Y463" s="7">
        <v>3152</v>
      </c>
      <c r="Z463" s="6"/>
      <c r="AA463" s="253">
        <f t="shared" si="71"/>
        <v>4600</v>
      </c>
      <c r="AB463" s="445"/>
      <c r="AJ463" s="1">
        <v>4600</v>
      </c>
    </row>
    <row r="464" spans="4:36" ht="16.2" thickBot="1" x14ac:dyDescent="0.35">
      <c r="D464" s="381"/>
      <c r="E464" s="709" t="s">
        <v>119</v>
      </c>
      <c r="F464" s="710"/>
      <c r="G464" s="710"/>
      <c r="H464" s="710"/>
      <c r="I464" s="710"/>
      <c r="J464" s="711"/>
      <c r="K464" s="382"/>
      <c r="L464" s="394" t="s">
        <v>10</v>
      </c>
      <c r="M464" s="383"/>
      <c r="N464" s="98"/>
      <c r="Q464" s="444"/>
      <c r="R464" s="6" t="s">
        <v>125</v>
      </c>
      <c r="S464" s="6"/>
      <c r="T464" s="6"/>
      <c r="U464" s="7">
        <v>1118</v>
      </c>
      <c r="V464" s="6"/>
      <c r="W464" s="7">
        <v>10889</v>
      </c>
      <c r="X464" s="6"/>
      <c r="Y464" s="7">
        <v>505</v>
      </c>
      <c r="Z464" s="6"/>
      <c r="AA464" s="253">
        <f t="shared" si="71"/>
        <v>980</v>
      </c>
      <c r="AB464" s="445"/>
      <c r="AJ464" s="1">
        <v>980</v>
      </c>
    </row>
    <row r="465" spans="4:36" x14ac:dyDescent="0.3">
      <c r="D465" s="360"/>
      <c r="E465" s="384" t="s">
        <v>75</v>
      </c>
      <c r="F465" s="16"/>
      <c r="G465" s="16"/>
      <c r="H465" s="16"/>
      <c r="I465" s="712">
        <f>+K81</f>
        <v>48675</v>
      </c>
      <c r="J465" s="712"/>
      <c r="K465" s="16"/>
      <c r="L465" s="60">
        <f>+I465/$I$465</f>
        <v>1</v>
      </c>
      <c r="M465" s="385"/>
      <c r="N465" s="98"/>
      <c r="Q465" s="444"/>
      <c r="R465" s="6" t="s">
        <v>126</v>
      </c>
      <c r="S465" s="6"/>
      <c r="T465" s="6"/>
      <c r="U465" s="7">
        <v>1093</v>
      </c>
      <c r="V465" s="6"/>
      <c r="W465" s="7">
        <v>138546</v>
      </c>
      <c r="X465" s="6"/>
      <c r="Y465" s="7">
        <v>6770</v>
      </c>
      <c r="Z465" s="6"/>
      <c r="AA465" s="253">
        <f t="shared" si="71"/>
        <v>12700</v>
      </c>
      <c r="AB465" s="445"/>
      <c r="AJ465" s="1">
        <v>12700</v>
      </c>
    </row>
    <row r="466" spans="4:36" x14ac:dyDescent="0.3">
      <c r="D466" s="360"/>
      <c r="E466" s="384"/>
      <c r="F466" s="16"/>
      <c r="G466" s="16"/>
      <c r="H466" s="16"/>
      <c r="I466" s="16"/>
      <c r="J466" s="16"/>
      <c r="K466" s="16"/>
      <c r="L466" s="16"/>
      <c r="M466" s="385"/>
      <c r="N466" s="98"/>
      <c r="Q466" s="444"/>
      <c r="R466" s="6" t="s">
        <v>127</v>
      </c>
      <c r="S466" s="6"/>
      <c r="T466" s="6"/>
      <c r="U466" s="447">
        <v>1081</v>
      </c>
      <c r="V466" s="6"/>
      <c r="W466" s="447">
        <v>65337</v>
      </c>
      <c r="X466" s="6"/>
      <c r="Y466" s="447">
        <v>3108</v>
      </c>
      <c r="Z466" s="6"/>
      <c r="AA466" s="448">
        <f t="shared" si="71"/>
        <v>6100</v>
      </c>
      <c r="AB466" s="445"/>
      <c r="AJ466" s="439">
        <v>6100</v>
      </c>
    </row>
    <row r="467" spans="4:36" x14ac:dyDescent="0.3">
      <c r="D467" s="372"/>
      <c r="E467" s="15"/>
      <c r="F467" s="386" t="s">
        <v>100</v>
      </c>
      <c r="G467" s="386"/>
      <c r="H467" s="15"/>
      <c r="I467" s="713">
        <f>+I81</f>
        <v>36684</v>
      </c>
      <c r="J467" s="714"/>
      <c r="K467" s="15"/>
      <c r="L467" s="60">
        <f>+I467/$I$465</f>
        <v>0.75365177195685673</v>
      </c>
      <c r="M467" s="365"/>
      <c r="N467" s="98"/>
      <c r="Q467" s="444"/>
      <c r="R467" s="5" t="s">
        <v>31</v>
      </c>
      <c r="S467" s="6"/>
      <c r="T467" s="6"/>
      <c r="U467" s="253">
        <f>+W467/(AA467/100)</f>
        <v>1545.0521632402579</v>
      </c>
      <c r="V467" s="6"/>
      <c r="W467" s="253">
        <f>SUM(W457:W466)</f>
        <v>1007065</v>
      </c>
      <c r="X467" s="6"/>
      <c r="Y467" s="253">
        <f>SUM(Y457:Y466)</f>
        <v>71545</v>
      </c>
      <c r="Z467" s="6"/>
      <c r="AA467" s="253">
        <f>SUM(AA457:AA466)</f>
        <v>65180</v>
      </c>
      <c r="AB467" s="445"/>
      <c r="AJ467" s="56">
        <f>SUM(AJ457:AJ466)</f>
        <v>65180</v>
      </c>
    </row>
    <row r="468" spans="4:36" x14ac:dyDescent="0.3">
      <c r="D468" s="372"/>
      <c r="E468" s="15"/>
      <c r="F468" s="15" t="s">
        <v>76</v>
      </c>
      <c r="G468" s="15"/>
      <c r="H468" s="15"/>
      <c r="I468" s="715">
        <f>+I75</f>
        <v>2144</v>
      </c>
      <c r="J468" s="716"/>
      <c r="K468" s="15"/>
      <c r="L468" s="60">
        <f>+I468/$I$465</f>
        <v>4.4047252182845401E-2</v>
      </c>
      <c r="M468" s="365"/>
      <c r="N468" s="98"/>
      <c r="Q468" s="444"/>
      <c r="R468" s="5"/>
      <c r="S468" s="6"/>
      <c r="T468" s="6"/>
      <c r="U468" s="6"/>
      <c r="V468" s="6"/>
      <c r="W468" s="253"/>
      <c r="X468" s="6"/>
      <c r="Y468" s="253"/>
      <c r="Z468" s="6"/>
      <c r="AA468" s="6"/>
      <c r="AB468" s="445"/>
      <c r="AJ468" s="56"/>
    </row>
    <row r="469" spans="4:36" ht="15" thickBot="1" x14ac:dyDescent="0.35">
      <c r="D469" s="372"/>
      <c r="E469" s="701" t="s">
        <v>101</v>
      </c>
      <c r="F469" s="701"/>
      <c r="G469" s="701"/>
      <c r="H469" s="15"/>
      <c r="I469" s="702">
        <f>+I465-I467-I468</f>
        <v>9847</v>
      </c>
      <c r="J469" s="703"/>
      <c r="K469" s="387"/>
      <c r="L469" s="388">
        <f>+I469/$I$465</f>
        <v>0.20230097586029788</v>
      </c>
      <c r="M469" s="365"/>
      <c r="N469" s="98"/>
      <c r="Q469" s="444"/>
      <c r="R469" s="5" t="s">
        <v>57</v>
      </c>
      <c r="S469" s="6"/>
      <c r="T469" s="6"/>
      <c r="U469" s="7">
        <v>7441</v>
      </c>
      <c r="V469" s="6"/>
      <c r="W469" s="7">
        <f>+'Main Table'!H106</f>
        <v>3029734</v>
      </c>
      <c r="X469" s="6"/>
      <c r="Y469" s="7">
        <f>+'Main Table'!AA106</f>
        <v>129682</v>
      </c>
      <c r="Z469" s="6"/>
      <c r="AA469" s="253">
        <f>+AJ469</f>
        <v>333000</v>
      </c>
      <c r="AB469" s="445"/>
      <c r="AJ469" s="56">
        <v>333000</v>
      </c>
    </row>
    <row r="470" spans="4:36" ht="15.6" thickTop="1" thickBot="1" x14ac:dyDescent="0.35">
      <c r="D470" s="372"/>
      <c r="E470" s="389"/>
      <c r="F470" s="389"/>
      <c r="G470" s="389"/>
      <c r="H470" s="15"/>
      <c r="I470" s="390"/>
      <c r="J470" s="389"/>
      <c r="K470" s="387"/>
      <c r="L470" s="391"/>
      <c r="M470" s="365"/>
      <c r="N470" s="98"/>
      <c r="Q470" s="444"/>
      <c r="R470" s="5" t="s">
        <v>130</v>
      </c>
      <c r="S470" s="6"/>
      <c r="T470" s="6"/>
      <c r="U470" s="449"/>
      <c r="V470" s="6"/>
      <c r="W470" s="450">
        <f>+W467/W469</f>
        <v>0.33239386692033029</v>
      </c>
      <c r="X470" s="6"/>
      <c r="Y470" s="450">
        <f>+Y467/Y469</f>
        <v>0.55169568637127742</v>
      </c>
      <c r="Z470" s="6"/>
      <c r="AA470" s="450">
        <f>+AA467/AA469</f>
        <v>0.19573573573573574</v>
      </c>
      <c r="AB470" s="445"/>
      <c r="AJ470" s="440">
        <f>+AJ467/AJ469</f>
        <v>0.19573573573573574</v>
      </c>
    </row>
    <row r="471" spans="4:36" ht="15.6" thickTop="1" thickBot="1" x14ac:dyDescent="0.35">
      <c r="D471" s="392"/>
      <c r="E471" s="393"/>
      <c r="F471" s="393"/>
      <c r="G471" s="393"/>
      <c r="H471" s="393"/>
      <c r="I471" s="393"/>
      <c r="J471" s="393"/>
      <c r="K471" s="393"/>
      <c r="L471" s="393"/>
      <c r="M471" s="380"/>
      <c r="N471" s="98"/>
      <c r="Q471" s="451"/>
      <c r="R471" s="452"/>
      <c r="S471" s="452"/>
      <c r="T471" s="452"/>
      <c r="U471" s="452"/>
      <c r="V471" s="452"/>
      <c r="W471" s="452"/>
      <c r="X471" s="452"/>
      <c r="Y471" s="452"/>
      <c r="Z471" s="452"/>
      <c r="AA471" s="452"/>
      <c r="AB471" s="453"/>
    </row>
    <row r="475" spans="4:36" x14ac:dyDescent="0.3">
      <c r="F475" s="1">
        <v>1248371</v>
      </c>
    </row>
    <row r="476" spans="4:36" x14ac:dyDescent="0.3">
      <c r="W476" s="1"/>
    </row>
    <row r="477" spans="4:36" x14ac:dyDescent="0.3">
      <c r="F477">
        <v>700</v>
      </c>
    </row>
    <row r="478" spans="4:36" x14ac:dyDescent="0.3">
      <c r="F478" s="76">
        <f>+F477/F475</f>
        <v>5.6073074430597954E-4</v>
      </c>
    </row>
    <row r="480" spans="4:36" x14ac:dyDescent="0.3">
      <c r="F480" s="1">
        <v>60000</v>
      </c>
    </row>
    <row r="481" spans="6:6" x14ac:dyDescent="0.3">
      <c r="F481">
        <f>+F478*F480</f>
        <v>33.643844658358773</v>
      </c>
    </row>
    <row r="483" spans="6:6" x14ac:dyDescent="0.3">
      <c r="F483" s="1">
        <v>331000000</v>
      </c>
    </row>
    <row r="484" spans="6:6" x14ac:dyDescent="0.3">
      <c r="F484" s="56">
        <f>+W86</f>
        <v>811067</v>
      </c>
    </row>
    <row r="485" spans="6:6" x14ac:dyDescent="0.3">
      <c r="F485" s="57">
        <f>+F484/F483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469:G469"/>
    <mergeCell ref="I469:J469"/>
    <mergeCell ref="E455:M455"/>
    <mergeCell ref="I456:L456"/>
    <mergeCell ref="F458:G458"/>
    <mergeCell ref="E464:J464"/>
    <mergeCell ref="I465:J465"/>
    <mergeCell ref="I467:J467"/>
    <mergeCell ref="I468:J468"/>
    <mergeCell ref="H460:I460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2021-07-12T20:45:09Z</dcterms:modified>
</cp:coreProperties>
</file>